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sanerd\Desktop\"/>
    </mc:Choice>
  </mc:AlternateContent>
  <workbookProtection workbookAlgorithmName="SHA-512" workbookHashValue="BdC3lz/bMWTwqMOeu1+O0LrH/UYc7DcMI20jcqVE392zKlq8xdsIpO+A27sfgE8p2kNU79ped0fbZ7NsuSs8iQ==" workbookSaltValue="Tf3AevdeeG3J55rRKLU8OA==" workbookSpinCount="100000" lockStructure="1"/>
  <bookViews>
    <workbookView xWindow="0" yWindow="0" windowWidth="19200" windowHeight="7070"/>
  </bookViews>
  <sheets>
    <sheet name="Table des matières" sheetId="2" r:id="rId1"/>
    <sheet name="102" sheetId="13" r:id="rId2"/>
    <sheet name="201" sheetId="1" r:id="rId3"/>
    <sheet name="202" sheetId="3" r:id="rId4"/>
    <sheet name="203" sheetId="4" r:id="rId5"/>
    <sheet name="302" sheetId="10" r:id="rId6"/>
    <sheet name="305" sheetId="11" r:id="rId7"/>
    <sheet name="401" sheetId="12" r:id="rId8"/>
    <sheet name="403" sheetId="14" r:id="rId9"/>
    <sheet name="404" sheetId="16" r:id="rId10"/>
    <sheet name="405" sheetId="15" r:id="rId11"/>
    <sheet name="Hilfsgrössen" sheetId="5" state="hidden" r:id="rId12"/>
    <sheet name="Textbausteine" sheetId="6" state="hidden" r:id="rId13"/>
  </sheets>
  <definedNames>
    <definedName name="_xlnm._FilterDatabase" localSheetId="0" hidden="1">'Table des matières'!$E$6:$F$40</definedName>
    <definedName name="GRI_102">'102'!$B$3</definedName>
    <definedName name="GRI_102_43a">'102'!$B$314</definedName>
    <definedName name="GRI_102_6a">'102'!$B$20</definedName>
    <definedName name="GRI_102_7a">'102'!$B$48</definedName>
    <definedName name="GRI_102_7b">'102'!$B$59</definedName>
    <definedName name="GRI_102_7c">'102'!$B$75</definedName>
    <definedName name="GRI_102_7d">'102'!$B$161</definedName>
    <definedName name="GRI_102_7e">'102'!$B$314</definedName>
    <definedName name="GRI_102_8a">'102'!$B$183</definedName>
    <definedName name="GRI_102_8b">'102'!$B$240</definedName>
    <definedName name="GRI_102_8c">'102'!$B$251</definedName>
    <definedName name="GRI_102_8d">'102'!$B$280</definedName>
    <definedName name="GRI_102_9a">'102'!$B$302</definedName>
    <definedName name="GRI_201">'201'!$B$3</definedName>
    <definedName name="GRI_201_1a">'201'!$B$12</definedName>
    <definedName name="GRI_201_1b">'201'!$B$72</definedName>
    <definedName name="GRI_201_3">'201'!$B$109</definedName>
    <definedName name="GRI_202">'202'!$B$3</definedName>
    <definedName name="GRI_202_1">'202'!$B$10</definedName>
    <definedName name="GRI_203">'203'!$B$3</definedName>
    <definedName name="GRI_203_2">'203'!$B$16</definedName>
    <definedName name="GRI_203_2b">'203'!$B$40</definedName>
    <definedName name="GRI_203_2c">'203'!$B$58</definedName>
    <definedName name="GRI_203_2d">'203'!$B$137</definedName>
    <definedName name="GRI_203_2e">'203'!$B$215</definedName>
    <definedName name="GRI_203_2f">'203'!$B$231</definedName>
    <definedName name="GRI_203_2g">'203'!$B$243</definedName>
    <definedName name="GRI_302">'302'!$B$3</definedName>
    <definedName name="GRI_302_1">'302'!$B$11</definedName>
    <definedName name="GRI_302_2">'302'!$B$62</definedName>
    <definedName name="GRI_305">'305'!$B$3</definedName>
    <definedName name="GRI_305_1">'305'!$B$14</definedName>
    <definedName name="GRI_305_2">'305'!$B$69</definedName>
    <definedName name="GRI_305_3">'305'!$B$79</definedName>
    <definedName name="GRI_305_4">'305'!$B$90</definedName>
    <definedName name="GRI_305_6_7">'305'!$B$100</definedName>
    <definedName name="GRI_401">'401'!$B$3</definedName>
    <definedName name="GRI_401_1">'401'!$B$12</definedName>
    <definedName name="GRI_401_3">'401'!$B$53</definedName>
    <definedName name="GRI_401_a">'401'!$B$63</definedName>
    <definedName name="GRI_401a">'401'!$B$63</definedName>
    <definedName name="GRI_403">'403'!$B$3</definedName>
    <definedName name="GRI_403_2a">'403'!$B$10</definedName>
    <definedName name="GRI_404">'404'!$B$3</definedName>
    <definedName name="GRI_404_2a">'404'!$B$12</definedName>
    <definedName name="GRI_404_2b">'404'!$B$41</definedName>
    <definedName name="GRI_404_2c">'404'!$B$53:$C$54</definedName>
    <definedName name="GRI_405">'405'!$B$3</definedName>
    <definedName name="GRI_405_1">'405'!$B$13</definedName>
    <definedName name="GRI_405_1a">'405'!$B$13</definedName>
    <definedName name="GRI_405_1b">'405'!$B$29</definedName>
    <definedName name="GRI_405_1c">'405'!$B$43</definedName>
    <definedName name="GRI_405_1d">'405'!$B$62</definedName>
    <definedName name="Home">'Table des matières'!$B$2</definedName>
    <definedName name="Passwort" hidden="1">"KCR2"</definedName>
    <definedName name="Sprache" localSheetId="9">Sprachen[Sprache]</definedName>
    <definedName name="Sprache">Sprachen[Sprache]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3" i="11" l="1"/>
  <c r="O50" i="11"/>
  <c r="O49" i="11"/>
  <c r="O48" i="11"/>
  <c r="O46" i="11"/>
  <c r="O41" i="11"/>
  <c r="O38" i="11"/>
  <c r="O37" i="11"/>
  <c r="O26" i="11"/>
  <c r="O24" i="11"/>
  <c r="O20" i="11"/>
  <c r="O53" i="10"/>
  <c r="O44" i="10"/>
  <c r="N17" i="10"/>
  <c r="M17" i="10"/>
  <c r="L17" i="10"/>
  <c r="K17" i="10"/>
  <c r="J17" i="10" l="1"/>
  <c r="J16" i="10" s="1"/>
  <c r="I17" i="10"/>
  <c r="X96" i="1" l="1"/>
  <c r="X95" i="1"/>
  <c r="X94" i="1"/>
  <c r="X93" i="1"/>
  <c r="X92" i="1"/>
  <c r="X91" i="1"/>
  <c r="X90" i="1"/>
  <c r="X89" i="1"/>
  <c r="X88" i="1"/>
  <c r="X87" i="1"/>
  <c r="U96" i="1"/>
  <c r="U95" i="1"/>
  <c r="U94" i="1"/>
  <c r="U93" i="1"/>
  <c r="U92" i="1"/>
  <c r="U91" i="1"/>
  <c r="U90" i="1"/>
  <c r="U89" i="1"/>
  <c r="U88" i="1"/>
  <c r="U87" i="1"/>
  <c r="N53" i="11" l="1"/>
  <c r="M53" i="11"/>
  <c r="L53" i="11"/>
  <c r="K53" i="11"/>
  <c r="J53" i="11"/>
  <c r="I53" i="11"/>
  <c r="H53" i="11"/>
  <c r="N50" i="11"/>
  <c r="M50" i="11"/>
  <c r="L50" i="11"/>
  <c r="K50" i="11"/>
  <c r="J50" i="11"/>
  <c r="I50" i="11"/>
  <c r="H50" i="11"/>
  <c r="N49" i="11"/>
  <c r="M49" i="11"/>
  <c r="L49" i="11"/>
  <c r="K49" i="11"/>
  <c r="J49" i="11"/>
  <c r="I49" i="11"/>
  <c r="H49" i="11"/>
  <c r="N48" i="11"/>
  <c r="M48" i="11"/>
  <c r="L48" i="11"/>
  <c r="K48" i="11"/>
  <c r="J48" i="11"/>
  <c r="I48" i="11"/>
  <c r="H48" i="11"/>
  <c r="N46" i="11"/>
  <c r="M46" i="11"/>
  <c r="L46" i="11"/>
  <c r="K46" i="11"/>
  <c r="J46" i="11"/>
  <c r="I46" i="11"/>
  <c r="H46" i="11"/>
  <c r="N41" i="11"/>
  <c r="M41" i="11"/>
  <c r="L41" i="11"/>
  <c r="K41" i="11"/>
  <c r="J41" i="11"/>
  <c r="I41" i="11"/>
  <c r="H41" i="11"/>
  <c r="N38" i="11"/>
  <c r="M38" i="11"/>
  <c r="L38" i="11"/>
  <c r="K38" i="11"/>
  <c r="J38" i="11"/>
  <c r="I38" i="11"/>
  <c r="H38" i="11"/>
  <c r="N37" i="11"/>
  <c r="M37" i="11"/>
  <c r="L37" i="11"/>
  <c r="K37" i="11"/>
  <c r="J37" i="11"/>
  <c r="I37" i="11"/>
  <c r="H37" i="11"/>
  <c r="N53" i="10"/>
  <c r="M53" i="10"/>
  <c r="L53" i="10"/>
  <c r="K53" i="10"/>
  <c r="K50" i="10" s="1"/>
  <c r="J53" i="10"/>
  <c r="I53" i="10"/>
  <c r="H53" i="10"/>
  <c r="N51" i="10"/>
  <c r="N50" i="10" s="1"/>
  <c r="M51" i="10"/>
  <c r="L51" i="10"/>
  <c r="L50" i="10" s="1"/>
  <c r="K51" i="10"/>
  <c r="J51" i="10"/>
  <c r="J50" i="10" s="1"/>
  <c r="I51" i="10"/>
  <c r="M50" i="10"/>
  <c r="I50" i="10"/>
  <c r="O17" i="10"/>
  <c r="H17" i="10"/>
  <c r="H51" i="10" s="1"/>
  <c r="H50" i="10" s="1"/>
  <c r="N16" i="10"/>
  <c r="M16" i="10"/>
  <c r="L16" i="10"/>
  <c r="K16" i="10"/>
  <c r="I16" i="10"/>
  <c r="H16" i="10"/>
  <c r="O16" i="10" l="1"/>
  <c r="O51" i="10"/>
  <c r="T28" i="4"/>
  <c r="T29" i="4"/>
  <c r="O50" i="10" l="1"/>
  <c r="AE247" i="6"/>
  <c r="AE248" i="6"/>
  <c r="AE249" i="6"/>
  <c r="AE250" i="6"/>
  <c r="AE251" i="6"/>
  <c r="AE252" i="6"/>
  <c r="AE253" i="6"/>
  <c r="AE254" i="6"/>
  <c r="AE240" i="6"/>
  <c r="AE241" i="6"/>
  <c r="AE242" i="6"/>
  <c r="AE243" i="6"/>
  <c r="AE244" i="6"/>
  <c r="AE245" i="6"/>
  <c r="AE246" i="6"/>
  <c r="AE152" i="6" l="1"/>
  <c r="AE153" i="6"/>
  <c r="AE154" i="6"/>
  <c r="AE155" i="6"/>
  <c r="AE156" i="6"/>
  <c r="AE157" i="6"/>
  <c r="AE158" i="6"/>
  <c r="AE159" i="6"/>
  <c r="AE160" i="6"/>
  <c r="AE161" i="6"/>
  <c r="AE162" i="6"/>
  <c r="AE163" i="6"/>
  <c r="AE164" i="6"/>
  <c r="AE165" i="6"/>
  <c r="AE166" i="6"/>
  <c r="AE167" i="6"/>
  <c r="AE168" i="6"/>
  <c r="AE169" i="6"/>
  <c r="AE170" i="6"/>
  <c r="AE171" i="6"/>
  <c r="AE172" i="6"/>
  <c r="AE173" i="6"/>
  <c r="AE174" i="6"/>
  <c r="AE175" i="6"/>
  <c r="AE176" i="6"/>
  <c r="AE177" i="6"/>
  <c r="AE178" i="6"/>
  <c r="AE179" i="6"/>
  <c r="AE180" i="6"/>
  <c r="AE181" i="6"/>
  <c r="AE182" i="6"/>
  <c r="AE183" i="6"/>
  <c r="AE184" i="6"/>
  <c r="AE185" i="6"/>
  <c r="AE186" i="6"/>
  <c r="AE187" i="6"/>
  <c r="AE188" i="6"/>
  <c r="AE189" i="6"/>
  <c r="AE190" i="6"/>
  <c r="AE191" i="6"/>
  <c r="AE192" i="6"/>
  <c r="AE193" i="6"/>
  <c r="AE194" i="6"/>
  <c r="AE195" i="6"/>
  <c r="AE196" i="6"/>
  <c r="AE197" i="6"/>
  <c r="AE198" i="6"/>
  <c r="AE199" i="6"/>
  <c r="AE200" i="6"/>
  <c r="AE201" i="6"/>
  <c r="AE202" i="6"/>
  <c r="AE203" i="6"/>
  <c r="AE204" i="6"/>
  <c r="AE205" i="6"/>
  <c r="AE206" i="6"/>
  <c r="AE207" i="6"/>
  <c r="AE208" i="6"/>
  <c r="AE209" i="6"/>
  <c r="AE210" i="6"/>
  <c r="AE211" i="6"/>
  <c r="AE212" i="6"/>
  <c r="AE213" i="6"/>
  <c r="AE214" i="6"/>
  <c r="AE215" i="6"/>
  <c r="AE216" i="6"/>
  <c r="AE217" i="6"/>
  <c r="AE218" i="6"/>
  <c r="AE219" i="6"/>
  <c r="AE220" i="6"/>
  <c r="AE221" i="6"/>
  <c r="AE222" i="6"/>
  <c r="AE223" i="6"/>
  <c r="AE224" i="6"/>
  <c r="AE225" i="6"/>
  <c r="AE226" i="6"/>
  <c r="AE227" i="6"/>
  <c r="AE228" i="6"/>
  <c r="AE229" i="6"/>
  <c r="AE230" i="6"/>
  <c r="AE231" i="6"/>
  <c r="AE232" i="6"/>
  <c r="AE233" i="6"/>
  <c r="AE234" i="6"/>
  <c r="AE235" i="6"/>
  <c r="AE236" i="6"/>
  <c r="AE237" i="6"/>
  <c r="AE238" i="6"/>
  <c r="AE239" i="6"/>
  <c r="M314" i="6" l="1"/>
  <c r="M315" i="6"/>
  <c r="M316" i="6"/>
  <c r="M308" i="6"/>
  <c r="M309" i="6"/>
  <c r="M310" i="6"/>
  <c r="M311" i="6"/>
  <c r="M312" i="6"/>
  <c r="M313" i="6"/>
  <c r="M295" i="6"/>
  <c r="M296" i="6"/>
  <c r="M297" i="6"/>
  <c r="M298" i="6"/>
  <c r="M299" i="6"/>
  <c r="M300" i="6"/>
  <c r="M301" i="6"/>
  <c r="M302" i="6"/>
  <c r="M303" i="6"/>
  <c r="M304" i="6"/>
  <c r="M305" i="6"/>
  <c r="M306" i="6"/>
  <c r="M307" i="6"/>
  <c r="M281" i="6"/>
  <c r="M282" i="6"/>
  <c r="M283" i="6"/>
  <c r="M284" i="6"/>
  <c r="M285" i="6"/>
  <c r="M286" i="6"/>
  <c r="M287" i="6"/>
  <c r="M288" i="6"/>
  <c r="M289" i="6"/>
  <c r="M290" i="6"/>
  <c r="M291" i="6"/>
  <c r="M292" i="6"/>
  <c r="M293" i="6"/>
  <c r="M294" i="6"/>
  <c r="M259" i="6"/>
  <c r="M260" i="6"/>
  <c r="M261" i="6"/>
  <c r="M262" i="6"/>
  <c r="M263" i="6"/>
  <c r="M264" i="6"/>
  <c r="M265" i="6"/>
  <c r="M266" i="6"/>
  <c r="M267" i="6"/>
  <c r="M268" i="6"/>
  <c r="M269" i="6"/>
  <c r="M270" i="6"/>
  <c r="M271" i="6"/>
  <c r="M272" i="6"/>
  <c r="M273" i="6"/>
  <c r="M274" i="6"/>
  <c r="M275" i="6"/>
  <c r="M276" i="6"/>
  <c r="M277" i="6"/>
  <c r="M278" i="6"/>
  <c r="M279" i="6"/>
  <c r="M280" i="6"/>
  <c r="M227" i="6" l="1"/>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A54" i="6"/>
  <c r="A55" i="6"/>
  <c r="A56" i="6"/>
  <c r="A57" i="6"/>
  <c r="A58" i="6"/>
  <c r="A59" i="6"/>
  <c r="A60" i="6"/>
  <c r="A61" i="6"/>
  <c r="A62" i="6"/>
  <c r="A63" i="6"/>
  <c r="A64" i="6"/>
  <c r="A65" i="6"/>
  <c r="A66" i="6"/>
  <c r="A67"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BI151" i="6" l="1"/>
  <c r="BI150" i="6"/>
  <c r="BI149" i="6"/>
  <c r="BI148" i="6"/>
  <c r="BI147" i="6"/>
  <c r="BI146" i="6"/>
  <c r="BI145" i="6"/>
  <c r="BI144" i="6"/>
  <c r="BI143" i="6"/>
  <c r="BI142" i="6"/>
  <c r="BI141" i="6"/>
  <c r="BI140" i="6"/>
  <c r="BI139" i="6"/>
  <c r="BI138" i="6"/>
  <c r="BI137" i="6"/>
  <c r="BI136" i="6"/>
  <c r="BI135" i="6"/>
  <c r="BI134" i="6"/>
  <c r="BI133" i="6"/>
  <c r="BI132" i="6"/>
  <c r="BI131" i="6"/>
  <c r="BI130" i="6"/>
  <c r="BI129" i="6"/>
  <c r="BI128" i="6"/>
  <c r="BI127" i="6"/>
  <c r="BI126" i="6"/>
  <c r="BI125" i="6"/>
  <c r="BI124" i="6"/>
  <c r="BI123" i="6"/>
  <c r="BI122" i="6"/>
  <c r="BI121" i="6"/>
  <c r="BI120" i="6"/>
  <c r="BI119" i="6"/>
  <c r="BI118" i="6"/>
  <c r="BI117" i="6"/>
  <c r="BI116" i="6"/>
  <c r="BI115" i="6"/>
  <c r="BI114" i="6"/>
  <c r="BI113" i="6"/>
  <c r="BI112" i="6"/>
  <c r="BI111" i="6"/>
  <c r="BI110" i="6"/>
  <c r="BI109" i="6"/>
  <c r="BI108" i="6"/>
  <c r="BI107" i="6"/>
  <c r="BI106" i="6"/>
  <c r="BI105" i="6"/>
  <c r="BI104" i="6"/>
  <c r="BI103" i="6"/>
  <c r="BI102" i="6"/>
  <c r="BI101" i="6"/>
  <c r="BI100" i="6"/>
  <c r="BI99" i="6"/>
  <c r="BI98" i="6"/>
  <c r="BI97" i="6"/>
  <c r="BI96" i="6"/>
  <c r="BI95" i="6"/>
  <c r="BI94" i="6"/>
  <c r="BI93" i="6"/>
  <c r="BI92" i="6"/>
  <c r="BI91" i="6"/>
  <c r="BI90" i="6"/>
  <c r="BI89" i="6"/>
  <c r="BI88" i="6"/>
  <c r="BI87" i="6"/>
  <c r="BI86" i="6"/>
  <c r="BI85" i="6"/>
  <c r="BI84" i="6"/>
  <c r="BI83" i="6"/>
  <c r="BI82" i="6"/>
  <c r="BI81" i="6"/>
  <c r="BI80" i="6"/>
  <c r="BI79" i="6"/>
  <c r="BI78"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I45" i="6"/>
  <c r="BI44" i="6"/>
  <c r="BI43" i="6"/>
  <c r="BI42" i="6"/>
  <c r="BI41" i="6"/>
  <c r="BI40" i="6"/>
  <c r="BI39" i="6"/>
  <c r="BI38" i="6"/>
  <c r="BI37" i="6"/>
  <c r="BI36" i="6"/>
  <c r="BI35" i="6"/>
  <c r="BI34" i="6"/>
  <c r="BI33" i="6"/>
  <c r="BI32" i="6"/>
  <c r="BI31" i="6"/>
  <c r="BI30" i="6"/>
  <c r="BI29" i="6"/>
  <c r="BI28" i="6"/>
  <c r="BI27" i="6"/>
  <c r="BI26" i="6"/>
  <c r="BI25" i="6"/>
  <c r="BI24" i="6"/>
  <c r="BI23" i="6"/>
  <c r="BI22" i="6"/>
  <c r="BI21" i="6"/>
  <c r="BI20" i="6"/>
  <c r="BI19" i="6"/>
  <c r="BI18" i="6"/>
  <c r="BI17" i="6"/>
  <c r="BI16" i="6"/>
  <c r="BI15" i="6"/>
  <c r="BI14" i="6"/>
  <c r="BI13" i="6"/>
  <c r="BI12" i="6"/>
  <c r="BI11" i="6"/>
  <c r="BI10" i="6"/>
  <c r="BI9" i="6"/>
  <c r="BI8" i="6"/>
  <c r="BI7" i="6"/>
  <c r="BI6" i="6"/>
  <c r="BI5" i="6"/>
  <c r="BI4" i="6"/>
  <c r="BI3" i="6"/>
  <c r="BI2" i="6"/>
  <c r="AW152" i="6"/>
  <c r="AW153" i="6"/>
  <c r="AW154" i="6"/>
  <c r="AW155" i="6"/>
  <c r="AW156" i="6"/>
  <c r="BC72" i="6"/>
  <c r="AW140" i="6"/>
  <c r="AW141" i="6"/>
  <c r="AW142" i="6"/>
  <c r="AW143" i="6"/>
  <c r="AW144" i="6"/>
  <c r="AW145" i="6"/>
  <c r="AW146" i="6"/>
  <c r="AW147" i="6"/>
  <c r="AW148" i="6"/>
  <c r="AW149" i="6"/>
  <c r="AW150" i="6"/>
  <c r="AQ140" i="6"/>
  <c r="AQ141" i="6"/>
  <c r="AQ142" i="6"/>
  <c r="AQ143" i="6"/>
  <c r="AQ144" i="6"/>
  <c r="AQ145" i="6"/>
  <c r="AQ146" i="6"/>
  <c r="AQ147" i="6"/>
  <c r="AQ148" i="6"/>
  <c r="AQ149" i="6"/>
  <c r="AQ150" i="6"/>
  <c r="AK142" i="6"/>
  <c r="AK143" i="6"/>
  <c r="AK144" i="6"/>
  <c r="AK145" i="6"/>
  <c r="AK146" i="6"/>
  <c r="AK147" i="6"/>
  <c r="AK148" i="6"/>
  <c r="AK149" i="6"/>
  <c r="AK150" i="6"/>
  <c r="AK151" i="6"/>
  <c r="U126" i="4" l="1"/>
  <c r="T126" i="4"/>
  <c r="S126" i="4"/>
  <c r="R126" i="4"/>
  <c r="Q126" i="4"/>
  <c r="P126" i="4"/>
  <c r="O126" i="4"/>
  <c r="N126" i="4"/>
  <c r="M126" i="4"/>
  <c r="L126" i="4"/>
  <c r="K126" i="4"/>
  <c r="J126" i="4"/>
  <c r="I126" i="4"/>
  <c r="H126" i="4"/>
  <c r="U123" i="4"/>
  <c r="T123" i="4"/>
  <c r="S123" i="4"/>
  <c r="R123" i="4"/>
  <c r="Q123" i="4"/>
  <c r="P123" i="4"/>
  <c r="O123" i="4"/>
  <c r="N123" i="4"/>
  <c r="M123" i="4"/>
  <c r="L123" i="4"/>
  <c r="K123" i="4"/>
  <c r="J123" i="4"/>
  <c r="I123" i="4"/>
  <c r="H123" i="4"/>
  <c r="R29" i="4" l="1"/>
  <c r="Q29" i="4"/>
  <c r="P29" i="4"/>
  <c r="O29" i="4"/>
  <c r="N29" i="4"/>
  <c r="M29" i="4"/>
  <c r="L29" i="4"/>
  <c r="K29" i="4"/>
  <c r="J29" i="4"/>
  <c r="I29" i="4"/>
  <c r="H29" i="4"/>
  <c r="T33" i="4"/>
  <c r="S33" i="4"/>
  <c r="R33" i="4"/>
  <c r="Q33" i="4"/>
  <c r="P33" i="4"/>
  <c r="O33" i="4"/>
  <c r="N33" i="4"/>
  <c r="M33" i="4"/>
  <c r="L33" i="4"/>
  <c r="K33" i="4"/>
  <c r="J33" i="4"/>
  <c r="I33" i="4"/>
  <c r="H33" i="4"/>
  <c r="T32" i="4"/>
  <c r="S32" i="4"/>
  <c r="R32" i="4"/>
  <c r="Q32" i="4"/>
  <c r="P32" i="4"/>
  <c r="O32" i="4"/>
  <c r="N32" i="4"/>
  <c r="M32" i="4"/>
  <c r="L32" i="4"/>
  <c r="K32" i="4"/>
  <c r="J32" i="4"/>
  <c r="I32" i="4"/>
  <c r="H32" i="4"/>
  <c r="T31" i="4"/>
  <c r="S31" i="4"/>
  <c r="R31" i="4"/>
  <c r="Q31" i="4"/>
  <c r="P31" i="4"/>
  <c r="O31" i="4"/>
  <c r="N31" i="4"/>
  <c r="M31" i="4"/>
  <c r="L31" i="4"/>
  <c r="K31" i="4"/>
  <c r="J31" i="4"/>
  <c r="I31" i="4"/>
  <c r="H31" i="4"/>
  <c r="T30" i="4"/>
  <c r="S30" i="4"/>
  <c r="R30" i="4"/>
  <c r="Q30" i="4"/>
  <c r="P30" i="4"/>
  <c r="O30" i="4"/>
  <c r="N30" i="4"/>
  <c r="M30" i="4"/>
  <c r="L30" i="4"/>
  <c r="K30" i="4"/>
  <c r="J30" i="4"/>
  <c r="I30" i="4"/>
  <c r="H30" i="4"/>
  <c r="S29" i="4"/>
  <c r="S28" i="4"/>
  <c r="R28" i="4"/>
  <c r="Q28" i="4"/>
  <c r="P28" i="4"/>
  <c r="O28" i="4"/>
  <c r="N28" i="4"/>
  <c r="M28" i="4"/>
  <c r="L28" i="4"/>
  <c r="K28" i="4"/>
  <c r="J28" i="4"/>
  <c r="I28" i="4"/>
  <c r="H28" i="4"/>
  <c r="S96" i="1"/>
  <c r="S95" i="1"/>
  <c r="S94" i="1"/>
  <c r="S93" i="1"/>
  <c r="S92" i="1"/>
  <c r="S91" i="1"/>
  <c r="S90" i="1"/>
  <c r="S89" i="1"/>
  <c r="S88" i="1"/>
  <c r="S87" i="1"/>
  <c r="V92" i="1" l="1"/>
  <c r="P26" i="1"/>
  <c r="R24" i="1"/>
  <c r="P24" i="1"/>
  <c r="D2" i="5"/>
  <c r="D247" i="13" l="1"/>
  <c r="D246" i="13"/>
  <c r="D245" i="13"/>
  <c r="D244" i="13"/>
  <c r="D69" i="10"/>
  <c r="C69" i="10"/>
  <c r="B43" i="13"/>
  <c r="C17" i="1"/>
  <c r="D14" i="2"/>
  <c r="C207" i="4"/>
  <c r="C202" i="4"/>
  <c r="C196" i="4"/>
  <c r="C187" i="4"/>
  <c r="C181" i="4"/>
  <c r="C169" i="4"/>
  <c r="C165" i="4"/>
  <c r="C161" i="4"/>
  <c r="C154" i="4" a="1"/>
  <c r="C154" i="4" s="1"/>
  <c r="C148" i="4"/>
  <c r="C149" i="4"/>
  <c r="C206" i="4"/>
  <c r="C199" i="4"/>
  <c r="C195" i="4"/>
  <c r="C186" i="4"/>
  <c r="C180" i="4"/>
  <c r="C168" i="4"/>
  <c r="C164" i="4"/>
  <c r="C151" i="4"/>
  <c r="C155" i="4"/>
  <c r="C144" i="4"/>
  <c r="C197" i="4"/>
  <c r="C182" i="4"/>
  <c r="C166" i="4"/>
  <c r="C162" i="4"/>
  <c r="C205" i="4"/>
  <c r="C198" i="4"/>
  <c r="C190" i="4"/>
  <c r="C185" i="4"/>
  <c r="C171" i="4"/>
  <c r="C167" i="4"/>
  <c r="C163" i="4"/>
  <c r="C152" i="4"/>
  <c r="C150" i="4"/>
  <c r="C143" i="4"/>
  <c r="C203" i="4"/>
  <c r="C189" i="4"/>
  <c r="C170" i="4"/>
  <c r="C153" i="4"/>
  <c r="D26" i="4"/>
  <c r="C34" i="4"/>
  <c r="C26" i="4"/>
  <c r="D61" i="11"/>
  <c r="C61" i="11"/>
  <c r="C119" i="13"/>
  <c r="C115" i="13"/>
  <c r="C111" i="13"/>
  <c r="C118" i="13"/>
  <c r="C114" i="13"/>
  <c r="C112" i="13"/>
  <c r="C117" i="13"/>
  <c r="C113" i="13"/>
  <c r="C116" i="13"/>
  <c r="B55" i="4"/>
  <c r="B157" i="13"/>
  <c r="B156" i="13"/>
  <c r="B155" i="13"/>
  <c r="D34" i="4"/>
  <c r="C15" i="10"/>
  <c r="D30" i="2"/>
  <c r="C57" i="16"/>
  <c r="C58" i="16"/>
  <c r="C9" i="16"/>
  <c r="B53" i="16" s="1"/>
  <c r="D59" i="16"/>
  <c r="C59" i="16"/>
  <c r="D58" i="16"/>
  <c r="D57" i="16"/>
  <c r="C8" i="16"/>
  <c r="B35" i="16"/>
  <c r="C45" i="16"/>
  <c r="B49" i="16"/>
  <c r="C47" i="16"/>
  <c r="B37" i="16"/>
  <c r="C46" i="16"/>
  <c r="B36" i="16"/>
  <c r="C7" i="16"/>
  <c r="D46" i="16"/>
  <c r="D29" i="16"/>
  <c r="D25" i="16"/>
  <c r="D21" i="16"/>
  <c r="D17" i="16"/>
  <c r="C32" i="16"/>
  <c r="C28" i="16"/>
  <c r="C23" i="16"/>
  <c r="C19" i="16"/>
  <c r="D26" i="16"/>
  <c r="D22" i="16"/>
  <c r="C29" i="16"/>
  <c r="C16" i="16"/>
  <c r="D45" i="16"/>
  <c r="D28" i="16"/>
  <c r="D24" i="16"/>
  <c r="D20" i="16"/>
  <c r="D16" i="16"/>
  <c r="C31" i="16"/>
  <c r="C27" i="16"/>
  <c r="C22" i="16"/>
  <c r="C18" i="16"/>
  <c r="D32" i="16"/>
  <c r="C33" i="16"/>
  <c r="C20" i="16"/>
  <c r="D31" i="16"/>
  <c r="D27" i="16"/>
  <c r="D23" i="16"/>
  <c r="D19" i="16"/>
  <c r="D33" i="16"/>
  <c r="C25" i="16"/>
  <c r="C26" i="16"/>
  <c r="C21" i="16"/>
  <c r="C17" i="16"/>
  <c r="D47" i="16"/>
  <c r="D18" i="16"/>
  <c r="C24" i="16"/>
  <c r="B41" i="16" l="1"/>
  <c r="B12" i="16"/>
  <c r="V96" i="1" l="1"/>
  <c r="V95" i="1"/>
  <c r="V94" i="1"/>
  <c r="V93" i="1"/>
  <c r="V91" i="1"/>
  <c r="V90" i="1"/>
  <c r="V89" i="1"/>
  <c r="V88" i="1"/>
  <c r="V87" i="1"/>
  <c r="S153" i="6"/>
  <c r="S154" i="6"/>
  <c r="S155" i="6"/>
  <c r="S156" i="6"/>
  <c r="S157" i="6"/>
  <c r="S158" i="6"/>
  <c r="S159" i="6"/>
  <c r="S152" i="6"/>
  <c r="AE132" i="6" l="1"/>
  <c r="AE133" i="6"/>
  <c r="AE134" i="6"/>
  <c r="AE135" i="6"/>
  <c r="S132" i="6"/>
  <c r="S133" i="6"/>
  <c r="S134" i="6"/>
  <c r="S135" i="6"/>
  <c r="Y132" i="6"/>
  <c r="Y133" i="6"/>
  <c r="Y134" i="6"/>
  <c r="Y135" i="6"/>
  <c r="BO151" i="6" l="1"/>
  <c r="BO150" i="6"/>
  <c r="BO149" i="6"/>
  <c r="BO148" i="6"/>
  <c r="BO147" i="6"/>
  <c r="BO146" i="6"/>
  <c r="BO145" i="6"/>
  <c r="BO144" i="6"/>
  <c r="BO143" i="6"/>
  <c r="BO142" i="6"/>
  <c r="BO141" i="6"/>
  <c r="BO140" i="6"/>
  <c r="BO139" i="6"/>
  <c r="BO138" i="6"/>
  <c r="BO137" i="6"/>
  <c r="BO136" i="6"/>
  <c r="BO135" i="6"/>
  <c r="BO134" i="6"/>
  <c r="BO133" i="6"/>
  <c r="BO132" i="6"/>
  <c r="BO131" i="6"/>
  <c r="BO130" i="6"/>
  <c r="BO129" i="6"/>
  <c r="BO128" i="6"/>
  <c r="BO127" i="6"/>
  <c r="BO126" i="6"/>
  <c r="BO125" i="6"/>
  <c r="BO124" i="6"/>
  <c r="BO123" i="6"/>
  <c r="BO122" i="6"/>
  <c r="BO121" i="6"/>
  <c r="BO120" i="6"/>
  <c r="BO119" i="6"/>
  <c r="BO118" i="6"/>
  <c r="BO117" i="6"/>
  <c r="BO116" i="6"/>
  <c r="BO115" i="6"/>
  <c r="BO114" i="6"/>
  <c r="BO113" i="6"/>
  <c r="BO112" i="6"/>
  <c r="BO111" i="6"/>
  <c r="BO110" i="6"/>
  <c r="BO109" i="6"/>
  <c r="BO108" i="6"/>
  <c r="BO107" i="6"/>
  <c r="BO106" i="6"/>
  <c r="BO105" i="6"/>
  <c r="BO104" i="6"/>
  <c r="BO103" i="6"/>
  <c r="BO102" i="6"/>
  <c r="BO101" i="6"/>
  <c r="BO100" i="6"/>
  <c r="BO99" i="6"/>
  <c r="BO98" i="6"/>
  <c r="BO97" i="6"/>
  <c r="BO96" i="6"/>
  <c r="BO95" i="6"/>
  <c r="BO94" i="6"/>
  <c r="BO93" i="6"/>
  <c r="BO92" i="6"/>
  <c r="BO91" i="6"/>
  <c r="BO90" i="6"/>
  <c r="BO89" i="6"/>
  <c r="BO88" i="6"/>
  <c r="BO87" i="6"/>
  <c r="BO86" i="6"/>
  <c r="BO85" i="6"/>
  <c r="BO84" i="6"/>
  <c r="BO83" i="6"/>
  <c r="BO82" i="6"/>
  <c r="BO81" i="6"/>
  <c r="BO80" i="6"/>
  <c r="BO79" i="6"/>
  <c r="BO78" i="6"/>
  <c r="BO77" i="6"/>
  <c r="BO76" i="6"/>
  <c r="BO75" i="6"/>
  <c r="BO74" i="6"/>
  <c r="BO73" i="6"/>
  <c r="BO72" i="6"/>
  <c r="BO71" i="6"/>
  <c r="BO70" i="6"/>
  <c r="BO69" i="6"/>
  <c r="BO68" i="6"/>
  <c r="BO67" i="6"/>
  <c r="BO66" i="6"/>
  <c r="BO65" i="6"/>
  <c r="BO64" i="6"/>
  <c r="BO63" i="6"/>
  <c r="BO62" i="6"/>
  <c r="BO61" i="6"/>
  <c r="BO60" i="6"/>
  <c r="BO59" i="6"/>
  <c r="BO58" i="6"/>
  <c r="BO57" i="6"/>
  <c r="BO56" i="6"/>
  <c r="BO55" i="6"/>
  <c r="BO54" i="6"/>
  <c r="BO53" i="6"/>
  <c r="BO52" i="6"/>
  <c r="BO51" i="6"/>
  <c r="BO50" i="6"/>
  <c r="BO49" i="6"/>
  <c r="BO48" i="6"/>
  <c r="BO47" i="6"/>
  <c r="BO46" i="6"/>
  <c r="BO45" i="6"/>
  <c r="BO44" i="6"/>
  <c r="BO43" i="6"/>
  <c r="BO42" i="6"/>
  <c r="BO41" i="6"/>
  <c r="BO40" i="6"/>
  <c r="BO39" i="6"/>
  <c r="BO38" i="6"/>
  <c r="BO37" i="6"/>
  <c r="BO36" i="6"/>
  <c r="BO35" i="6"/>
  <c r="BO34" i="6"/>
  <c r="BO33" i="6"/>
  <c r="BO32" i="6"/>
  <c r="BO31" i="6"/>
  <c r="BO30" i="6"/>
  <c r="BO29" i="6"/>
  <c r="BO28" i="6"/>
  <c r="BO27" i="6"/>
  <c r="BO26" i="6"/>
  <c r="BO25" i="6"/>
  <c r="BO24" i="6"/>
  <c r="BO23" i="6"/>
  <c r="BO22" i="6"/>
  <c r="BO21" i="6"/>
  <c r="BO20" i="6"/>
  <c r="BO19" i="6"/>
  <c r="BO18" i="6"/>
  <c r="BO17" i="6"/>
  <c r="BO16" i="6"/>
  <c r="BO15" i="6"/>
  <c r="BO14" i="6"/>
  <c r="BO13" i="6"/>
  <c r="BO12" i="6"/>
  <c r="BO11" i="6"/>
  <c r="BO10" i="6"/>
  <c r="BO9" i="6"/>
  <c r="BO8" i="6"/>
  <c r="BO7" i="6"/>
  <c r="BO6" i="6"/>
  <c r="BO5" i="6"/>
  <c r="BO4" i="6"/>
  <c r="BO3" i="6"/>
  <c r="BO2" i="6"/>
  <c r="BC151" i="6"/>
  <c r="BC150" i="6"/>
  <c r="BC149" i="6"/>
  <c r="BC148" i="6"/>
  <c r="BC147" i="6"/>
  <c r="BC146" i="6"/>
  <c r="BC145" i="6"/>
  <c r="BC144" i="6"/>
  <c r="BC143" i="6"/>
  <c r="BC142" i="6"/>
  <c r="BC141" i="6"/>
  <c r="BC140" i="6"/>
  <c r="BC139" i="6"/>
  <c r="BC138" i="6"/>
  <c r="BC137" i="6"/>
  <c r="BC136" i="6"/>
  <c r="BC135" i="6"/>
  <c r="BC134" i="6"/>
  <c r="BC133" i="6"/>
  <c r="BC132" i="6"/>
  <c r="BC131" i="6"/>
  <c r="BC130" i="6"/>
  <c r="BC129" i="6"/>
  <c r="BC128" i="6"/>
  <c r="BC127" i="6"/>
  <c r="BC126" i="6"/>
  <c r="BC125" i="6"/>
  <c r="BC124" i="6"/>
  <c r="BC123" i="6"/>
  <c r="BC122" i="6"/>
  <c r="BC121" i="6"/>
  <c r="BC120" i="6"/>
  <c r="BC119" i="6"/>
  <c r="BC118" i="6"/>
  <c r="BC117" i="6"/>
  <c r="BC116" i="6"/>
  <c r="BC115" i="6"/>
  <c r="BC114" i="6"/>
  <c r="BC113" i="6"/>
  <c r="BC112" i="6"/>
  <c r="BC111" i="6"/>
  <c r="BC110" i="6"/>
  <c r="BC109" i="6"/>
  <c r="BC108" i="6"/>
  <c r="BC107" i="6"/>
  <c r="BC106" i="6"/>
  <c r="BC105" i="6"/>
  <c r="BC104" i="6"/>
  <c r="BC103" i="6"/>
  <c r="BC102" i="6"/>
  <c r="BC101" i="6"/>
  <c r="BC100" i="6"/>
  <c r="BC99" i="6"/>
  <c r="BC98" i="6"/>
  <c r="BC97" i="6"/>
  <c r="BC96" i="6"/>
  <c r="BC95" i="6"/>
  <c r="BC94" i="6"/>
  <c r="BC93" i="6"/>
  <c r="BC92" i="6"/>
  <c r="BC91" i="6"/>
  <c r="BC90" i="6"/>
  <c r="BC89" i="6"/>
  <c r="BC88" i="6"/>
  <c r="BC87" i="6"/>
  <c r="BC86" i="6"/>
  <c r="BC85" i="6"/>
  <c r="BC84" i="6"/>
  <c r="BC83" i="6"/>
  <c r="BC82" i="6"/>
  <c r="BC81" i="6"/>
  <c r="BC80" i="6"/>
  <c r="BC79" i="6"/>
  <c r="BC78" i="6"/>
  <c r="BC77" i="6"/>
  <c r="BC76" i="6"/>
  <c r="BC75" i="6"/>
  <c r="BC74" i="6"/>
  <c r="BC73"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C45" i="6"/>
  <c r="BC44" i="6"/>
  <c r="BC43" i="6"/>
  <c r="BC42" i="6"/>
  <c r="BC41" i="6"/>
  <c r="BC40" i="6"/>
  <c r="BC39" i="6"/>
  <c r="BC38" i="6"/>
  <c r="BC37" i="6"/>
  <c r="BC36" i="6"/>
  <c r="BC35" i="6"/>
  <c r="BC34" i="6"/>
  <c r="BC33" i="6"/>
  <c r="BC32" i="6"/>
  <c r="BC31" i="6"/>
  <c r="BC30" i="6"/>
  <c r="BC29" i="6"/>
  <c r="BC28" i="6"/>
  <c r="BC27" i="6"/>
  <c r="BC26" i="6"/>
  <c r="BC25" i="6"/>
  <c r="BC24" i="6"/>
  <c r="BC23" i="6"/>
  <c r="BC22" i="6"/>
  <c r="BC21" i="6"/>
  <c r="BC20" i="6"/>
  <c r="BC19" i="6"/>
  <c r="BC18" i="6"/>
  <c r="BC17" i="6"/>
  <c r="BC16" i="6"/>
  <c r="BC15" i="6"/>
  <c r="BC14" i="6"/>
  <c r="BC13" i="6"/>
  <c r="BC12" i="6"/>
  <c r="BC11" i="6"/>
  <c r="BC10" i="6"/>
  <c r="BC9" i="6"/>
  <c r="BC8" i="6"/>
  <c r="BC7" i="6"/>
  <c r="BC6" i="6"/>
  <c r="BC5" i="6"/>
  <c r="BC4" i="6"/>
  <c r="BC3" i="6"/>
  <c r="BC2" i="6"/>
  <c r="AW151" i="6"/>
  <c r="AW139" i="6"/>
  <c r="AW138" i="6"/>
  <c r="AW137" i="6"/>
  <c r="AW136" i="6"/>
  <c r="AW135" i="6"/>
  <c r="AW134" i="6"/>
  <c r="AW133" i="6"/>
  <c r="AW132" i="6"/>
  <c r="AW131" i="6"/>
  <c r="AW130" i="6"/>
  <c r="AW129" i="6"/>
  <c r="AW128" i="6"/>
  <c r="AW127" i="6"/>
  <c r="AW126" i="6"/>
  <c r="AW125" i="6"/>
  <c r="AW124" i="6"/>
  <c r="AW123" i="6"/>
  <c r="AW122" i="6"/>
  <c r="AW121" i="6"/>
  <c r="AW120" i="6"/>
  <c r="AW119" i="6"/>
  <c r="AW118" i="6"/>
  <c r="AW117" i="6"/>
  <c r="AW116" i="6"/>
  <c r="AW115" i="6"/>
  <c r="AW114" i="6"/>
  <c r="AW113" i="6"/>
  <c r="AW112" i="6"/>
  <c r="AW111" i="6"/>
  <c r="AW110" i="6"/>
  <c r="AW109" i="6"/>
  <c r="AW108" i="6"/>
  <c r="AW107" i="6"/>
  <c r="AW106" i="6"/>
  <c r="AW105" i="6"/>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W45" i="6"/>
  <c r="AW44" i="6"/>
  <c r="AW43" i="6"/>
  <c r="AW42" i="6"/>
  <c r="AW41" i="6"/>
  <c r="AW40" i="6"/>
  <c r="AW39" i="6"/>
  <c r="AW38" i="6"/>
  <c r="AW37" i="6"/>
  <c r="AW36" i="6"/>
  <c r="AW35" i="6"/>
  <c r="AW34" i="6"/>
  <c r="AW33" i="6"/>
  <c r="AW32" i="6"/>
  <c r="AW31" i="6"/>
  <c r="AW30" i="6"/>
  <c r="AW29" i="6"/>
  <c r="AW28" i="6"/>
  <c r="AW27" i="6"/>
  <c r="AW26" i="6"/>
  <c r="AW25" i="6"/>
  <c r="AW24" i="6"/>
  <c r="AW23" i="6"/>
  <c r="AW22" i="6"/>
  <c r="AW21" i="6"/>
  <c r="AW20" i="6"/>
  <c r="AW19" i="6"/>
  <c r="AW18" i="6"/>
  <c r="AW17" i="6"/>
  <c r="AW16" i="6"/>
  <c r="AW15" i="6"/>
  <c r="AW14" i="6"/>
  <c r="AW13" i="6"/>
  <c r="AW12" i="6"/>
  <c r="AW11" i="6"/>
  <c r="AW10" i="6"/>
  <c r="AW9" i="6"/>
  <c r="AW8" i="6"/>
  <c r="AW7" i="6"/>
  <c r="AW6" i="6"/>
  <c r="AW5" i="6"/>
  <c r="AW4" i="6"/>
  <c r="AW3" i="6"/>
  <c r="AW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C53" i="13" l="1"/>
  <c r="C24" i="13"/>
  <c r="B336" i="13"/>
  <c r="B275" i="13"/>
  <c r="C290" i="13"/>
  <c r="C320" i="13"/>
  <c r="D306" i="13"/>
  <c r="B153" i="13"/>
  <c r="D290" i="13"/>
  <c r="B152" i="13"/>
  <c r="D330" i="13"/>
  <c r="C307" i="13"/>
  <c r="D292" i="13"/>
  <c r="B38" i="13"/>
  <c r="C319" i="13"/>
  <c r="D319" i="13"/>
  <c r="B235" i="13"/>
  <c r="B234" i="13"/>
  <c r="B332" i="13"/>
  <c r="D307" i="13"/>
  <c r="B150" i="13"/>
  <c r="D328" i="13"/>
  <c r="B326" i="13"/>
  <c r="B310" i="13"/>
  <c r="B71" i="13"/>
  <c r="D285" i="13"/>
  <c r="B40" i="13"/>
  <c r="D324" i="13"/>
  <c r="B276" i="13"/>
  <c r="D288" i="13"/>
  <c r="D327" i="13"/>
  <c r="B317" i="13"/>
  <c r="B44" i="13"/>
  <c r="C324" i="13"/>
  <c r="B151" i="13"/>
  <c r="B42" i="13"/>
  <c r="D329" i="13"/>
  <c r="C323" i="13"/>
  <c r="C306" i="13"/>
  <c r="D291" i="13"/>
  <c r="D321" i="13"/>
  <c r="B295" i="13"/>
  <c r="B41" i="13"/>
  <c r="C289" i="13"/>
  <c r="B298" i="13"/>
  <c r="D289" i="13"/>
  <c r="B333" i="13"/>
  <c r="C287" i="13"/>
  <c r="D320" i="13"/>
  <c r="C308" i="13"/>
  <c r="B36" i="13"/>
  <c r="B39" i="13"/>
  <c r="C286" i="13"/>
  <c r="D323" i="13"/>
  <c r="B297" i="13"/>
  <c r="D287" i="13"/>
  <c r="B335" i="13"/>
  <c r="B233" i="13"/>
  <c r="B37" i="13"/>
  <c r="C285" i="13"/>
  <c r="B236" i="13"/>
  <c r="C292" i="13"/>
  <c r="D308" i="13"/>
  <c r="B154" i="13"/>
  <c r="B334" i="13"/>
  <c r="B294" i="13"/>
  <c r="C288" i="13"/>
  <c r="B296" i="13"/>
  <c r="C291" i="13"/>
  <c r="B58" i="15"/>
  <c r="C55" i="15"/>
  <c r="C8" i="15"/>
  <c r="B29" i="15" s="1"/>
  <c r="B24" i="15"/>
  <c r="B39" i="15"/>
  <c r="C54" i="15"/>
  <c r="C7" i="15"/>
  <c r="C69" i="15"/>
  <c r="B25" i="15"/>
  <c r="C53" i="15"/>
  <c r="C22" i="15"/>
  <c r="C73" i="15"/>
  <c r="C47" i="15"/>
  <c r="C21" i="15"/>
  <c r="C71" i="15"/>
  <c r="C37" i="15"/>
  <c r="C36" i="15"/>
  <c r="C35" i="15"/>
  <c r="C68" i="15"/>
  <c r="C67" i="15"/>
  <c r="C17" i="15"/>
  <c r="C66" i="15"/>
  <c r="C10" i="15"/>
  <c r="C51" i="15"/>
  <c r="C20" i="15"/>
  <c r="C48" i="15"/>
  <c r="C50" i="15"/>
  <c r="C19" i="15"/>
  <c r="C52" i="15"/>
  <c r="C49" i="15"/>
  <c r="C18" i="15"/>
  <c r="C56" i="15"/>
  <c r="C72" i="15"/>
  <c r="C9" i="15"/>
  <c r="C70" i="15"/>
  <c r="C34" i="15"/>
  <c r="C33" i="15"/>
  <c r="C284" i="13"/>
  <c r="D271" i="13"/>
  <c r="D263" i="13"/>
  <c r="D257" i="13"/>
  <c r="C271" i="13"/>
  <c r="C266" i="13"/>
  <c r="C261" i="13"/>
  <c r="C256" i="13"/>
  <c r="C245" i="13"/>
  <c r="D229" i="13"/>
  <c r="D225" i="13"/>
  <c r="D221" i="13"/>
  <c r="D217" i="13"/>
  <c r="D211" i="13"/>
  <c r="D207" i="13"/>
  <c r="D201" i="13"/>
  <c r="D197" i="13"/>
  <c r="D189" i="13"/>
  <c r="D267" i="13"/>
  <c r="C273" i="13"/>
  <c r="C263" i="13"/>
  <c r="D231" i="13"/>
  <c r="D219" i="13"/>
  <c r="D209" i="13"/>
  <c r="D199" i="13"/>
  <c r="D266" i="13"/>
  <c r="D258" i="13"/>
  <c r="C267" i="13"/>
  <c r="C257" i="13"/>
  <c r="C246" i="13"/>
  <c r="D222" i="13"/>
  <c r="D212" i="13"/>
  <c r="D202" i="13"/>
  <c r="D193" i="13"/>
  <c r="D268" i="13"/>
  <c r="D262" i="13"/>
  <c r="D256" i="13"/>
  <c r="C270" i="13"/>
  <c r="C265" i="13"/>
  <c r="C260" i="13"/>
  <c r="C255" i="13"/>
  <c r="C244" i="13"/>
  <c r="D228" i="13"/>
  <c r="D224" i="13"/>
  <c r="D220" i="13"/>
  <c r="D216" i="13"/>
  <c r="D210" i="13"/>
  <c r="D206" i="13"/>
  <c r="D200" i="13"/>
  <c r="D192" i="13"/>
  <c r="D188" i="13"/>
  <c r="D261" i="13"/>
  <c r="C268" i="13"/>
  <c r="C258" i="13"/>
  <c r="C247" i="13"/>
  <c r="D227" i="13"/>
  <c r="D223" i="13"/>
  <c r="D215" i="13"/>
  <c r="D203" i="13"/>
  <c r="D191" i="13"/>
  <c r="D187" i="13"/>
  <c r="D272" i="13"/>
  <c r="C272" i="13"/>
  <c r="C262" i="13"/>
  <c r="D230" i="13"/>
  <c r="D226" i="13"/>
  <c r="D218" i="13"/>
  <c r="D208" i="13"/>
  <c r="D198" i="13"/>
  <c r="D273" i="13"/>
  <c r="C228" i="13"/>
  <c r="C224" i="13"/>
  <c r="C220" i="13"/>
  <c r="C216" i="13"/>
  <c r="C193" i="13"/>
  <c r="C191" i="13"/>
  <c r="D179" i="13"/>
  <c r="D177" i="13"/>
  <c r="D175" i="13"/>
  <c r="D173" i="13"/>
  <c r="C170" i="13"/>
  <c r="C168" i="13"/>
  <c r="C166" i="13"/>
  <c r="D147" i="13"/>
  <c r="D145" i="13"/>
  <c r="D143" i="13"/>
  <c r="C140" i="13"/>
  <c r="C138" i="13"/>
  <c r="C136" i="13"/>
  <c r="C134" i="13"/>
  <c r="C132" i="13"/>
  <c r="C130" i="13"/>
  <c r="D126" i="13"/>
  <c r="D124" i="13"/>
  <c r="D118" i="13"/>
  <c r="D114" i="13"/>
  <c r="D112" i="13"/>
  <c r="C107" i="13"/>
  <c r="D103" i="13"/>
  <c r="D101" i="13"/>
  <c r="D99" i="13"/>
  <c r="C96" i="13"/>
  <c r="C94" i="13"/>
  <c r="C92" i="13"/>
  <c r="C90" i="13"/>
  <c r="D86" i="13"/>
  <c r="D84" i="13"/>
  <c r="D82" i="13"/>
  <c r="D80" i="13"/>
  <c r="D69" i="13"/>
  <c r="D67" i="13"/>
  <c r="D65" i="13"/>
  <c r="D63" i="13"/>
  <c r="D54" i="13"/>
  <c r="D52" i="13"/>
  <c r="D28" i="13"/>
  <c r="C16" i="13"/>
  <c r="B302" i="13" s="1"/>
  <c r="C12" i="13"/>
  <c r="B183" i="13" s="1"/>
  <c r="C8" i="13"/>
  <c r="B48" i="13" s="1"/>
  <c r="D31" i="13"/>
  <c r="D24" i="13"/>
  <c r="C15" i="13"/>
  <c r="B280" i="13" s="1"/>
  <c r="C7" i="13"/>
  <c r="B20" i="13" s="1"/>
  <c r="C231" i="13"/>
  <c r="C227" i="13"/>
  <c r="C223" i="13"/>
  <c r="C219" i="13"/>
  <c r="C215" i="13"/>
  <c r="C192" i="13"/>
  <c r="C189" i="13"/>
  <c r="C187" i="13"/>
  <c r="C179" i="13"/>
  <c r="C177" i="13"/>
  <c r="C175" i="13"/>
  <c r="C173" i="13"/>
  <c r="D169" i="13"/>
  <c r="D167" i="13"/>
  <c r="D165" i="13"/>
  <c r="C147" i="13"/>
  <c r="C145" i="13"/>
  <c r="C143" i="13"/>
  <c r="D139" i="13"/>
  <c r="D137" i="13"/>
  <c r="D135" i="13"/>
  <c r="D133" i="13"/>
  <c r="D131" i="13"/>
  <c r="D129" i="13"/>
  <c r="C126" i="13"/>
  <c r="C124" i="13"/>
  <c r="D120" i="13"/>
  <c r="D117" i="13"/>
  <c r="D108" i="13"/>
  <c r="C103" i="13"/>
  <c r="C101" i="13"/>
  <c r="C99" i="13"/>
  <c r="D95" i="13"/>
  <c r="D93" i="13"/>
  <c r="D91" i="13"/>
  <c r="C86" i="13"/>
  <c r="C84" i="13"/>
  <c r="C82" i="13"/>
  <c r="C80" i="13"/>
  <c r="C69" i="13"/>
  <c r="C67" i="13"/>
  <c r="C65" i="13"/>
  <c r="C63" i="13"/>
  <c r="C54" i="13"/>
  <c r="C52" i="13"/>
  <c r="C28" i="13"/>
  <c r="C11" i="13"/>
  <c r="B161" i="13" s="1"/>
  <c r="C196" i="13"/>
  <c r="C230" i="13"/>
  <c r="C226" i="13"/>
  <c r="C222" i="13"/>
  <c r="C218" i="13"/>
  <c r="C205" i="13"/>
  <c r="C188" i="13"/>
  <c r="D178" i="13"/>
  <c r="D176" i="13"/>
  <c r="D174" i="13"/>
  <c r="B172" i="13"/>
  <c r="C169" i="13"/>
  <c r="C167" i="13"/>
  <c r="C165" i="13"/>
  <c r="D148" i="13"/>
  <c r="D146" i="13"/>
  <c r="D144" i="13"/>
  <c r="C139" i="13"/>
  <c r="C137" i="13"/>
  <c r="C135" i="13"/>
  <c r="C133" i="13"/>
  <c r="C131" i="13"/>
  <c r="C129" i="13"/>
  <c r="D125" i="13"/>
  <c r="D123" i="13"/>
  <c r="C120" i="13"/>
  <c r="D116" i="13"/>
  <c r="D113" i="13"/>
  <c r="D111" i="13"/>
  <c r="C108" i="13"/>
  <c r="D104" i="13"/>
  <c r="D102" i="13"/>
  <c r="D100" i="13"/>
  <c r="C95" i="13"/>
  <c r="C93" i="13"/>
  <c r="C91" i="13"/>
  <c r="D87" i="13"/>
  <c r="D85" i="13"/>
  <c r="D83" i="13"/>
  <c r="D81" i="13"/>
  <c r="D79" i="13"/>
  <c r="D68" i="13"/>
  <c r="D66" i="13"/>
  <c r="D64" i="13"/>
  <c r="D55" i="13"/>
  <c r="D53" i="13"/>
  <c r="D34" i="13"/>
  <c r="C31" i="13"/>
  <c r="D27" i="13"/>
  <c r="C14" i="13"/>
  <c r="B251" i="13" s="1"/>
  <c r="C10" i="13"/>
  <c r="B75" i="13" s="1"/>
  <c r="C229" i="13"/>
  <c r="C225" i="13"/>
  <c r="C221" i="13"/>
  <c r="C217" i="13"/>
  <c r="C176" i="13"/>
  <c r="D166" i="13"/>
  <c r="C148" i="13"/>
  <c r="D138" i="13"/>
  <c r="D130" i="13"/>
  <c r="D119" i="13"/>
  <c r="D107" i="13"/>
  <c r="D96" i="13"/>
  <c r="C87" i="13"/>
  <c r="C79" i="13"/>
  <c r="C64" i="13"/>
  <c r="C34" i="13"/>
  <c r="C123" i="13"/>
  <c r="C100" i="13"/>
  <c r="C66" i="13"/>
  <c r="C9" i="13"/>
  <c r="B59" i="13" s="1"/>
  <c r="C174" i="13"/>
  <c r="B164" i="13"/>
  <c r="C146" i="13"/>
  <c r="D136" i="13"/>
  <c r="D115" i="13"/>
  <c r="C104" i="13"/>
  <c r="D94" i="13"/>
  <c r="C85" i="13"/>
  <c r="C17" i="13"/>
  <c r="B314" i="13" s="1"/>
  <c r="D168" i="13"/>
  <c r="D132" i="13"/>
  <c r="D90" i="13"/>
  <c r="D170" i="13"/>
  <c r="C144" i="13"/>
  <c r="D134" i="13"/>
  <c r="C125" i="13"/>
  <c r="C102" i="13"/>
  <c r="D92" i="13"/>
  <c r="C83" i="13"/>
  <c r="C68" i="13"/>
  <c r="C55" i="13"/>
  <c r="C13" i="13"/>
  <c r="B240" i="13" s="1"/>
  <c r="C178" i="13"/>
  <c r="D140" i="13"/>
  <c r="C81" i="13"/>
  <c r="C27" i="13"/>
  <c r="D7" i="2"/>
  <c r="D29" i="2"/>
  <c r="C36" i="14"/>
  <c r="C26" i="14"/>
  <c r="C17" i="14"/>
  <c r="C41" i="14"/>
  <c r="C31" i="14"/>
  <c r="D20" i="14"/>
  <c r="C35" i="14"/>
  <c r="C24" i="14"/>
  <c r="C16" i="14"/>
  <c r="D21" i="14"/>
  <c r="B46" i="14"/>
  <c r="C34" i="14"/>
  <c r="C23" i="14"/>
  <c r="C15" i="14"/>
  <c r="D37" i="14"/>
  <c r="C28" i="14"/>
  <c r="D18" i="14"/>
  <c r="B44" i="14"/>
  <c r="C33" i="14"/>
  <c r="C22" i="14"/>
  <c r="D41" i="14"/>
  <c r="C32" i="14"/>
  <c r="C21" i="14"/>
  <c r="D35" i="14"/>
  <c r="D24" i="14"/>
  <c r="D16" i="14"/>
  <c r="C40" i="14"/>
  <c r="D29" i="14"/>
  <c r="C20" i="14"/>
  <c r="C7" i="14"/>
  <c r="B43" i="14"/>
  <c r="D28" i="14"/>
  <c r="D33" i="14"/>
  <c r="C18" i="14"/>
  <c r="D32" i="14"/>
  <c r="D19" i="14"/>
  <c r="D17" i="14"/>
  <c r="D15" i="14"/>
  <c r="B48" i="14"/>
  <c r="C19" i="14"/>
  <c r="D22" i="14"/>
  <c r="C14" i="14"/>
  <c r="C37" i="14"/>
  <c r="D38" i="14"/>
  <c r="D36" i="14"/>
  <c r="B49" i="14"/>
  <c r="C38" i="14"/>
  <c r="C27" i="14"/>
  <c r="B45" i="14"/>
  <c r="D23" i="14"/>
  <c r="D27" i="14"/>
  <c r="C29" i="14"/>
  <c r="B47" i="14"/>
  <c r="D34" i="14"/>
  <c r="B111" i="12"/>
  <c r="D74" i="12"/>
  <c r="B110" i="12"/>
  <c r="C70" i="12"/>
  <c r="B109" i="12"/>
  <c r="C9" i="12"/>
  <c r="B63" i="12" s="1"/>
  <c r="C106" i="12"/>
  <c r="C104" i="12"/>
  <c r="C100" i="12"/>
  <c r="C98" i="12"/>
  <c r="C94" i="12"/>
  <c r="C92" i="12"/>
  <c r="C88" i="12"/>
  <c r="C86" i="12"/>
  <c r="C82" i="12"/>
  <c r="C80" i="12"/>
  <c r="C76" i="12"/>
  <c r="C74" i="12"/>
  <c r="D68" i="12"/>
  <c r="C69" i="12"/>
  <c r="D107" i="12"/>
  <c r="D105" i="12"/>
  <c r="D101" i="12"/>
  <c r="D99" i="12"/>
  <c r="D95" i="12"/>
  <c r="D93" i="12"/>
  <c r="D89" i="12"/>
  <c r="D87" i="12"/>
  <c r="D83" i="12"/>
  <c r="D81" i="12"/>
  <c r="D77" i="12"/>
  <c r="D75" i="12"/>
  <c r="D71" i="12"/>
  <c r="D67" i="12"/>
  <c r="C68" i="12"/>
  <c r="B59" i="12"/>
  <c r="C107" i="12"/>
  <c r="C105" i="12"/>
  <c r="C101" i="12"/>
  <c r="C99" i="12"/>
  <c r="C95" i="12"/>
  <c r="C93" i="12"/>
  <c r="C89" i="12"/>
  <c r="C87" i="12"/>
  <c r="C83" i="12"/>
  <c r="C81" i="12"/>
  <c r="C77" i="12"/>
  <c r="C75" i="12"/>
  <c r="D70" i="12"/>
  <c r="C71" i="12"/>
  <c r="C67" i="12"/>
  <c r="D106" i="12"/>
  <c r="D104" i="12"/>
  <c r="D100" i="12"/>
  <c r="D98" i="12"/>
  <c r="D94" i="12"/>
  <c r="D92" i="12"/>
  <c r="D88" i="12"/>
  <c r="D86" i="12"/>
  <c r="D82" i="12"/>
  <c r="D80" i="12"/>
  <c r="D76" i="12"/>
  <c r="D69" i="12"/>
  <c r="C57" i="12"/>
  <c r="D27" i="2"/>
  <c r="C32" i="12"/>
  <c r="D39" i="12"/>
  <c r="D31" i="12"/>
  <c r="D22" i="12"/>
  <c r="B47" i="12"/>
  <c r="C37" i="12"/>
  <c r="C29" i="12"/>
  <c r="C20" i="12"/>
  <c r="D38" i="12"/>
  <c r="D30" i="12"/>
  <c r="D21" i="12"/>
  <c r="C8" i="12"/>
  <c r="C30" i="12"/>
  <c r="B48" i="12"/>
  <c r="D37" i="12"/>
  <c r="D29" i="12"/>
  <c r="D20" i="12"/>
  <c r="C44" i="12"/>
  <c r="C35" i="12"/>
  <c r="C27" i="12"/>
  <c r="C18" i="12"/>
  <c r="D44" i="12"/>
  <c r="D35" i="12"/>
  <c r="D27" i="12"/>
  <c r="D18" i="12"/>
  <c r="C41" i="12"/>
  <c r="C33" i="12"/>
  <c r="C24" i="12"/>
  <c r="C16" i="12"/>
  <c r="D42" i="12"/>
  <c r="D34" i="12"/>
  <c r="D26" i="12"/>
  <c r="D17" i="12"/>
  <c r="D33" i="12"/>
  <c r="C39" i="12"/>
  <c r="D40" i="12"/>
  <c r="D23" i="12"/>
  <c r="C21" i="12"/>
  <c r="C28" i="12"/>
  <c r="C26" i="12"/>
  <c r="D24" i="12"/>
  <c r="C31" i="12"/>
  <c r="D36" i="12"/>
  <c r="D19" i="12"/>
  <c r="C7" i="12"/>
  <c r="C19" i="12"/>
  <c r="C17" i="12"/>
  <c r="C23" i="12"/>
  <c r="D16" i="12"/>
  <c r="C22" i="12"/>
  <c r="D57" i="12"/>
  <c r="D32" i="12"/>
  <c r="B49" i="12"/>
  <c r="C45" i="12"/>
  <c r="C42" i="12"/>
  <c r="D28" i="12"/>
  <c r="C40" i="12"/>
  <c r="D41" i="12"/>
  <c r="C34" i="12"/>
  <c r="C38" i="12"/>
  <c r="D45" i="12"/>
  <c r="C36" i="12"/>
  <c r="D71" i="15"/>
  <c r="D31" i="2"/>
  <c r="D67" i="15"/>
  <c r="D55" i="15"/>
  <c r="D47" i="15"/>
  <c r="D68" i="15"/>
  <c r="D17" i="15"/>
  <c r="D53" i="15"/>
  <c r="D22" i="15"/>
  <c r="D73" i="15"/>
  <c r="D51" i="15"/>
  <c r="D36" i="15"/>
  <c r="D20" i="15"/>
  <c r="D72" i="15"/>
  <c r="D48" i="15"/>
  <c r="D34" i="15"/>
  <c r="D70" i="15"/>
  <c r="D69" i="15"/>
  <c r="D18" i="15"/>
  <c r="D56" i="15"/>
  <c r="D54" i="15"/>
  <c r="D52" i="15"/>
  <c r="D33" i="15"/>
  <c r="D37" i="15"/>
  <c r="D49" i="15"/>
  <c r="B75" i="15"/>
  <c r="D50" i="15"/>
  <c r="D35" i="15"/>
  <c r="D21" i="15"/>
  <c r="D19" i="15"/>
  <c r="AQ54" i="6"/>
  <c r="AK54" i="6"/>
  <c r="AE54" i="6"/>
  <c r="Y54" i="6"/>
  <c r="S54" i="6"/>
  <c r="A53" i="6" l="1"/>
  <c r="AQ151" i="6" l="1"/>
  <c r="AQ139" i="6"/>
  <c r="AQ138" i="6"/>
  <c r="AQ137" i="6"/>
  <c r="AQ136" i="6"/>
  <c r="AQ135" i="6"/>
  <c r="AQ134" i="6"/>
  <c r="AQ133" i="6"/>
  <c r="AQ132" i="6"/>
  <c r="AQ131" i="6"/>
  <c r="AQ130" i="6"/>
  <c r="AQ129" i="6"/>
  <c r="AQ128" i="6"/>
  <c r="AQ127" i="6"/>
  <c r="AQ126" i="6"/>
  <c r="AQ125" i="6"/>
  <c r="AQ124" i="6"/>
  <c r="AQ123" i="6"/>
  <c r="AQ122" i="6"/>
  <c r="AQ121" i="6"/>
  <c r="AQ120" i="6"/>
  <c r="AQ119" i="6"/>
  <c r="AQ118" i="6"/>
  <c r="AQ117" i="6"/>
  <c r="AQ116" i="6"/>
  <c r="AQ115" i="6"/>
  <c r="AQ114" i="6"/>
  <c r="AQ113" i="6"/>
  <c r="AQ112" i="6"/>
  <c r="AQ111" i="6"/>
  <c r="AQ110" i="6"/>
  <c r="AQ109" i="6"/>
  <c r="AQ108" i="6"/>
  <c r="AQ107" i="6"/>
  <c r="AQ106" i="6"/>
  <c r="AQ105" i="6"/>
  <c r="AQ104" i="6"/>
  <c r="AQ103" i="6"/>
  <c r="AQ102" i="6"/>
  <c r="AQ101" i="6"/>
  <c r="AQ100" i="6"/>
  <c r="AQ99" i="6"/>
  <c r="AQ98" i="6"/>
  <c r="AQ97" i="6"/>
  <c r="AQ96" i="6"/>
  <c r="AQ95" i="6"/>
  <c r="AQ94" i="6"/>
  <c r="AQ93" i="6"/>
  <c r="AQ92" i="6"/>
  <c r="AQ91" i="6"/>
  <c r="AQ90" i="6"/>
  <c r="AQ89" i="6"/>
  <c r="AQ88" i="6"/>
  <c r="AQ87" i="6"/>
  <c r="AQ86" i="6"/>
  <c r="AQ85" i="6"/>
  <c r="AQ84" i="6"/>
  <c r="AQ83" i="6"/>
  <c r="AQ82" i="6"/>
  <c r="AQ81" i="6"/>
  <c r="AQ80" i="6"/>
  <c r="AQ79" i="6"/>
  <c r="AQ78" i="6"/>
  <c r="AQ77" i="6"/>
  <c r="AQ76" i="6"/>
  <c r="AQ75" i="6"/>
  <c r="AQ74" i="6"/>
  <c r="AQ73" i="6"/>
  <c r="AQ72" i="6"/>
  <c r="AQ71" i="6"/>
  <c r="AQ70" i="6"/>
  <c r="AQ69" i="6"/>
  <c r="AQ68" i="6"/>
  <c r="AQ67" i="6"/>
  <c r="AQ66" i="6"/>
  <c r="AQ65" i="6"/>
  <c r="AQ64" i="6"/>
  <c r="AQ63" i="6"/>
  <c r="AQ62" i="6"/>
  <c r="AQ61" i="6"/>
  <c r="AQ60" i="6"/>
  <c r="AQ59" i="6"/>
  <c r="AQ58" i="6"/>
  <c r="AQ57" i="6"/>
  <c r="AQ56" i="6"/>
  <c r="AQ55" i="6"/>
  <c r="AQ53" i="6"/>
  <c r="AQ52" i="6"/>
  <c r="AQ51" i="6"/>
  <c r="AQ50" i="6"/>
  <c r="AQ49" i="6"/>
  <c r="AQ48" i="6"/>
  <c r="AQ47" i="6"/>
  <c r="AQ46" i="6"/>
  <c r="AQ45" i="6"/>
  <c r="AQ44" i="6"/>
  <c r="AQ43" i="6"/>
  <c r="AQ42" i="6"/>
  <c r="AQ41" i="6"/>
  <c r="AQ40"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5" i="6"/>
  <c r="AQ4" i="6"/>
  <c r="AQ3" i="6"/>
  <c r="AQ2" i="6"/>
  <c r="B111" i="11" l="1"/>
  <c r="C8" i="11"/>
  <c r="D22" i="2"/>
  <c r="C84" i="11"/>
  <c r="D104" i="11"/>
  <c r="D83" i="11"/>
  <c r="B65" i="11"/>
  <c r="C54" i="11"/>
  <c r="D45" i="11"/>
  <c r="C37" i="11"/>
  <c r="C108" i="11"/>
  <c r="C74" i="11"/>
  <c r="D57" i="11"/>
  <c r="D49" i="11"/>
  <c r="B63" i="11"/>
  <c r="C53" i="11"/>
  <c r="D46" i="11"/>
  <c r="C38" i="11"/>
  <c r="C60" i="11"/>
  <c r="C52" i="11"/>
  <c r="D43" i="11"/>
  <c r="D33" i="11"/>
  <c r="C106" i="11"/>
  <c r="B86" i="11"/>
  <c r="D55" i="11"/>
  <c r="C47" i="11"/>
  <c r="D108" i="11"/>
  <c r="C94" i="11"/>
  <c r="D74" i="11"/>
  <c r="C58" i="11"/>
  <c r="C50" i="11"/>
  <c r="C41" i="11"/>
  <c r="D31" i="11"/>
  <c r="C104" i="11"/>
  <c r="C83" i="11"/>
  <c r="B64" i="11"/>
  <c r="D53" i="11"/>
  <c r="D107" i="11"/>
  <c r="D73" i="11"/>
  <c r="C57" i="11"/>
  <c r="C49" i="11"/>
  <c r="D42" i="11"/>
  <c r="D32" i="11"/>
  <c r="C39" i="11"/>
  <c r="D105" i="11"/>
  <c r="D48" i="11"/>
  <c r="D30" i="11"/>
  <c r="D52" i="11"/>
  <c r="C30" i="11"/>
  <c r="C21" i="11"/>
  <c r="C7" i="11"/>
  <c r="D58" i="11"/>
  <c r="D38" i="11"/>
  <c r="C25" i="11"/>
  <c r="D19" i="11"/>
  <c r="C73" i="11"/>
  <c r="D41" i="11"/>
  <c r="C27" i="11"/>
  <c r="C19" i="11"/>
  <c r="D40" i="11"/>
  <c r="B96" i="11"/>
  <c r="C59" i="11"/>
  <c r="D44" i="11"/>
  <c r="C44" i="11"/>
  <c r="C28" i="11"/>
  <c r="D20" i="11"/>
  <c r="D50" i="11"/>
  <c r="C33" i="11"/>
  <c r="D24" i="11"/>
  <c r="D56" i="11"/>
  <c r="D37" i="11"/>
  <c r="D26" i="11"/>
  <c r="C56" i="11"/>
  <c r="D59" i="11"/>
  <c r="D84" i="11"/>
  <c r="C55" i="11"/>
  <c r="C40" i="11"/>
  <c r="D39" i="11"/>
  <c r="D25" i="11"/>
  <c r="D94" i="11"/>
  <c r="C48" i="11"/>
  <c r="D29" i="11"/>
  <c r="D22" i="11"/>
  <c r="C10" i="11"/>
  <c r="C107" i="11"/>
  <c r="C46" i="11"/>
  <c r="C32" i="11"/>
  <c r="C24" i="11"/>
  <c r="C9" i="11"/>
  <c r="D51" i="11"/>
  <c r="C36" i="11"/>
  <c r="C35" i="11"/>
  <c r="C75" i="11"/>
  <c r="C29" i="11"/>
  <c r="D23" i="11"/>
  <c r="C23" i="11"/>
  <c r="C43" i="11"/>
  <c r="C22" i="11"/>
  <c r="C45" i="11"/>
  <c r="C18" i="11"/>
  <c r="C105" i="11"/>
  <c r="D106" i="11"/>
  <c r="D75" i="11"/>
  <c r="C11" i="11"/>
  <c r="D27" i="11"/>
  <c r="D54" i="11"/>
  <c r="C31" i="11"/>
  <c r="D47" i="11"/>
  <c r="C51" i="11"/>
  <c r="D60" i="11"/>
  <c r="C20" i="11"/>
  <c r="C42" i="11"/>
  <c r="D36" i="11"/>
  <c r="D21" i="11"/>
  <c r="B110" i="11"/>
  <c r="D28" i="11"/>
  <c r="C26" i="11"/>
  <c r="AK141" i="6"/>
  <c r="AK140" i="6"/>
  <c r="AK139" i="6"/>
  <c r="AK138" i="6"/>
  <c r="AK137" i="6"/>
  <c r="AK136" i="6"/>
  <c r="AK135" i="6"/>
  <c r="AK134" i="6"/>
  <c r="AK133" i="6"/>
  <c r="AK132" i="6"/>
  <c r="AK131" i="6"/>
  <c r="AK130" i="6"/>
  <c r="AK129" i="6"/>
  <c r="AK128" i="6"/>
  <c r="AK127" i="6"/>
  <c r="AK126"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7" i="6"/>
  <c r="AK66" i="6"/>
  <c r="AK65" i="6"/>
  <c r="AK64" i="6"/>
  <c r="AK63" i="6"/>
  <c r="AK62" i="6"/>
  <c r="AK61" i="6"/>
  <c r="AK60" i="6"/>
  <c r="AK59" i="6"/>
  <c r="AK58" i="6"/>
  <c r="AK57" i="6"/>
  <c r="AK56" i="6"/>
  <c r="AK55"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K3" i="6"/>
  <c r="AK2" i="6"/>
  <c r="AE151" i="6"/>
  <c r="AE150" i="6"/>
  <c r="AE149" i="6"/>
  <c r="AE148" i="6"/>
  <c r="AE147" i="6"/>
  <c r="AE146" i="6"/>
  <c r="AE145" i="6"/>
  <c r="AE144" i="6"/>
  <c r="AE143" i="6"/>
  <c r="AE142" i="6"/>
  <c r="AE141" i="6"/>
  <c r="AE140" i="6"/>
  <c r="AE139" i="6"/>
  <c r="AE138" i="6"/>
  <c r="AE137" i="6"/>
  <c r="AE136" i="6"/>
  <c r="AE131" i="6"/>
  <c r="AE130" i="6"/>
  <c r="AE129" i="6"/>
  <c r="AE128" i="6"/>
  <c r="AE127" i="6"/>
  <c r="AE126" i="6"/>
  <c r="AE125" i="6"/>
  <c r="AE124" i="6"/>
  <c r="AE123" i="6"/>
  <c r="AE122" i="6"/>
  <c r="AE121" i="6"/>
  <c r="AE120" i="6"/>
  <c r="AE119" i="6"/>
  <c r="AE118" i="6"/>
  <c r="AE117" i="6"/>
  <c r="AE116" i="6"/>
  <c r="AE115" i="6"/>
  <c r="AE114" i="6"/>
  <c r="AE113" i="6"/>
  <c r="AE112" i="6"/>
  <c r="AE111" i="6"/>
  <c r="AE110" i="6"/>
  <c r="AE109" i="6"/>
  <c r="AE108" i="6"/>
  <c r="AE107" i="6"/>
  <c r="AE106" i="6"/>
  <c r="AE105" i="6"/>
  <c r="AE104" i="6"/>
  <c r="AE103" i="6"/>
  <c r="AE102" i="6"/>
  <c r="AE101" i="6"/>
  <c r="AE100" i="6"/>
  <c r="AE99" i="6"/>
  <c r="AE98" i="6"/>
  <c r="AE97" i="6"/>
  <c r="AE96" i="6"/>
  <c r="AE95" i="6"/>
  <c r="AE94" i="6"/>
  <c r="AE93" i="6"/>
  <c r="AE92" i="6"/>
  <c r="AE91"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60" i="6"/>
  <c r="AE59" i="6"/>
  <c r="AE58" i="6"/>
  <c r="AE57" i="6"/>
  <c r="AE56" i="6"/>
  <c r="AE55" i="6"/>
  <c r="AE53" i="6"/>
  <c r="AE52" i="6"/>
  <c r="AE51" i="6"/>
  <c r="AE50" i="6"/>
  <c r="AE49" i="6"/>
  <c r="AE48" i="6"/>
  <c r="AE47" i="6"/>
  <c r="AE46"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AE6" i="6"/>
  <c r="AE5" i="6"/>
  <c r="AE4" i="6"/>
  <c r="AE3" i="6"/>
  <c r="AE2" i="6"/>
  <c r="Y151" i="6"/>
  <c r="Y150" i="6"/>
  <c r="Y149" i="6"/>
  <c r="Y148" i="6"/>
  <c r="Y147" i="6"/>
  <c r="Y146" i="6"/>
  <c r="Y145" i="6"/>
  <c r="Y144" i="6"/>
  <c r="Y143" i="6"/>
  <c r="Y142" i="6"/>
  <c r="Y141" i="6"/>
  <c r="Y140" i="6"/>
  <c r="Y139" i="6"/>
  <c r="Y138" i="6"/>
  <c r="Y137" i="6"/>
  <c r="Y136"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 i="6"/>
  <c r="Y2" i="6"/>
  <c r="A48" i="6"/>
  <c r="A49" i="6"/>
  <c r="A50" i="6"/>
  <c r="A51" i="6"/>
  <c r="A52" i="6"/>
  <c r="A37" i="6"/>
  <c r="A38" i="6"/>
  <c r="A39" i="6"/>
  <c r="A40" i="6"/>
  <c r="A41" i="6"/>
  <c r="A42" i="6"/>
  <c r="A43" i="6"/>
  <c r="A44" i="6"/>
  <c r="A45" i="6"/>
  <c r="A46" i="6"/>
  <c r="A47" i="6"/>
  <c r="S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6" i="6"/>
  <c r="S137" i="6"/>
  <c r="S138" i="6"/>
  <c r="S139" i="6"/>
  <c r="S140" i="6"/>
  <c r="S141" i="6"/>
  <c r="S142" i="6"/>
  <c r="S143" i="6"/>
  <c r="S144" i="6"/>
  <c r="S145" i="6"/>
  <c r="S146" i="6"/>
  <c r="S147" i="6"/>
  <c r="S148" i="6"/>
  <c r="S149" i="6"/>
  <c r="S150" i="6"/>
  <c r="S151" i="6"/>
  <c r="S2" i="6"/>
  <c r="B29" i="3" l="1"/>
  <c r="B27" i="3"/>
  <c r="B28" i="3"/>
  <c r="B251" i="4"/>
  <c r="C249" i="4"/>
  <c r="D248" i="4"/>
  <c r="C248" i="4"/>
  <c r="D247" i="4"/>
  <c r="D249" i="4"/>
  <c r="C247" i="4"/>
  <c r="B239" i="4"/>
  <c r="D221" i="4"/>
  <c r="D237" i="4"/>
  <c r="D220" i="4"/>
  <c r="D236" i="4"/>
  <c r="D225" i="4"/>
  <c r="C201" i="4"/>
  <c r="D206" i="4"/>
  <c r="D188" i="4"/>
  <c r="D170" i="4"/>
  <c r="D152" i="4"/>
  <c r="C175" i="4"/>
  <c r="B209" i="4"/>
  <c r="D146" i="4"/>
  <c r="D185" i="4"/>
  <c r="D149" i="4"/>
  <c r="C177" i="4"/>
  <c r="C188" i="4"/>
  <c r="C179" i="4"/>
  <c r="B210" i="4"/>
  <c r="D193" i="4"/>
  <c r="D173" i="4"/>
  <c r="D155" i="4"/>
  <c r="D190" i="4"/>
  <c r="D164" i="4"/>
  <c r="C141" i="4"/>
  <c r="C146" i="4"/>
  <c r="D203" i="4"/>
  <c r="D163" i="4"/>
  <c r="B132" i="4"/>
  <c r="D111" i="4"/>
  <c r="D95" i="4"/>
  <c r="D104" i="4"/>
  <c r="D118" i="4"/>
  <c r="D102" i="4"/>
  <c r="D100" i="4"/>
  <c r="D117" i="4"/>
  <c r="D101" i="4"/>
  <c r="C194" i="4"/>
  <c r="C193" i="4"/>
  <c r="D202" i="4"/>
  <c r="D184" i="4"/>
  <c r="D166" i="4"/>
  <c r="D148" i="4"/>
  <c r="D182" i="4"/>
  <c r="D177" i="4"/>
  <c r="C183" i="4"/>
  <c r="D205" i="4"/>
  <c r="D187" i="4"/>
  <c r="D169" i="4"/>
  <c r="D151" i="4"/>
  <c r="C158" i="4"/>
  <c r="D204" i="4"/>
  <c r="D186" i="4"/>
  <c r="D154" i="4"/>
  <c r="C156" i="4"/>
  <c r="D189" i="4"/>
  <c r="D153" i="4"/>
  <c r="B128" i="4"/>
  <c r="D107" i="4"/>
  <c r="C13" i="4"/>
  <c r="B243" i="4" s="1"/>
  <c r="D92" i="4"/>
  <c r="D114" i="4"/>
  <c r="D98" i="4"/>
  <c r="D126" i="4"/>
  <c r="C10" i="4"/>
  <c r="B137" i="4" s="1"/>
  <c r="D113" i="4"/>
  <c r="D97" i="4"/>
  <c r="B133" i="4"/>
  <c r="C225" i="4"/>
  <c r="D224" i="4"/>
  <c r="C224" i="4"/>
  <c r="B227" i="4"/>
  <c r="C235" i="4"/>
  <c r="C200" i="4"/>
  <c r="D198" i="4"/>
  <c r="D180" i="4"/>
  <c r="D162" i="4"/>
  <c r="D144" i="4"/>
  <c r="D168" i="4"/>
  <c r="C145" i="4"/>
  <c r="D199" i="4"/>
  <c r="D167" i="4"/>
  <c r="C178" i="4"/>
  <c r="C176" i="4"/>
  <c r="D201" i="4"/>
  <c r="D183" i="4"/>
  <c r="D165" i="4"/>
  <c r="D147" i="4"/>
  <c r="C172" i="4"/>
  <c r="C159" i="4"/>
  <c r="D200" i="4"/>
  <c r="D178" i="4"/>
  <c r="D150" i="4"/>
  <c r="C147" i="4"/>
  <c r="D181" i="4"/>
  <c r="D145" i="4"/>
  <c r="D123" i="4"/>
  <c r="D103" i="4"/>
  <c r="B131" i="4"/>
  <c r="D110" i="4"/>
  <c r="D94" i="4"/>
  <c r="D116" i="4"/>
  <c r="B130" i="4"/>
  <c r="D109" i="4"/>
  <c r="D93" i="4"/>
  <c r="D108" i="4"/>
  <c r="C220" i="4"/>
  <c r="C237" i="4"/>
  <c r="C219" i="4"/>
  <c r="C236" i="4"/>
  <c r="C223" i="4"/>
  <c r="C221" i="4"/>
  <c r="C204" i="4"/>
  <c r="B211" i="4"/>
  <c r="D194" i="4"/>
  <c r="D176" i="4"/>
  <c r="D156" i="4"/>
  <c r="C160" i="4"/>
  <c r="C173" i="4"/>
  <c r="D160" i="4"/>
  <c r="C142" i="4"/>
  <c r="D195" i="4"/>
  <c r="D159" i="4"/>
  <c r="C184" i="4"/>
  <c r="D197" i="4"/>
  <c r="D179" i="4"/>
  <c r="D161" i="4"/>
  <c r="D143" i="4"/>
  <c r="D196" i="4"/>
  <c r="D172" i="4"/>
  <c r="D142" i="4"/>
  <c r="D207" i="4"/>
  <c r="D171" i="4"/>
  <c r="C192" i="4"/>
  <c r="D115" i="4"/>
  <c r="D99" i="4"/>
  <c r="B129" i="4"/>
  <c r="B36" i="4"/>
  <c r="D106" i="4"/>
  <c r="C12" i="4"/>
  <c r="B231" i="4" s="1"/>
  <c r="D112" i="4"/>
  <c r="D105" i="4"/>
  <c r="C11" i="4"/>
  <c r="B215" i="4" s="1"/>
  <c r="D96" i="4"/>
  <c r="C120" i="4"/>
  <c r="C121" i="4"/>
  <c r="D77" i="4"/>
  <c r="C117" i="4"/>
  <c r="C101" i="4"/>
  <c r="C84" i="4"/>
  <c r="C76" i="4"/>
  <c r="C52" i="4"/>
  <c r="D44" i="4"/>
  <c r="D78" i="4"/>
  <c r="C94" i="4"/>
  <c r="C45" i="4"/>
  <c r="D88" i="4"/>
  <c r="D72" i="4"/>
  <c r="C112" i="4"/>
  <c r="C96" i="4"/>
  <c r="C80" i="4"/>
  <c r="C91" i="4"/>
  <c r="C8" i="4"/>
  <c r="B40" i="4" s="1"/>
  <c r="D70" i="4"/>
  <c r="C81" i="4"/>
  <c r="D83" i="4"/>
  <c r="D67" i="4"/>
  <c r="C107" i="4"/>
  <c r="C63" i="4"/>
  <c r="C89" i="4"/>
  <c r="D49" i="4"/>
  <c r="C118" i="4"/>
  <c r="C79" i="4"/>
  <c r="D125" i="4"/>
  <c r="D122" i="4"/>
  <c r="D89" i="4"/>
  <c r="D73" i="4"/>
  <c r="C113" i="4"/>
  <c r="C97" i="4"/>
  <c r="C77" i="4"/>
  <c r="C82" i="4"/>
  <c r="C48" i="4"/>
  <c r="D66" i="4"/>
  <c r="C74" i="4"/>
  <c r="D84" i="4"/>
  <c r="D68" i="4"/>
  <c r="C108" i="4"/>
  <c r="C92" i="4"/>
  <c r="C66" i="4"/>
  <c r="D52" i="4"/>
  <c r="C114" i="4"/>
  <c r="D79" i="4"/>
  <c r="D63" i="4"/>
  <c r="C103" i="4"/>
  <c r="C85" i="4"/>
  <c r="C73" i="4"/>
  <c r="D45" i="4"/>
  <c r="C106" i="4"/>
  <c r="C53" i="4"/>
  <c r="C123" i="4"/>
  <c r="C125" i="4"/>
  <c r="C9" i="4"/>
  <c r="D85" i="4"/>
  <c r="D69" i="4"/>
  <c r="C109" i="4"/>
  <c r="C93" i="4"/>
  <c r="C87" i="4"/>
  <c r="D53" i="4"/>
  <c r="C44" i="4"/>
  <c r="C110" i="4"/>
  <c r="C75" i="4"/>
  <c r="D80" i="4"/>
  <c r="D64" i="4"/>
  <c r="C104" i="4"/>
  <c r="C86" i="4"/>
  <c r="C88" i="4"/>
  <c r="D46" i="4"/>
  <c r="C98" i="4"/>
  <c r="C49" i="4"/>
  <c r="D75" i="4"/>
  <c r="C115" i="4"/>
  <c r="C99" i="4"/>
  <c r="C68" i="4"/>
  <c r="C78" i="4"/>
  <c r="D86" i="4"/>
  <c r="C64" i="4"/>
  <c r="D65" i="4"/>
  <c r="D47" i="4"/>
  <c r="D48" i="4"/>
  <c r="C116" i="4"/>
  <c r="C95" i="4"/>
  <c r="D74" i="4"/>
  <c r="D29" i="4"/>
  <c r="C105" i="4"/>
  <c r="C47" i="4"/>
  <c r="C100" i="4"/>
  <c r="D82" i="4"/>
  <c r="D87" i="4"/>
  <c r="C69" i="4"/>
  <c r="C70" i="4"/>
  <c r="C122" i="4"/>
  <c r="C72" i="4"/>
  <c r="C83" i="4"/>
  <c r="C67" i="4"/>
  <c r="D71" i="4"/>
  <c r="C62" i="4"/>
  <c r="C71" i="4"/>
  <c r="C23" i="4"/>
  <c r="D32" i="4"/>
  <c r="D22" i="4"/>
  <c r="C32" i="4"/>
  <c r="C22" i="4"/>
  <c r="D25" i="4"/>
  <c r="C102" i="4"/>
  <c r="C111" i="4"/>
  <c r="C31" i="4"/>
  <c r="C21" i="4"/>
  <c r="D30" i="4"/>
  <c r="D20" i="4"/>
  <c r="C30" i="4"/>
  <c r="C20" i="4"/>
  <c r="C7" i="4"/>
  <c r="C126" i="4"/>
  <c r="D76" i="4"/>
  <c r="C46" i="4"/>
  <c r="C29" i="4"/>
  <c r="D28" i="4"/>
  <c r="C28" i="4"/>
  <c r="D81" i="4"/>
  <c r="C65" i="4"/>
  <c r="D33" i="4"/>
  <c r="D21" i="4"/>
  <c r="C25" i="4"/>
  <c r="C24" i="4"/>
  <c r="D23" i="4"/>
  <c r="D24" i="4"/>
  <c r="C33" i="4"/>
  <c r="D31" i="4"/>
  <c r="B26" i="3"/>
  <c r="B23" i="3"/>
  <c r="B22" i="3"/>
  <c r="C20" i="3"/>
  <c r="D19" i="3"/>
  <c r="C7" i="3"/>
  <c r="C17" i="3"/>
  <c r="C18" i="3"/>
  <c r="D17" i="3"/>
  <c r="C15" i="3"/>
  <c r="C16" i="3"/>
  <c r="D15" i="3"/>
  <c r="D14" i="3"/>
  <c r="D13" i="2"/>
  <c r="B25" i="3"/>
  <c r="D18" i="3"/>
  <c r="C19" i="3"/>
  <c r="D20" i="3"/>
  <c r="B24" i="3"/>
  <c r="C14" i="3"/>
  <c r="D16" i="3"/>
  <c r="C8" i="10"/>
  <c r="B73" i="10"/>
  <c r="D21" i="2"/>
  <c r="B72" i="10"/>
  <c r="B71" i="10"/>
  <c r="C41" i="10"/>
  <c r="C52" i="10"/>
  <c r="C44" i="10"/>
  <c r="D34" i="10"/>
  <c r="C26" i="10"/>
  <c r="C17" i="10"/>
  <c r="D68" i="10"/>
  <c r="C51" i="10"/>
  <c r="C40" i="10"/>
  <c r="D33" i="10"/>
  <c r="D23" i="10"/>
  <c r="C66" i="10"/>
  <c r="D50" i="10"/>
  <c r="D39" i="10"/>
  <c r="C30" i="10"/>
  <c r="C21" i="10"/>
  <c r="D28" i="10"/>
  <c r="C67" i="10"/>
  <c r="D51" i="10"/>
  <c r="D40" i="10"/>
  <c r="C32" i="10"/>
  <c r="C24" i="10"/>
  <c r="D16" i="10"/>
  <c r="D66" i="10"/>
  <c r="D47" i="10"/>
  <c r="C38" i="10"/>
  <c r="C31" i="10"/>
  <c r="D21" i="10"/>
  <c r="C47" i="10"/>
  <c r="D37" i="10"/>
  <c r="C27" i="10"/>
  <c r="C19" i="10"/>
  <c r="D20" i="10"/>
  <c r="C49" i="10"/>
  <c r="D38" i="10"/>
  <c r="D31" i="10"/>
  <c r="C22" i="10"/>
  <c r="D45" i="10"/>
  <c r="C36" i="10"/>
  <c r="D27" i="10"/>
  <c r="D19" i="10"/>
  <c r="B55" i="10"/>
  <c r="C45" i="10"/>
  <c r="D35" i="10"/>
  <c r="C25" i="10"/>
  <c r="D18" i="10"/>
  <c r="C50" i="10"/>
  <c r="C46" i="10"/>
  <c r="C7" i="10"/>
  <c r="D25" i="10"/>
  <c r="D41" i="10"/>
  <c r="D46" i="10"/>
  <c r="D24" i="10"/>
  <c r="D22" i="10"/>
  <c r="D36" i="10"/>
  <c r="B56" i="10"/>
  <c r="C16" i="10"/>
  <c r="C33" i="10"/>
  <c r="C37" i="10"/>
  <c r="C28" i="10"/>
  <c r="C43" i="10"/>
  <c r="C68" i="10"/>
  <c r="C23" i="10"/>
  <c r="C39" i="10"/>
  <c r="D67" i="10"/>
  <c r="D32" i="10"/>
  <c r="D44" i="10"/>
  <c r="D17" i="10"/>
  <c r="B57" i="10"/>
  <c r="C20" i="10"/>
  <c r="C34" i="10"/>
  <c r="D53" i="10"/>
  <c r="D52" i="10"/>
  <c r="D26" i="10"/>
  <c r="C35" i="10"/>
  <c r="C18" i="10"/>
  <c r="B58" i="10"/>
  <c r="C53" i="10"/>
  <c r="D12" i="2"/>
  <c r="C96" i="1"/>
  <c r="D42" i="1"/>
  <c r="D21" i="1"/>
  <c r="C57" i="1"/>
  <c r="B100" i="1"/>
  <c r="D90" i="1"/>
  <c r="B116" i="1"/>
  <c r="B68" i="1"/>
  <c r="C55" i="1"/>
  <c r="D81" i="1"/>
  <c r="D44" i="1"/>
  <c r="C9" i="1"/>
  <c r="D26" i="1"/>
  <c r="D83" i="1"/>
  <c r="D19" i="1"/>
  <c r="D92" i="1"/>
  <c r="C114" i="1"/>
  <c r="B99" i="1"/>
  <c r="C90" i="1"/>
  <c r="C81" i="1"/>
  <c r="B67" i="1"/>
  <c r="C42" i="1"/>
  <c r="D29" i="1"/>
  <c r="C21" i="1"/>
  <c r="C8" i="1"/>
  <c r="C113" i="1"/>
  <c r="D114" i="1"/>
  <c r="D95" i="1"/>
  <c r="C88" i="1"/>
  <c r="C79" i="1"/>
  <c r="B63" i="1"/>
  <c r="C51" i="1"/>
  <c r="B104" i="1"/>
  <c r="D93" i="1"/>
  <c r="C85" i="1"/>
  <c r="C77" i="1"/>
  <c r="D33" i="1"/>
  <c r="B102" i="1"/>
  <c r="C60" i="1"/>
  <c r="D38" i="1"/>
  <c r="C26" i="1"/>
  <c r="B103" i="1"/>
  <c r="D91" i="1"/>
  <c r="D82" i="1"/>
  <c r="C56" i="1"/>
  <c r="D43" i="1"/>
  <c r="D32" i="1"/>
  <c r="D24" i="1"/>
  <c r="D16" i="1"/>
  <c r="D96" i="1"/>
  <c r="C87" i="1"/>
  <c r="C78" i="1"/>
  <c r="C61" i="1"/>
  <c r="D48" i="1"/>
  <c r="D37" i="1"/>
  <c r="C25" i="1"/>
  <c r="C18" i="1"/>
  <c r="D60" i="1"/>
  <c r="C92" i="1"/>
  <c r="D56" i="1"/>
  <c r="C23" i="1"/>
  <c r="B98" i="1"/>
  <c r="D89" i="1"/>
  <c r="D80" i="1"/>
  <c r="B66" i="1"/>
  <c r="D52" i="1"/>
  <c r="D41" i="1"/>
  <c r="C29" i="1"/>
  <c r="D22" i="1"/>
  <c r="D94" i="1"/>
  <c r="C84" i="1"/>
  <c r="C76" i="1"/>
  <c r="D57" i="1"/>
  <c r="C34" i="1"/>
  <c r="C24" i="1"/>
  <c r="C16" i="1"/>
  <c r="D23" i="1"/>
  <c r="D77" i="1"/>
  <c r="B118" i="1"/>
  <c r="D17" i="1"/>
  <c r="B64" i="1"/>
  <c r="C83" i="1"/>
  <c r="D47" i="1"/>
  <c r="C33" i="1"/>
  <c r="C19" i="1"/>
  <c r="C95" i="1"/>
  <c r="D87" i="1"/>
  <c r="D78" i="1"/>
  <c r="D61" i="1"/>
  <c r="C38" i="1"/>
  <c r="C27" i="1"/>
  <c r="D20" i="1"/>
  <c r="C7" i="1"/>
  <c r="C91" i="1"/>
  <c r="C82" i="1"/>
  <c r="D55" i="1"/>
  <c r="C43" i="1"/>
  <c r="C32" i="1"/>
  <c r="C22" i="1"/>
  <c r="C37" i="1"/>
  <c r="D85" i="1"/>
  <c r="C28" i="1"/>
  <c r="D79" i="1"/>
  <c r="C44" i="1"/>
  <c r="D27" i="1"/>
  <c r="C93" i="1"/>
  <c r="D84" i="1"/>
  <c r="D76" i="1"/>
  <c r="C47" i="1"/>
  <c r="D34" i="1"/>
  <c r="D25" i="1"/>
  <c r="D18" i="1"/>
  <c r="B101" i="1"/>
  <c r="C89" i="1"/>
  <c r="C80" i="1"/>
  <c r="B65" i="1"/>
  <c r="C52" i="1"/>
  <c r="C41" i="1"/>
  <c r="D28" i="1"/>
  <c r="C20" i="1"/>
  <c r="B117" i="1"/>
  <c r="C48" i="1"/>
  <c r="D113" i="1"/>
  <c r="C94" i="1"/>
  <c r="D51" i="1"/>
  <c r="D88" i="1"/>
  <c r="G15" i="6"/>
  <c r="G16" i="6"/>
  <c r="G17" i="6"/>
  <c r="G18" i="6"/>
  <c r="G19" i="6"/>
  <c r="G20" i="6"/>
  <c r="B58" i="4" l="1"/>
  <c r="G12" i="6"/>
  <c r="G13" i="6"/>
  <c r="G14" i="6"/>
  <c r="G10" i="6"/>
  <c r="G11" i="6"/>
  <c r="G9" i="6"/>
  <c r="G6" i="6" l="1"/>
  <c r="G7" i="6"/>
  <c r="G8" i="6"/>
  <c r="G5" i="6"/>
  <c r="A36" i="6" l="1"/>
  <c r="G4" i="6" l="1"/>
  <c r="G3" i="6"/>
  <c r="A33" i="6"/>
  <c r="A34" i="6"/>
  <c r="A35" i="6"/>
  <c r="A32" i="6"/>
  <c r="A3" i="6" l="1"/>
  <c r="A18" i="6"/>
  <c r="A19" i="6"/>
  <c r="A20" i="6"/>
  <c r="A21" i="6"/>
  <c r="A22" i="6"/>
  <c r="A23" i="6"/>
  <c r="A24" i="6"/>
  <c r="A25" i="6"/>
  <c r="A26" i="6"/>
  <c r="A27" i="6"/>
  <c r="A28" i="6"/>
  <c r="A29" i="6"/>
  <c r="A30" i="6"/>
  <c r="A31" i="6"/>
  <c r="A14" i="6"/>
  <c r="A15" i="6"/>
  <c r="A16" i="6"/>
  <c r="A17" i="6"/>
  <c r="A9" i="6"/>
  <c r="A10" i="6"/>
  <c r="A11" i="6"/>
  <c r="A12" i="6"/>
  <c r="A13" i="6"/>
  <c r="A8" i="6"/>
  <c r="A7" i="6"/>
  <c r="C85" i="12" s="1"/>
  <c r="A6" i="6"/>
  <c r="A5" i="6"/>
  <c r="A4" i="6"/>
  <c r="G2" i="6"/>
  <c r="A2" i="6"/>
  <c r="C73" i="12" l="1"/>
  <c r="F243" i="4"/>
  <c r="D243" i="4"/>
  <c r="B246" i="4"/>
  <c r="E243" i="4"/>
  <c r="E215" i="4"/>
  <c r="E137" i="4"/>
  <c r="D137" i="4"/>
  <c r="C322" i="13"/>
  <c r="C328" i="13"/>
  <c r="F231" i="4"/>
  <c r="D215" i="4"/>
  <c r="E231" i="4"/>
  <c r="B234" i="4"/>
  <c r="D231" i="4"/>
  <c r="F215" i="4"/>
  <c r="C318" i="13"/>
  <c r="B218" i="4"/>
  <c r="F137" i="4"/>
  <c r="C329" i="13"/>
  <c r="C327" i="13"/>
  <c r="B140" i="4"/>
  <c r="C330" i="13"/>
  <c r="C321" i="13"/>
  <c r="D26" i="2"/>
  <c r="B59" i="1"/>
  <c r="D2" i="3"/>
  <c r="B46" i="1"/>
  <c r="D53" i="16"/>
  <c r="E109" i="1"/>
  <c r="D16" i="4"/>
  <c r="F16" i="4"/>
  <c r="E63" i="12"/>
  <c r="D12" i="16"/>
  <c r="D79" i="11"/>
  <c r="E69" i="11"/>
  <c r="D63" i="12"/>
  <c r="F12" i="16"/>
  <c r="D6" i="2"/>
  <c r="D10" i="14"/>
  <c r="E12" i="12"/>
  <c r="B31" i="1"/>
  <c r="E10" i="3"/>
  <c r="D40" i="4"/>
  <c r="B14" i="10"/>
  <c r="D2" i="12"/>
  <c r="B65" i="15"/>
  <c r="E40" i="4"/>
  <c r="F11" i="10"/>
  <c r="B15" i="16"/>
  <c r="B6" i="10"/>
  <c r="B72" i="11"/>
  <c r="F13" i="15"/>
  <c r="D2" i="16"/>
  <c r="E43" i="15"/>
  <c r="F79" i="11"/>
  <c r="E12" i="16"/>
  <c r="F53" i="12"/>
  <c r="C91" i="12"/>
  <c r="B40" i="1"/>
  <c r="F72" i="1"/>
  <c r="D12" i="1"/>
  <c r="B50" i="1"/>
  <c r="E53" i="12"/>
  <c r="B65" i="10"/>
  <c r="B36" i="1"/>
  <c r="B15" i="1"/>
  <c r="B56" i="12"/>
  <c r="D2" i="4"/>
  <c r="D69" i="11"/>
  <c r="B112" i="1"/>
  <c r="B46" i="15"/>
  <c r="F62" i="10"/>
  <c r="F53" i="16"/>
  <c r="D2" i="11"/>
  <c r="E14" i="11"/>
  <c r="F14" i="11"/>
  <c r="B13" i="14"/>
  <c r="D13" i="15"/>
  <c r="E13" i="15"/>
  <c r="D100" i="11"/>
  <c r="E53" i="16"/>
  <c r="B6" i="15"/>
  <c r="F69" i="11"/>
  <c r="E79" i="11"/>
  <c r="F62" i="15"/>
  <c r="B82" i="11"/>
  <c r="D43" i="15"/>
  <c r="B16" i="15"/>
  <c r="B6" i="16"/>
  <c r="D19" i="2"/>
  <c r="C79" i="12"/>
  <c r="D12" i="12"/>
  <c r="F40" i="4"/>
  <c r="F12" i="12"/>
  <c r="E72" i="1"/>
  <c r="F43" i="15"/>
  <c r="F58" i="4"/>
  <c r="F100" i="11"/>
  <c r="E58" i="4"/>
  <c r="D41" i="16"/>
  <c r="D11" i="10"/>
  <c r="B19" i="4"/>
  <c r="B44" i="16"/>
  <c r="B6" i="12"/>
  <c r="D53" i="12"/>
  <c r="D11" i="2"/>
  <c r="C8" i="2"/>
  <c r="B6" i="4"/>
  <c r="D2" i="1"/>
  <c r="D58" i="4"/>
  <c r="D2" i="10"/>
  <c r="E62" i="10"/>
  <c r="B15" i="12"/>
  <c r="D62" i="10"/>
  <c r="F10" i="14"/>
  <c r="E11" i="10"/>
  <c r="F90" i="11"/>
  <c r="D2" i="15"/>
  <c r="B56" i="16"/>
  <c r="F41" i="16"/>
  <c r="B51" i="4"/>
  <c r="C212" i="13"/>
  <c r="C208" i="13"/>
  <c r="C202" i="13"/>
  <c r="C198" i="13"/>
  <c r="D314" i="13"/>
  <c r="D302" i="13"/>
  <c r="B283" i="13"/>
  <c r="E251" i="13"/>
  <c r="E240" i="13"/>
  <c r="B186" i="13"/>
  <c r="F161" i="13"/>
  <c r="B122" i="13"/>
  <c r="B110" i="13"/>
  <c r="B78" i="13"/>
  <c r="E59" i="13"/>
  <c r="E48" i="13"/>
  <c r="B33" i="13"/>
  <c r="B26" i="13"/>
  <c r="F20" i="13"/>
  <c r="C209" i="13"/>
  <c r="C211" i="13"/>
  <c r="C207" i="13"/>
  <c r="C201" i="13"/>
  <c r="C197" i="13"/>
  <c r="B305" i="13"/>
  <c r="F280" i="13"/>
  <c r="D251" i="13"/>
  <c r="D240" i="13"/>
  <c r="F183" i="13"/>
  <c r="E161" i="13"/>
  <c r="B106" i="13"/>
  <c r="B89" i="13"/>
  <c r="F75" i="13"/>
  <c r="D59" i="13"/>
  <c r="D48" i="13"/>
  <c r="E20" i="13"/>
  <c r="C210" i="13"/>
  <c r="C206" i="13"/>
  <c r="C200" i="13"/>
  <c r="F314" i="13"/>
  <c r="F302" i="13"/>
  <c r="E280" i="13"/>
  <c r="B254" i="13"/>
  <c r="B243" i="13"/>
  <c r="B214" i="13"/>
  <c r="E183" i="13"/>
  <c r="D161" i="13"/>
  <c r="B142" i="13"/>
  <c r="B98" i="13"/>
  <c r="E75" i="13"/>
  <c r="B62" i="13"/>
  <c r="B51" i="13"/>
  <c r="D20" i="13"/>
  <c r="B6" i="13"/>
  <c r="E302" i="13"/>
  <c r="F240" i="13"/>
  <c r="F48" i="13"/>
  <c r="B23" i="13"/>
  <c r="D2" i="13"/>
  <c r="D75" i="13"/>
  <c r="F251" i="13"/>
  <c r="C203" i="13"/>
  <c r="B195" i="13"/>
  <c r="B128" i="13"/>
  <c r="F59" i="13"/>
  <c r="C199" i="13"/>
  <c r="D280" i="13"/>
  <c r="D183" i="13"/>
  <c r="B30" i="13"/>
  <c r="E314" i="13"/>
  <c r="C16" i="2"/>
  <c r="B6" i="2"/>
  <c r="C40" i="2"/>
  <c r="C23" i="2"/>
  <c r="B2" i="2"/>
  <c r="C30" i="2"/>
  <c r="B2" i="16" s="1"/>
  <c r="B11" i="2"/>
  <c r="C31" i="2"/>
  <c r="B2" i="15" s="1"/>
  <c r="C28" i="2"/>
  <c r="C7" i="2"/>
  <c r="C14" i="2"/>
  <c r="B2" i="4" s="1"/>
  <c r="C15" i="2"/>
  <c r="C32" i="2"/>
  <c r="C13" i="2"/>
  <c r="B2" i="3" s="1"/>
  <c r="C38" i="2"/>
  <c r="C12" i="2"/>
  <c r="B19" i="2"/>
  <c r="B26" i="2"/>
  <c r="C27" i="2"/>
  <c r="D29" i="15"/>
  <c r="E29" i="15"/>
  <c r="F29" i="15"/>
  <c r="C39" i="2"/>
  <c r="C29" i="2"/>
  <c r="C34" i="2"/>
  <c r="C22" i="2"/>
  <c r="C33" i="2"/>
  <c r="C20" i="2"/>
  <c r="C21" i="2"/>
  <c r="C35" i="2"/>
  <c r="C36" i="2"/>
  <c r="C37" i="2"/>
  <c r="B3" i="2"/>
  <c r="B6" i="1"/>
  <c r="B6" i="3"/>
  <c r="D72" i="1"/>
  <c r="E90" i="11"/>
  <c r="B66" i="12"/>
  <c r="E12" i="1"/>
  <c r="B13" i="3"/>
  <c r="D14" i="11"/>
  <c r="F12" i="1"/>
  <c r="B6" i="11"/>
  <c r="F10" i="3"/>
  <c r="E16" i="4"/>
  <c r="D109" i="1"/>
  <c r="B17" i="11"/>
  <c r="E62" i="15"/>
  <c r="F109" i="1"/>
  <c r="F63" i="12"/>
  <c r="B6" i="14"/>
  <c r="E41" i="16"/>
  <c r="B54" i="1"/>
  <c r="D10" i="3"/>
  <c r="D90" i="11"/>
  <c r="D62" i="15"/>
  <c r="E10" i="14"/>
  <c r="D2" i="14"/>
  <c r="E100" i="11"/>
  <c r="B75" i="1"/>
  <c r="B103" i="11"/>
  <c r="B93" i="11"/>
  <c r="B32" i="15"/>
  <c r="B43" i="4"/>
  <c r="B61" i="4"/>
  <c r="C103" i="12"/>
  <c r="C97" i="12"/>
  <c r="B43" i="15"/>
  <c r="B13" i="15"/>
  <c r="B62" i="15"/>
  <c r="B72" i="1"/>
  <c r="B10" i="14"/>
  <c r="B12" i="12"/>
  <c r="B252" i="13"/>
  <c r="C251" i="13"/>
  <c r="C252" i="13"/>
  <c r="B184" i="13"/>
  <c r="C183" i="13"/>
  <c r="C184" i="13"/>
  <c r="B79" i="11"/>
  <c r="B69" i="11"/>
  <c r="B100" i="11"/>
  <c r="B14" i="11"/>
  <c r="B90" i="11"/>
  <c r="B62" i="10"/>
  <c r="B11" i="10"/>
  <c r="B2" i="10" l="1"/>
  <c r="B3" i="10"/>
  <c r="B3" i="14"/>
  <c r="B2" i="14"/>
  <c r="B2" i="1"/>
  <c r="B3" i="1"/>
  <c r="B3" i="12"/>
  <c r="B2" i="12"/>
  <c r="B2" i="11"/>
  <c r="B3" i="11"/>
  <c r="B2" i="13"/>
  <c r="B3" i="13"/>
  <c r="B53" i="12"/>
  <c r="B3" i="16"/>
  <c r="B3" i="15"/>
  <c r="B3" i="4"/>
  <c r="B16" i="4"/>
  <c r="B3" i="3"/>
  <c r="B10" i="3"/>
  <c r="B109" i="1" l="1"/>
  <c r="B12" i="1"/>
  <c r="S20" i="1"/>
  <c r="R20" i="1"/>
  <c r="Q20" i="1"/>
  <c r="P20" i="1"/>
  <c r="P18" i="1"/>
</calcChain>
</file>

<file path=xl/sharedStrings.xml><?xml version="1.0" encoding="utf-8"?>
<sst xmlns="http://schemas.openxmlformats.org/spreadsheetml/2006/main" count="4954" uniqueCount="2636">
  <si>
    <t>201 – Wirtschaftliche Leistung</t>
  </si>
  <si>
    <t>202 – Marktpräsenz</t>
  </si>
  <si>
    <t>203 – Indirekte wirtschaftliche Auswirkungen</t>
  </si>
  <si>
    <t>205 – Korruptionsbekämpfung</t>
  </si>
  <si>
    <t>206 – Wettbewerbswidriges Verhalten</t>
  </si>
  <si>
    <t>301 – Materialien</t>
  </si>
  <si>
    <t>302 – Energie</t>
  </si>
  <si>
    <t>305 – Emissionen</t>
  </si>
  <si>
    <t>308 – Bewertung der Lieferanten hinsichtlich ökologischer Aspekte</t>
  </si>
  <si>
    <t>401 – Beschäftigung</t>
  </si>
  <si>
    <t>402 – Arbeitnehmer-Arbeitgeber-Verhältnis</t>
  </si>
  <si>
    <t>403 – Arbeitssicherheit und Gesundheitsschutz</t>
  </si>
  <si>
    <t>404 – Aus- und Weiterbildung</t>
  </si>
  <si>
    <t>405 – Vielfalt und Chancengleichheit</t>
  </si>
  <si>
    <t>406 – Gleichbehandlung</t>
  </si>
  <si>
    <t>407 – Vereinigungsfreiheit und Recht auf Kollektivverhandlungen</t>
  </si>
  <si>
    <t>408 – Kinderarbeit</t>
  </si>
  <si>
    <t>409 – Zwangs- und Pflichtarbeit</t>
  </si>
  <si>
    <t>413 – Lokale Gemeinschaften</t>
  </si>
  <si>
    <t>414 – Bewertung der Lieferanten hinsichtlich Arbeitspraktiken</t>
  </si>
  <si>
    <t>418 – Schutz der Privatsphäre des Kunden</t>
  </si>
  <si>
    <t>Allgemeine Angaben</t>
  </si>
  <si>
    <t>UN Global Compact</t>
  </si>
  <si>
    <t>SDG8</t>
  </si>
  <si>
    <t>SDG2, SDG5, SDG7, SDG8, SDG9, SDG13</t>
  </si>
  <si>
    <t>UN Sustainable Development Goals</t>
  </si>
  <si>
    <t>SDG1, SDG5, SDG8</t>
  </si>
  <si>
    <t>SDG1, SDG2, SDG3, SDG8, SDG10, SDG17</t>
  </si>
  <si>
    <t>SDG16</t>
  </si>
  <si>
    <t>SDG8, SDG12</t>
  </si>
  <si>
    <t>SDG7, SDG8, SDG12, SDG13</t>
  </si>
  <si>
    <t>SDG3, SDG12, SDG13, SGD14, SDG15</t>
  </si>
  <si>
    <t>SDG5, SDG8</t>
  </si>
  <si>
    <t>SDG5, SDG8, SDG10</t>
  </si>
  <si>
    <t>SDG5, SDG8, SDG16</t>
  </si>
  <si>
    <t>SDG8, SDG16</t>
  </si>
  <si>
    <t>SDG1, SDG2</t>
  </si>
  <si>
    <t>419 – Sozio-ökonomische Compliance</t>
  </si>
  <si>
    <t>Fussnoten</t>
  </si>
  <si>
    <t>Betriebsertrag</t>
  </si>
  <si>
    <t>Mio. CHF</t>
  </si>
  <si>
    <t>reservierte Dienste</t>
  </si>
  <si>
    <t>Betriebsaufwand</t>
  </si>
  <si>
    <t>Personalaufwand</t>
  </si>
  <si>
    <t>Betriebsergebnis</t>
  </si>
  <si>
    <t>als Anteil des Betriebsertrages</t>
  </si>
  <si>
    <t>%</t>
  </si>
  <si>
    <t>Konzerngewinn</t>
  </si>
  <si>
    <t>Geldfluss aus operativer Geschäftstätigkeit</t>
  </si>
  <si>
    <t>PostMail</t>
  </si>
  <si>
    <t>Swiss Post Solutions</t>
  </si>
  <si>
    <t>n.a.</t>
  </si>
  <si>
    <t>Übrige</t>
  </si>
  <si>
    <t>1) In Übereinstimmung mit dem Segmentausweis im Finanzbericht, d.h. Ausland = inkl. grenzüberschreitendem Verkehr</t>
  </si>
  <si>
    <t>2) Der reservierte Dienst ist die Dienstleistung der postalischen Grundversorgung, die ausschliesslich von der Schweizerischen Post angeboten wird und zu deren Erbringung die Post verpflichtet ist. Der reservierte Dienst entspricht dem Monopolbereich.</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</si>
  <si>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</si>
  <si>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4) ab 01.01.2016 wurde die Produkteverantwortung für Privatkunden-Produkte von Poststellen und Verkauf an PostMail und PostLogistics übergeben. Poststellen und Verkauf weist deshalb keinen Betriebsertrag reservierte Dienste mehr aus; er findet sich ausschliesslich im Betriebsertrag von PostMail wieder.</t>
  </si>
  <si>
    <t>5) Im Jahr 2007 wurden Konzerngesellschaften der Segmente PostMail (DocumentServices AG, SwissSign AG) und PostLogistics (yellowworld AG) neu dem Segment Swiss Post Solutions zugeordnet.</t>
  </si>
  <si>
    <r>
      <t>2013</t>
    </r>
    <r>
      <rPr>
        <b/>
        <vertAlign val="superscript"/>
        <sz val="10"/>
        <rFont val="Frutiger 45 Light"/>
        <family val="2"/>
      </rPr>
      <t>6)</t>
    </r>
  </si>
  <si>
    <r>
      <t>2015</t>
    </r>
    <r>
      <rPr>
        <b/>
        <vertAlign val="superscript"/>
        <sz val="10"/>
        <rFont val="Frutiger 45 Light"/>
        <family val="2"/>
      </rPr>
      <t>6)</t>
    </r>
  </si>
  <si>
    <r>
      <t>1'132</t>
    </r>
    <r>
      <rPr>
        <vertAlign val="superscript"/>
        <sz val="10"/>
        <rFont val="Frutiger 45 Light"/>
        <family val="2"/>
      </rPr>
      <t>4)</t>
    </r>
  </si>
  <si>
    <r>
      <t>60</t>
    </r>
    <r>
      <rPr>
        <vertAlign val="superscript"/>
        <sz val="10"/>
        <rFont val="Frutiger 45 Light"/>
        <family val="2"/>
      </rPr>
      <t>4)</t>
    </r>
  </si>
  <si>
    <r>
      <t>125</t>
    </r>
    <r>
      <rPr>
        <vertAlign val="superscript"/>
        <sz val="10"/>
        <rFont val="Frutiger 45 Light"/>
        <family val="2"/>
      </rPr>
      <t>4)</t>
    </r>
  </si>
  <si>
    <r>
      <t>2175</t>
    </r>
    <r>
      <rPr>
        <vertAlign val="superscript"/>
        <sz val="10"/>
        <rFont val="Frutiger 45 Light"/>
        <family val="2"/>
      </rPr>
      <t>4)</t>
    </r>
  </si>
  <si>
    <t>Unterdeckung bilanzierter Vorsorgeverpflichtungen nach IFRS</t>
  </si>
  <si>
    <t>Deckungsgrad Pensionskasse Post nach BVG</t>
  </si>
  <si>
    <t>201-1</t>
  </si>
  <si>
    <t>201-3</t>
  </si>
  <si>
    <t>Disclosures</t>
  </si>
  <si>
    <t>201-1 – Direct economic value generated and distributed</t>
  </si>
  <si>
    <t>201-3 – Defined benefit plan obligations and other retirement plans</t>
  </si>
  <si>
    <t>Einheit</t>
  </si>
  <si>
    <t>1) Deckung gemäss IFRS (siehe Finanzbericht)</t>
  </si>
  <si>
    <t>2) Deckungsgrad gemäss. Art. 44 der Verordnung über die berufliche Alters-, Hinterlassenen- und Invalidenvorsorge (BVV2)</t>
  </si>
  <si>
    <t>Konzern Schweiz</t>
  </si>
  <si>
    <r>
      <t>8'371</t>
    </r>
    <r>
      <rPr>
        <vertAlign val="superscript"/>
        <sz val="10"/>
        <rFont val="Frutiger 45 Light"/>
        <family val="2"/>
      </rPr>
      <t>4)</t>
    </r>
  </si>
  <si>
    <t xml:space="preserve">202-1 – Ratios of standard entry level wage by gender compared to local minimum wage </t>
  </si>
  <si>
    <t>Entschädigungen an Verwaltungsratspräsidenten</t>
  </si>
  <si>
    <t>Entschädigung an Konzernleiter/-in</t>
  </si>
  <si>
    <t>1, 2</t>
  </si>
  <si>
    <t>Durchschnittslohn Mitarbeitende</t>
  </si>
  <si>
    <t>Minimallohn GAV Post (18 Jahre, ohne Berufslehre)</t>
  </si>
  <si>
    <t>Faktor</t>
  </si>
  <si>
    <t>202-1</t>
  </si>
  <si>
    <t>1) Entschädigung Verwaltungsrat = Honorar plus Nebenleistungen,  Entschädigung Konzernleitung = Grundlohn plus variable Entlöhnung</t>
  </si>
  <si>
    <t>Sprache</t>
  </si>
  <si>
    <t>Sprache ID</t>
  </si>
  <si>
    <t>De</t>
  </si>
  <si>
    <t>Fr</t>
  </si>
  <si>
    <t>It</t>
  </si>
  <si>
    <t>En</t>
  </si>
  <si>
    <t>Gewählte_Sprache</t>
  </si>
  <si>
    <t>Text ID</t>
  </si>
  <si>
    <t>Die Schweizerische Post</t>
  </si>
  <si>
    <t>Swiss Post</t>
  </si>
  <si>
    <t>La Poste</t>
  </si>
  <si>
    <t>La Posta</t>
  </si>
  <si>
    <t>102 – Divulgations généraux</t>
  </si>
  <si>
    <t>102 – Divulgazioni generali</t>
  </si>
  <si>
    <t>Informazioni generali</t>
  </si>
  <si>
    <t>Wirtschaftliche Themen</t>
  </si>
  <si>
    <t>Ökologische Themen</t>
  </si>
  <si>
    <t>Social topics</t>
  </si>
  <si>
    <t>General information</t>
  </si>
  <si>
    <t>Environmental topics</t>
  </si>
  <si>
    <t>Temi ambientali</t>
  </si>
  <si>
    <t>Sujets environnementaux</t>
  </si>
  <si>
    <t>Sujets sociaux</t>
  </si>
  <si>
    <t>Sujets économiques</t>
  </si>
  <si>
    <t>Temi economici</t>
  </si>
  <si>
    <t>Temi sociali</t>
  </si>
  <si>
    <t>201 – Performance économique</t>
  </si>
  <si>
    <t>201 – Prestazioni economiche</t>
  </si>
  <si>
    <t>301 – Materials</t>
  </si>
  <si>
    <t>302 – Energy</t>
  </si>
  <si>
    <t>305 – Emissions</t>
  </si>
  <si>
    <t>401 – Employment</t>
  </si>
  <si>
    <t>405 – Diversity and Equal Opportunity</t>
  </si>
  <si>
    <t>102 – General Disclosures</t>
  </si>
  <si>
    <t>201 – Economic Performance</t>
  </si>
  <si>
    <t>202 – Market Presence</t>
  </si>
  <si>
    <t>203 – Indirect Economic Impacts</t>
  </si>
  <si>
    <t>205 – Anti Corruption</t>
  </si>
  <si>
    <t>206 – Anti Competitive Behavior</t>
  </si>
  <si>
    <t>308 – Supplier Environmental Assessment</t>
  </si>
  <si>
    <t>403 – Occupational Health and Safety</t>
  </si>
  <si>
    <t>404 – Training and Education</t>
  </si>
  <si>
    <t>406 – Non-discrimination</t>
  </si>
  <si>
    <t>407 – Freedom of Association and Collective Bargaining</t>
  </si>
  <si>
    <t>408 – Child Labor</t>
  </si>
  <si>
    <t>409 – Forced or Compulsory Labor</t>
  </si>
  <si>
    <t>412 – Human Rights Assessment</t>
  </si>
  <si>
    <t>413 – Local Communities</t>
  </si>
  <si>
    <t>414 – Supplier Social Assessment</t>
  </si>
  <si>
    <t>418 – Customer Privacy</t>
  </si>
  <si>
    <t>419 – Socioeconomic Compliance</t>
  </si>
  <si>
    <t>202 – Présence sur le marché</t>
  </si>
  <si>
    <t>202 – Presenza sul mercato</t>
  </si>
  <si>
    <t>Economic topics</t>
  </si>
  <si>
    <t>Sozial-gesellschaftliche Themen</t>
  </si>
  <si>
    <t>203 – Impacts économiques indirects</t>
  </si>
  <si>
    <t>203 – Impatti economici indiretti</t>
  </si>
  <si>
    <t>301 – Matières</t>
  </si>
  <si>
    <t>301 – Materiale</t>
  </si>
  <si>
    <t>302 – Energia</t>
  </si>
  <si>
    <t>305 – Emissioni</t>
  </si>
  <si>
    <t>308 – Evaluation environnementale des fournisseurs</t>
  </si>
  <si>
    <t>308 – Valutazione ambientale dei fornitori</t>
  </si>
  <si>
    <t>401 – Emploi</t>
  </si>
  <si>
    <t>401 – Occupazione</t>
  </si>
  <si>
    <t>402 – Labor/Management Relations</t>
  </si>
  <si>
    <t>402 – Relations employeur/employés</t>
  </si>
  <si>
    <t>402 – Relazioni datore di lavoro/dipendente</t>
  </si>
  <si>
    <t>403 – Santé et sécurité au travail</t>
  </si>
  <si>
    <t>405 – Diversité et égalité des chances</t>
  </si>
  <si>
    <t>403 – Salute e sicurezza sul posto di lavoro</t>
  </si>
  <si>
    <t>404 – Formazione e istruzione</t>
  </si>
  <si>
    <t>405 – Diversità e pari opportunità</t>
  </si>
  <si>
    <t>406 – Non discriminazione</t>
  </si>
  <si>
    <t>408 – Travail des enfants</t>
  </si>
  <si>
    <t>407 – Liberté syndicale et droit de négociation collective</t>
  </si>
  <si>
    <t>404 – Formation et éducation</t>
  </si>
  <si>
    <t>409 – Travail forcé ou obligatoire</t>
  </si>
  <si>
    <t>414 – Evaluation sociale des fournisseurs</t>
  </si>
  <si>
    <t>412 – Prüfung der Menschenrechte</t>
  </si>
  <si>
    <t>412 – Valutazione dei diritti umani</t>
  </si>
  <si>
    <t>412 – Evaluation des droits de l'homme</t>
  </si>
  <si>
    <t>413 – Communautés locales</t>
  </si>
  <si>
    <t>413 – Comunità locali</t>
  </si>
  <si>
    <t>418 – Vie privée des clients</t>
  </si>
  <si>
    <t>418 – Privacy dei clienti</t>
  </si>
  <si>
    <t>414 – Valutazione sociale dei fornitori</t>
  </si>
  <si>
    <t>419 – Conformité socioéconomique</t>
  </si>
  <si>
    <t>419 – Conformità socioeconomica</t>
  </si>
  <si>
    <t>409 – Lavoro forzato o obbligatorio</t>
  </si>
  <si>
    <t>408 – Lavoro minorile</t>
  </si>
  <si>
    <t>407 – Libertà di associazione e diritto alla contrattazione collettiva</t>
  </si>
  <si>
    <t>205 – Lotta contro la corruzione</t>
  </si>
  <si>
    <t>205 – Lutte contre la corruption</t>
  </si>
  <si>
    <t>206 – Comportement anticoncurrentiel</t>
  </si>
  <si>
    <t>206 – Comportamento anticoncorrenziale</t>
  </si>
  <si>
    <t>Offenlegungen</t>
  </si>
  <si>
    <t>Divulgations</t>
  </si>
  <si>
    <t>Divulgazioni</t>
  </si>
  <si>
    <t>GRI</t>
  </si>
  <si>
    <t>Unit</t>
  </si>
  <si>
    <t>Unité</t>
  </si>
  <si>
    <t>Unità</t>
  </si>
  <si>
    <t>Footnotes</t>
  </si>
  <si>
    <t>Notes</t>
  </si>
  <si>
    <t>Note</t>
  </si>
  <si>
    <t>201-1 – Direkt erwirtschafteter und verteilter wirtschaftlicher Wert</t>
  </si>
  <si>
    <t>201-3 – Deckung der Verpflichtungen der Organisation aus dem leistungsorientierten Pensionsplan</t>
  </si>
  <si>
    <t>201-1 – Valeur économique directe créée et distribuée</t>
  </si>
  <si>
    <t>201-3 – Etendue de la couverture des régimes de retraite à prestations définies</t>
  </si>
  <si>
    <t>202-1 – Spanne des Verhältnisses der Standardeintrittsgehälter nach Geschlecht zum lokalen Mindestlohn  an Hauptgeschäftsstandorten</t>
  </si>
  <si>
    <t>201-1 – Valore economico diretto creato e distribuito</t>
  </si>
  <si>
    <t>201-3 – Ambito di copertura dei piani pensionistici a benefici definiti</t>
  </si>
  <si>
    <t>202-1 – Rapporti della base salariale di base per sesso al salario minimo locale nei principali siti operativi</t>
  </si>
  <si>
    <t>Beiträge</t>
  </si>
  <si>
    <t>Wirtschaft</t>
  </si>
  <si>
    <t>Sportsponsoring</t>
  </si>
  <si>
    <t>Kultursponsoring</t>
  </si>
  <si>
    <t>Soziale Engagements / Vergabungen / Spenden</t>
  </si>
  <si>
    <t>Spenden an politische Parteien</t>
  </si>
  <si>
    <t>203-2 – Significant indirect economic impacts</t>
  </si>
  <si>
    <t>203-2 – Impacts économiques indirects substantiels</t>
  </si>
  <si>
    <t>203-2 – Erhebliche indirekte wirtschaftliche Auswirkungen</t>
  </si>
  <si>
    <t>203-2 – Impatti economici indiretti sostanziali</t>
  </si>
  <si>
    <t>1) Ab 1.1.2015 ist das Wirtschaftssponsoring expliziter Bestandteil des Sponsoring der Schweizerischen Post.</t>
  </si>
  <si>
    <t>203-2</t>
  </si>
  <si>
    <t>415-1</t>
  </si>
  <si>
    <t>205-1 – Operations assessed for risks related to corruption</t>
  </si>
  <si>
    <t>205-2 – Communication and training about anti-corruption policies and procedures</t>
  </si>
  <si>
    <t>205-3 – Confirmed incidents of corruption and actions taken</t>
  </si>
  <si>
    <t>205-1 – Geschäftsstandorte, die im Hinblick auf Korruptionsrisiken geprüft wurden</t>
  </si>
  <si>
    <t>205-2 – Informationen und Schulungen über Massnahmen und Verfahren zur Korruptionsbekämpfung</t>
  </si>
  <si>
    <t>205-3 – Bestätigte Korruptionsfälle und ergriffene Massnahmen</t>
  </si>
  <si>
    <t>205-1 – Siti che sono stati valutati per i rischi di corruzione</t>
  </si>
  <si>
    <t>205-2 – Communication et formation sur les politiques et procédures en matière de lutte contre la corruption</t>
  </si>
  <si>
    <t>205-2 – Comunicazione e formazione sulle politiche e le procedure anticorruzione</t>
  </si>
  <si>
    <t>205-3 – Cas avérés de corruption et mesures prises</t>
  </si>
  <si>
    <t>205-3 – Provati casi di corruzione e misure adottate</t>
  </si>
  <si>
    <t>206-1 – Legal actions for anti-competitive behavior, anti-trust, and monopoly practices</t>
  </si>
  <si>
    <t>206-1 – Verfahren aufgrund von wettbewerbswidrigem Verhalten oder Kartell- und Monopolbildung</t>
  </si>
  <si>
    <t>206-1 – Actions en justice pour comportement anticoncurrentiel, pratiques antitrust et monopolistiques</t>
  </si>
  <si>
    <t>206-1 – Comportamenti anticoncorrenziali, antitrust e pratiche monopolistiche</t>
  </si>
  <si>
    <t>t</t>
  </si>
  <si>
    <t>301-1 – Materials used by weight or volume</t>
  </si>
  <si>
    <t>301-2 – Recycled input materials used</t>
  </si>
  <si>
    <t>301-1 – Eingesetzte Materialien nach Gewicht oder Volumen</t>
  </si>
  <si>
    <t>301-2 – Anteil der Sekundärrohstoffe am Gesamtmaterialeinsatz</t>
  </si>
  <si>
    <t>301-1 – Consommation de matières en poids ou en volume</t>
  </si>
  <si>
    <t>301-1 – Consumo di materiali in peso o in volume</t>
  </si>
  <si>
    <t>301-2 – Pourcentage de matériaux consommés provenant de matières recyclées</t>
  </si>
  <si>
    <t>301-2 – Percentuale di materiali consumati da materiali riciclati</t>
  </si>
  <si>
    <t>302-1 – Energy consumption within the organization</t>
  </si>
  <si>
    <t>302-2 – Energy consumption outside of the organization</t>
  </si>
  <si>
    <t>302-3 – Energy intensity</t>
  </si>
  <si>
    <t>302-1 – Energieverbrauch innerhalb der Organisation</t>
  </si>
  <si>
    <t>302-2 – Energieverbrauch ausserhalb der Organisation</t>
  </si>
  <si>
    <t>302-3 – Energieintensität</t>
  </si>
  <si>
    <t>302-1 – Consumo energetico all'interno dell'organizzazione</t>
  </si>
  <si>
    <t>302-2 – Consumo energetico al di fuori dell'organizzazione</t>
  </si>
  <si>
    <t>302-3 – Intensité énergétique</t>
  </si>
  <si>
    <t>302-3 – Intensità energetica</t>
  </si>
  <si>
    <t>Treibstoffe</t>
  </si>
  <si>
    <t>Brennstoffe (Wärme)</t>
  </si>
  <si>
    <t>Strom</t>
  </si>
  <si>
    <t>Strom (ohne Treibstoff, Wärme)</t>
  </si>
  <si>
    <t>1,3</t>
  </si>
  <si>
    <t>Total</t>
  </si>
  <si>
    <t>Totaler Energiebedarf</t>
  </si>
  <si>
    <t>Energieeffizienzsteigerung seit 2006</t>
  </si>
  <si>
    <t>302-1</t>
  </si>
  <si>
    <t>302-2</t>
  </si>
  <si>
    <t>1) Standards, Methoden und Umrechnungsfaktoren: GHG Protocol, Revised Edition (2004). Die Umrechnungsfaktoren stammen aus ecoinvent 2.2.</t>
  </si>
  <si>
    <t>2) «naturemade star»-zertifizierter Ökostrom / Biogas</t>
  </si>
  <si>
    <t>3) «naturemade basic»-zertifizierter Strom aus erneuerbaren Energien</t>
  </si>
  <si>
    <t>4) Wärmestrom ist im Gebäudestrom enthalten</t>
  </si>
  <si>
    <t>305-1 – Direct (Scope 1) GHG emissions</t>
  </si>
  <si>
    <t>305-2 – Energy indirect (Scope 2) GHG emissions</t>
  </si>
  <si>
    <t>305-3 – Other indirect (Scope 3) GHG emissions</t>
  </si>
  <si>
    <t>305-4 – GHG emissions intensity</t>
  </si>
  <si>
    <t>305-6 – Emissions of ozone-depleting substances (ODS)</t>
  </si>
  <si>
    <t>305-7 – Nitrogen oxides (NOX), sulfur oxides (SOX), and other significant air emissions</t>
  </si>
  <si>
    <t>305-1 – Direkte THG-Emissionen (Scope 1)</t>
  </si>
  <si>
    <t>305-2 – Indirekte energiebezogene THG-Emissionen (Scope 2)</t>
  </si>
  <si>
    <t>305-3 – Weitere indirekte THG-Emissionen (Scope 3)</t>
  </si>
  <si>
    <t>305-4 – Intensität der THG-Emissionen</t>
  </si>
  <si>
    <t>305-6 – Emissionen Ozon abbauender Stoffe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</si>
  <si>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und andere signifikante Luftemissionen</t>
    </r>
  </si>
  <si>
    <t>305-3 – Autres émissions indirectes de gaz à effet de serre (Scope 3)</t>
  </si>
  <si>
    <t>305-4 – Intensité des émissions de gaz à effet de serre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</si>
  <si>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et autres émissions atmosphériques substantielles</t>
    </r>
  </si>
  <si>
    <t>305-1 – Emissions directes de gaz à effet de serre (Scope 1)</t>
  </si>
  <si>
    <t>305-1 – Emissioni dirette di gas a effetto serra (Scope 1)</t>
  </si>
  <si>
    <t>305-2 – Emissioni indirette di gas a effetto serra (Scope 2) legati all'energia</t>
  </si>
  <si>
    <t>305-3 – Altre emissioni indirette di gas a effetto serra (Scope 3)</t>
  </si>
  <si>
    <t>305-4 – Intensità delle emissioni di gas a effetto serra</t>
  </si>
  <si>
    <t>305-6 – Emissioni di sostanze che riducono l'ozono (SRO)</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</si>
  <si>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e altre emissioni di aria sostanziale</t>
    </r>
  </si>
  <si>
    <t>Finanzielles Ergebnis</t>
  </si>
  <si>
    <t>Résultat financier</t>
  </si>
  <si>
    <t>Risultato finanziario</t>
  </si>
  <si>
    <t>Financial result</t>
  </si>
  <si>
    <t>Millions de CHF</t>
  </si>
  <si>
    <t>mln di CHF</t>
  </si>
  <si>
    <t>CHF million</t>
  </si>
  <si>
    <t>Produits d'exploitation</t>
  </si>
  <si>
    <t>Services réservés</t>
  </si>
  <si>
    <t>Charges d'exploitation</t>
  </si>
  <si>
    <t>Charges de personnel</t>
  </si>
  <si>
    <t>Résultat d'exploitation</t>
  </si>
  <si>
    <t>en proportion des produits d'exploitation</t>
  </si>
  <si>
    <t>Bénéfice consolidé</t>
  </si>
  <si>
    <t>Flux de trésorerie des activités opérationnelles</t>
  </si>
  <si>
    <t>Unternehmensmehrwert</t>
  </si>
  <si>
    <t>Valeur ajoutée de l'entreprise</t>
  </si>
  <si>
    <t>Nettoumsatz übrige Markenartikel</t>
  </si>
  <si>
    <t>Chiffre d'affaires net autres articles de marque</t>
  </si>
  <si>
    <t>1) In conformità con il prospetto per segmento nel rapporto finanziario, quindi estero = incl. traffico transfrontaliero</t>
  </si>
  <si>
    <t>1) In accordance with the segment disclosure in the Financial Report, i.e. abroad = including cross-border traffic.</t>
  </si>
  <si>
    <t>2) Les services réservés sont des services faisant partie du service universel postal. Ils sont proposés exclusivement par la Poste, qui est tenue de les fournir. Ils relèvent du monopole.</t>
  </si>
  <si>
    <t>2) Il servizio riservato consiste nelle prestazioni del servizio postale di base offerte esclusivamente dalla Posta e che essa è tenuta ad erogare. Il servizio riservato corrisponde al settore protetto da monopolio.</t>
  </si>
  <si>
    <t>2) The reserved service is the universal postal service that is offered exclusively by Swiss Post and which Swiss Post must provide. The reserved service is the monopoly.</t>
  </si>
  <si>
    <t>3) Swiss Post Value Added (PVA) is an absolute figure (CHF million) indicating how much added value the company as a whole or a specific segment generates. Value added is created when, after being adjusted for tax, operating profit exceeds the required interest on invested capital.</t>
  </si>
  <si>
    <t>4) Product responsibility for products aimed at private customers was transferred from Post Offices &amp; Sales to PostLogistics and PostMail on 1 January 2016. Post Offices &amp; Sales therefore no longer discloses any operating income from reserved services, which is recognized exclusively in operating income from PostMail.</t>
  </si>
  <si>
    <t>5) En 2007, des sociétés du groupe des segments PostMail (DocumentServices SA, SwissSign SA) et PostLogistics (yellowworld SA) ont été transférées au segment Swiss Post Solutions.</t>
  </si>
  <si>
    <t>5) Nel 2007 alcune società del gruppo dei segmenti PostMail (DocumentServices AG, SwissSign AG) e PostLogistics (yellowworld AG) sono state assegnate al segmento Swiss Post Solutions.</t>
  </si>
  <si>
    <t>5) In 2007, subsidiaries in the PostMail (DocumentServices AG, SwissSign AG) and PostLogistics (yellowworld AG) segments were assigned to the Swiss Post Solutions segment.</t>
  </si>
  <si>
    <t>als Anteil des Betriebsergenisses</t>
  </si>
  <si>
    <t>Konzern</t>
  </si>
  <si>
    <t>Groupe</t>
  </si>
  <si>
    <t>Gruppo</t>
  </si>
  <si>
    <t>Group</t>
  </si>
  <si>
    <t>Gruppo Svizzera</t>
  </si>
  <si>
    <t>Group in Switzerland</t>
  </si>
  <si>
    <t>Märkte</t>
  </si>
  <si>
    <t>Marchés</t>
  </si>
  <si>
    <t>Mercati</t>
  </si>
  <si>
    <t>Markets</t>
  </si>
  <si>
    <t>Kommunikationsmarkt</t>
  </si>
  <si>
    <t>Marché de la communication</t>
  </si>
  <si>
    <t>Mercato della comunicazione</t>
  </si>
  <si>
    <t>Communication market</t>
  </si>
  <si>
    <t>Logistikmarkt</t>
  </si>
  <si>
    <t>Marché de la logistique</t>
  </si>
  <si>
    <t>Mercato logistico</t>
  </si>
  <si>
    <t>Logistics market</t>
  </si>
  <si>
    <t>Finanzdienstleistungsmarkt</t>
  </si>
  <si>
    <t>Marché des services financiers</t>
  </si>
  <si>
    <t>Mercato dei servizi finanziari</t>
  </si>
  <si>
    <t>Financial services market</t>
  </si>
  <si>
    <t>Personenverkehrsmarkt</t>
  </si>
  <si>
    <t>Marché du transport de voyageurs</t>
  </si>
  <si>
    <t>Mercato dei trasporti di persone</t>
  </si>
  <si>
    <t>Passenger transport market</t>
  </si>
  <si>
    <t>Autres</t>
  </si>
  <si>
    <t>Altro</t>
  </si>
  <si>
    <t>Other</t>
  </si>
  <si>
    <t>Segmente</t>
  </si>
  <si>
    <t>Segments</t>
  </si>
  <si>
    <t>Segmenti</t>
  </si>
  <si>
    <t>PostNetz</t>
  </si>
  <si>
    <t>RéseauPostal</t>
  </si>
  <si>
    <t>RetePostale</t>
  </si>
  <si>
    <t>PostalNetwork</t>
  </si>
  <si>
    <t>PostLogistics</t>
  </si>
  <si>
    <t>PostFinance</t>
  </si>
  <si>
    <t>PostAuto</t>
  </si>
  <si>
    <t>CarPostal</t>
  </si>
  <si>
    <t>AutoPostale</t>
  </si>
  <si>
    <t>PostBus</t>
  </si>
  <si>
    <t>Altri</t>
  </si>
  <si>
    <t>Ricavi d'esercizio</t>
  </si>
  <si>
    <t>Operating income</t>
  </si>
  <si>
    <t>servizi riservati</t>
  </si>
  <si>
    <t>Reserved services</t>
  </si>
  <si>
    <t>Costi d'esercizio</t>
  </si>
  <si>
    <t>Operating expenses</t>
  </si>
  <si>
    <t>Costi per il personale</t>
  </si>
  <si>
    <t>Personnel expenses</t>
  </si>
  <si>
    <t>Risultato d'esercizio</t>
  </si>
  <si>
    <t>Operating profit</t>
  </si>
  <si>
    <t>in % dei ricavi d'esercizio</t>
  </si>
  <si>
    <t>As a share of operating income</t>
  </si>
  <si>
    <t>in % dei risultato d'esercizio</t>
  </si>
  <si>
    <t>As a share of operating profit</t>
  </si>
  <si>
    <t>Utile del gruppo</t>
  </si>
  <si>
    <t>Group profit</t>
  </si>
  <si>
    <t>Flusso di tesoreria derivante dall'attività operativa</t>
  </si>
  <si>
    <t>Cash flow from operating activities</t>
  </si>
  <si>
    <t>Valore aggiunto aziendale</t>
  </si>
  <si>
    <t>Economic value added</t>
  </si>
  <si>
    <t>fatturato netto altri articoli di marca</t>
  </si>
  <si>
    <t>Net sales – other brand-name items</t>
  </si>
  <si>
    <t>Découvert des obligations de prévoyance portées au bilan selon les normes IFRS</t>
  </si>
  <si>
    <t>Sottocopertura obblighi previdenziali iscritti a bilancio secondo gli IFRS</t>
  </si>
  <si>
    <t>Shortfall in recognized employee benefit obligations in accordance with IFRS.</t>
  </si>
  <si>
    <t>Degré de couverture de la Caisse de pensions Poste selon la LPP</t>
  </si>
  <si>
    <t>Grado di copertura della Cassa pensioni Posta secondo la LPP</t>
  </si>
  <si>
    <t>Pensionskasse</t>
  </si>
  <si>
    <t>Caisse de pensions</t>
  </si>
  <si>
    <t>Cassa pensioni</t>
  </si>
  <si>
    <t>Pension fund</t>
  </si>
  <si>
    <t>1) Couverture selon les normes IFRS (voir rapport financier)</t>
  </si>
  <si>
    <t>1) Copertura secondo gli IFRS (cfr. Rapporto finanziario)</t>
  </si>
  <si>
    <t>1) Coverage in accordance with IFRS (see Financial Report).</t>
  </si>
  <si>
    <t>2, 3</t>
  </si>
  <si>
    <t>Entschädigungen</t>
  </si>
  <si>
    <t>Indemnités</t>
  </si>
  <si>
    <t>Indennità</t>
  </si>
  <si>
    <t>Remuneration</t>
  </si>
  <si>
    <t>CHF</t>
  </si>
  <si>
    <t>Facteur</t>
  </si>
  <si>
    <t>Fattore</t>
  </si>
  <si>
    <t>Factor</t>
  </si>
  <si>
    <t>Remuneration paid to Chairman of the Board</t>
  </si>
  <si>
    <t>Indemnités versées au directeur/à la directrice général(e)</t>
  </si>
  <si>
    <t>Indennità al/alla direttore/direttrice generale</t>
  </si>
  <si>
    <t>Remuneration paid to CEO</t>
  </si>
  <si>
    <t>Salaire moyen du personnel</t>
  </si>
  <si>
    <t>Salario medio dei collaboratori</t>
  </si>
  <si>
    <t>Average salary for employees</t>
  </si>
  <si>
    <t>Salaire minimal CCT Poste (18 ans, sans apprentissage)</t>
  </si>
  <si>
    <t>Salario minimo CCL Posta (dai 18 anni, senza apprendistato professionale)</t>
  </si>
  <si>
    <t>Minimum salary under Swiss Post CEC (18 years, without vocational training)</t>
  </si>
  <si>
    <t>1) Indennità per Consiglio di amministrazione = onorario più prestazioni accessorie; indennità per Direzione del gruppo = salario di base più compenso variabile.</t>
  </si>
  <si>
    <t>1) Remuneration paid to BoD = fee plus fringe benefits, to Executive Management = base salary plus performance component.</t>
  </si>
  <si>
    <t>Groupe Suisse</t>
  </si>
  <si>
    <t>Wohltätigkeit und Sponsoring</t>
  </si>
  <si>
    <t>Actions de bienfaisance et sponsoring</t>
  </si>
  <si>
    <t>Contributions</t>
  </si>
  <si>
    <t>Sponsoring économique</t>
  </si>
  <si>
    <t>Sponsoring sportif</t>
  </si>
  <si>
    <t>Sponsoring culturel</t>
  </si>
  <si>
    <t>Engagements sociaux / cadeaux / dons</t>
  </si>
  <si>
    <t>Dons à des partis politiques</t>
  </si>
  <si>
    <t>1) Depuis le 1er janvier 2015, le sponsoring économique fait explicitement partie du sponsoring de la Poste.</t>
  </si>
  <si>
    <t>Beneficenza e sponsoring</t>
  </si>
  <si>
    <t>Contributi</t>
  </si>
  <si>
    <t>Economia</t>
  </si>
  <si>
    <t>Sponsoring sportivo</t>
  </si>
  <si>
    <t>Sponsoring culturale</t>
  </si>
  <si>
    <t>Impegno sociale / doni / donazioni</t>
  </si>
  <si>
    <t>Doni a partiti politici</t>
  </si>
  <si>
    <t>Charity and sponsorship</t>
  </si>
  <si>
    <t>Economy</t>
  </si>
  <si>
    <t>Sports sponsorship</t>
  </si>
  <si>
    <t>Cultural sponsorship</t>
  </si>
  <si>
    <t>Social initiatives/gifts/donations</t>
  </si>
  <si>
    <t>Donations to political parties</t>
  </si>
  <si>
    <t>1) Business sponsoring has been an explicit part of sponsoring at Swiss Post since 1 January 2015.</t>
  </si>
  <si>
    <t>Tonnes</t>
  </si>
  <si>
    <t>Weitere Energiekennzahlen</t>
  </si>
  <si>
    <t>Carburants</t>
  </si>
  <si>
    <t>Combustibles (chaleur)</t>
  </si>
  <si>
    <t>Electricité</t>
  </si>
  <si>
    <t>Electricité (sans carburant, ni chaleur)</t>
  </si>
  <si>
    <t>Total des besoins énergétiques</t>
  </si>
  <si>
    <t>Autres indicateurs énergétiques</t>
  </si>
  <si>
    <t>Amélioration de l'efficacité énergétique depuis 2006</t>
  </si>
  <si>
    <t>2) Electricité verte / biogaz certifiés «naturemade star».</t>
  </si>
  <si>
    <t>3) Electricité certifiée «naturemade basic» provenant d'énergies renouvelables.</t>
  </si>
  <si>
    <t>Carburanti</t>
  </si>
  <si>
    <t>Combustibili (calore)</t>
  </si>
  <si>
    <t>Energia elettrica</t>
  </si>
  <si>
    <t>Energia elettrica (senza carburanti e calore)</t>
  </si>
  <si>
    <t>Totale</t>
  </si>
  <si>
    <t>Totale fabbisogno energetico</t>
  </si>
  <si>
    <t>1) Standard, metodi e fattori di conversione: GHG Protocol, Revised Edition (2004). I fattori di conversione provengono da ecoinvent 2.2.</t>
  </si>
  <si>
    <t>2) Energia elettrica ecologica certificata «naturemade star».</t>
  </si>
  <si>
    <t>3) Energia elettrica ecologica certificata «naturemade basic» da energie rinnovabili.</t>
  </si>
  <si>
    <t>Fuel</t>
  </si>
  <si>
    <t>Combustibles (heat)</t>
  </si>
  <si>
    <t>Electricity</t>
  </si>
  <si>
    <t>Electricity (excluding fuel, heating)</t>
  </si>
  <si>
    <t>Total energy consumption</t>
  </si>
  <si>
    <t>Additional energy figures</t>
  </si>
  <si>
    <t>Increase in energy efficiency since 2006</t>
  </si>
  <si>
    <t>1) Standards, methods and conversion factors: GHG Protocol, Revised Edition (2004). The conversion factors are taken from ecoinvent 2.2.</t>
  </si>
  <si>
    <t>2) “naturemade star” certified green power / biogas.</t>
  </si>
  <si>
    <t>3) “naturemade basic” certified power from renewable energy.</t>
  </si>
  <si>
    <t>4) Electricity for heating is included in building electricity.</t>
  </si>
  <si>
    <t>Energieverbrauch innerhalb und ausserhalb der Organisation</t>
  </si>
  <si>
    <t>Consumo energetico all'interno e al di fuori dell'organizzazione</t>
  </si>
  <si>
    <t>Energy consumption within and outside the organization</t>
  </si>
  <si>
    <t>1)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</si>
  <si>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1)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t>
  </si>
  <si>
    <t>Treibstoffe (innerhalb der Post)</t>
  </si>
  <si>
    <t>erneuerbarer Anteil Treibstoffe Total (innerhalb der Post)</t>
  </si>
  <si>
    <t>Diesel (innerhalb der Post)</t>
  </si>
  <si>
    <t>erneuerbarer Anteil Biodiesel (innerhalb der Post)</t>
  </si>
  <si>
    <t>Benzin (innerhalb der Post)</t>
  </si>
  <si>
    <t>Erdgas (innerhalb der Post)</t>
  </si>
  <si>
    <t>erneuerbarer Anteil Biogas (innerhalb der Post)</t>
  </si>
  <si>
    <t>Strom als Treibstoff (innerhalb der Post)</t>
  </si>
  <si>
    <t>erneuerbarer Anteil Treibstoff Strom (innerhalb der Post)</t>
  </si>
  <si>
    <t>Wasserstoff (innerhalb der Post)</t>
  </si>
  <si>
    <t>erneuerbarer Anteil Wasserstoff (innerhalb der Post)</t>
  </si>
  <si>
    <t>Brennstoffe (innerhalb der Post)</t>
  </si>
  <si>
    <t>erneuerbarer Anteil Brennstoffe Total (innerhalb der Post)</t>
  </si>
  <si>
    <t>Heizöl Extraleicht (innerhalb der Post)</t>
  </si>
  <si>
    <t>Fernwärme (innerhalb der Post)</t>
  </si>
  <si>
    <t>erneuerbarer Anteil Fernwärme (innerhalb der Post)</t>
  </si>
  <si>
    <t>Strom als Wärme (innerhalb der Post)</t>
  </si>
  <si>
    <t>Totaler Energiebedarf (innerhalb der Post)</t>
  </si>
  <si>
    <t>erneuerbarer Anteil Energiebedarf (innerhalb der Post)</t>
  </si>
  <si>
    <t>Treibstoffe (ausserhalb der Post)</t>
  </si>
  <si>
    <t>Brennstoffe (ausserhalb der Post)</t>
  </si>
  <si>
    <t>Totaler Energiebedarf (ausserhalb der Post)</t>
  </si>
  <si>
    <t>Carburants (au sein de la Poste)</t>
  </si>
  <si>
    <t>Part de carburants renouvelables, total (au sein de la Poste)</t>
  </si>
  <si>
    <t>Diesel (au sein de la Poste)</t>
  </si>
  <si>
    <t>Part de biodiesel renouvelable (au sein de la Poste)</t>
  </si>
  <si>
    <t>Essence (au sein de la Poste)</t>
  </si>
  <si>
    <t>Gaz naturel (au sein de la Poste)</t>
  </si>
  <si>
    <t>Part de biogaz renouvelable (au sein de la Poste)</t>
  </si>
  <si>
    <t>Electricité comme carburant (au sein de la Poste)</t>
  </si>
  <si>
    <t>Hydrogène (au sein de la Poste)</t>
  </si>
  <si>
    <t>Combustibles (au sein de la Poste)</t>
  </si>
  <si>
    <t>Part de combustibles renouvelables, total (au sein de la Poste)</t>
  </si>
  <si>
    <t>Mazout extra-léger (au sein de la Poste)</t>
  </si>
  <si>
    <t>Chaleur à distance (au sein de la Poste)</t>
  </si>
  <si>
    <t>Part de chaleur à distance renouvelable (au sein de la Poste)</t>
  </si>
  <si>
    <t>Electricité de chauffage (au sein de la Poste)</t>
  </si>
  <si>
    <t>Total des besoins énergétiques (au sein de la Poste)</t>
  </si>
  <si>
    <t>Carburants (en dehors de la Poste)</t>
  </si>
  <si>
    <t>Combustibles (en dehors de la Poste)</t>
  </si>
  <si>
    <t>Total des besoins énergétiques (en dehors de la Poste)</t>
  </si>
  <si>
    <t>Carburanti (al di fuori della Posta)</t>
  </si>
  <si>
    <t>Combustibili (al di fuori della Posta)</t>
  </si>
  <si>
    <t>Totale fabbisogno energetico (al di fuori della Posta)</t>
  </si>
  <si>
    <t>Fuel (within Swiss Post)</t>
  </si>
  <si>
    <t>Renewable percentage of total fuels (within Swiss Post)</t>
  </si>
  <si>
    <t>Diesel (within Swiss Post)</t>
  </si>
  <si>
    <t>Renewable percentage of biodiesel (within Swiss Post)</t>
  </si>
  <si>
    <t>Petrol (within Swiss Post)</t>
  </si>
  <si>
    <t>Natural gas (within Swiss Post)</t>
  </si>
  <si>
    <t>Renewable percentage of biogas (within Swiss Post)</t>
  </si>
  <si>
    <t>Electricity used as fuel (within Swiss Post)</t>
  </si>
  <si>
    <t>Renewable percentage of fuel electricity (within Swiss Post)</t>
  </si>
  <si>
    <t>Hydrogen (within Swiss Post)</t>
  </si>
  <si>
    <t>Renewable percentage of hydrogen (within Swiss Post)</t>
  </si>
  <si>
    <t>Combustibles (within Swiss Post)</t>
  </si>
  <si>
    <t>Renewable percentage of total combustibles (within Swiss Post)</t>
  </si>
  <si>
    <t>Heating oil (extra light) (within Swiss Post)</t>
  </si>
  <si>
    <t>District heating (within Swiss Post)</t>
  </si>
  <si>
    <t>Renewable percentage of district heating (within Swiss Post)</t>
  </si>
  <si>
    <t>Electricity used as heating (within Swiss Post)</t>
  </si>
  <si>
    <t>Total energy consumption (within Swiss Post)</t>
  </si>
  <si>
    <t>Renewable percentage of energy consumption (within Swiss Post)</t>
  </si>
  <si>
    <t>Fuel (outside Swiss Post)</t>
  </si>
  <si>
    <t>Combustibles (outside Swiss Post)</t>
  </si>
  <si>
    <t>Total energy consumption (outside Swiss Post)</t>
  </si>
  <si>
    <t>Emissioni di gas serra</t>
  </si>
  <si>
    <t>Intensità delle emissioni di gas serra</t>
  </si>
  <si>
    <t>Emissioni di gas serra compensate</t>
  </si>
  <si>
    <t>Altre cifre sui gas serra</t>
  </si>
  <si>
    <t>Emissions de gaz à effet de serre</t>
  </si>
  <si>
    <t>Intensité de gaz à effet de serre</t>
  </si>
  <si>
    <t>Emissions de gaz à effet de serre compensées</t>
  </si>
  <si>
    <t>Autres indicateurs des gaz à effet de serre</t>
  </si>
  <si>
    <t>Treibhausgasemissionen</t>
  </si>
  <si>
    <t>Treibhausgasintensitäten</t>
  </si>
  <si>
    <t>Kompensierte Treibhausgasemissionen</t>
  </si>
  <si>
    <t>Weitere Treibhausgaskennzahlen</t>
  </si>
  <si>
    <t>Greenhouse gas emissions</t>
  </si>
  <si>
    <t>Greenhouse gas intensities</t>
  </si>
  <si>
    <t>Offset greenhouse gas emissions</t>
  </si>
  <si>
    <t>Other greenhouse gas figures</t>
  </si>
  <si>
    <t>t CO2-Äquivalent</t>
  </si>
  <si>
    <t xml:space="preserve">t CO2-Äquivalent pro Personaleinheit </t>
  </si>
  <si>
    <t>Anzahl in Mio.</t>
  </si>
  <si>
    <t>t CO2-Äquivalent pro Mio. CHF</t>
  </si>
  <si>
    <t>t di CO2 equivalenti</t>
  </si>
  <si>
    <t xml:space="preserve">t di CO2 equivalenti per unità di personale </t>
  </si>
  <si>
    <t>numero in mln</t>
  </si>
  <si>
    <t>t CO2 equivalent</t>
  </si>
  <si>
    <t xml:space="preserve">t CO2 equivalent per full-time equivalent </t>
  </si>
  <si>
    <t>Volume in millions</t>
  </si>
  <si>
    <t>Equivalent de tonnes de CO2</t>
  </si>
  <si>
    <t xml:space="preserve">Equivalent de tonnes de CO2 par unité de personnel </t>
  </si>
  <si>
    <t>Nombre en millions</t>
  </si>
  <si>
    <t>Nach Prozessen</t>
  </si>
  <si>
    <t>Leistungserbringung</t>
  </si>
  <si>
    <t>Gebäude</t>
  </si>
  <si>
    <t>Wärme</t>
  </si>
  <si>
    <t>Kältemittel, Ressourcen und Abfälle</t>
  </si>
  <si>
    <t>Mobilität</t>
  </si>
  <si>
    <t>Personentransport</t>
  </si>
  <si>
    <t>Gütertransport</t>
  </si>
  <si>
    <t>Werksgelände</t>
  </si>
  <si>
    <t>Strasse</t>
  </si>
  <si>
    <t>Schiene</t>
  </si>
  <si>
    <t>Luft</t>
  </si>
  <si>
    <t>Wasser</t>
  </si>
  <si>
    <t>Geschäftsreiseverkehr</t>
  </si>
  <si>
    <t>Arbeitspendlerverkehr</t>
  </si>
  <si>
    <t>Nach Scopes und Energieträger</t>
  </si>
  <si>
    <t>Direkte Treibhausgasemissionen (Scope 1)</t>
  </si>
  <si>
    <t>Verbrennung von Brennstoffen in stationären Quellen</t>
  </si>
  <si>
    <t>Heizöl</t>
  </si>
  <si>
    <t>Erdgas</t>
  </si>
  <si>
    <t>Diesel</t>
  </si>
  <si>
    <t>Benzin</t>
  </si>
  <si>
    <t>Wasserstoff</t>
  </si>
  <si>
    <t>Flüchtige Emissionen</t>
  </si>
  <si>
    <t>Kältemittel</t>
  </si>
  <si>
    <t>Indirekte energiebezogene Treibhausgasemissionen (Scope 2)</t>
  </si>
  <si>
    <t>standortbezogene Emissionen</t>
  </si>
  <si>
    <t>marktbasierte Emissionen</t>
  </si>
  <si>
    <t>Fernwärme</t>
  </si>
  <si>
    <t>Weitere relevante indirekte Treibhausgasemissionen (Scope 3)</t>
  </si>
  <si>
    <t>Bezogene Waren und Dienstleistungen</t>
  </si>
  <si>
    <t>Kraftstoff- und energiebezogene Aktivitäten</t>
  </si>
  <si>
    <t>Vorgelagerte(r) Transport und Verteilung</t>
  </si>
  <si>
    <t>Im Rahmen der Geschäftstätigkeiten anfallender Abfall</t>
  </si>
  <si>
    <t>Geschäftsreisen</t>
  </si>
  <si>
    <t>Vorgelagerte gemietete Wirtschaftsgüter</t>
  </si>
  <si>
    <t>Par processus</t>
  </si>
  <si>
    <t>Fourniture de prestations</t>
  </si>
  <si>
    <t>Bâtiments</t>
  </si>
  <si>
    <t>Chaleur</t>
  </si>
  <si>
    <t>Climatisation, ressources et déchets</t>
  </si>
  <si>
    <t>Mobilité</t>
  </si>
  <si>
    <t>Transport de voyageurs</t>
  </si>
  <si>
    <t>Transport de marchandises</t>
  </si>
  <si>
    <t>Route</t>
  </si>
  <si>
    <t>Rail</t>
  </si>
  <si>
    <t>Transport aérien</t>
  </si>
  <si>
    <t>Transport naval</t>
  </si>
  <si>
    <t>Déplacements professionnels</t>
  </si>
  <si>
    <t>Trafic pendulaire</t>
  </si>
  <si>
    <t>Consommation de combustibles dans des sources stationnaires</t>
  </si>
  <si>
    <t>Mazout</t>
  </si>
  <si>
    <t>Gaz naturel</t>
  </si>
  <si>
    <t>Essence</t>
  </si>
  <si>
    <t>Hydrogène</t>
  </si>
  <si>
    <t>Emissions fugitives</t>
  </si>
  <si>
    <t>Climatisation</t>
  </si>
  <si>
    <t>Emissions liées à des sites</t>
  </si>
  <si>
    <t>Emissions basées sur le marché</t>
  </si>
  <si>
    <t>Chaleur à distance</t>
  </si>
  <si>
    <t>Marchandises et prestations achetées</t>
  </si>
  <si>
    <t>Transport et tri en amont</t>
  </si>
  <si>
    <t>Biens économiques loués en amont</t>
  </si>
  <si>
    <t>Emissions directes de gaz à effet de serre (scope 1)</t>
  </si>
  <si>
    <t>Autres émissions indirectes importantes de gaz à effet de serre (scope 3)</t>
  </si>
  <si>
    <t>Par scope et source d'énergie</t>
  </si>
  <si>
    <t>Per processo</t>
  </si>
  <si>
    <t>Erogazione di servizi</t>
  </si>
  <si>
    <t>edifici</t>
  </si>
  <si>
    <t>riscaldamento</t>
  </si>
  <si>
    <t>energia elettrica</t>
  </si>
  <si>
    <t>refrigeranti, risorse e rifiuti</t>
  </si>
  <si>
    <t>Mobilità</t>
  </si>
  <si>
    <t>trasporto persone</t>
  </si>
  <si>
    <t>trasporto merci</t>
  </si>
  <si>
    <t>sito di produzione</t>
  </si>
  <si>
    <t>gomma</t>
  </si>
  <si>
    <t>rotaia</t>
  </si>
  <si>
    <t>aria</t>
  </si>
  <si>
    <t>acqua</t>
  </si>
  <si>
    <t>Viaggi di lavoro</t>
  </si>
  <si>
    <t>Trasporto pendolari</t>
  </si>
  <si>
    <t>Combustione di combustibili in fonti fisse</t>
  </si>
  <si>
    <t>olio combustibile</t>
  </si>
  <si>
    <t>gas naturale</t>
  </si>
  <si>
    <t>diesel</t>
  </si>
  <si>
    <t>benzina</t>
  </si>
  <si>
    <t>idrogeno</t>
  </si>
  <si>
    <t>Emissioni volatili</t>
  </si>
  <si>
    <t>refrigeranti</t>
  </si>
  <si>
    <t>emissioni per sede</t>
  </si>
  <si>
    <t>emissioni basate sul mercato</t>
  </si>
  <si>
    <t>Teleriscaldamento</t>
  </si>
  <si>
    <t>merci e prestazioni acquisite</t>
  </si>
  <si>
    <t>attività relative a carburanti ed energia</t>
  </si>
  <si>
    <t>trasporto e smistamento a monte</t>
  </si>
  <si>
    <t>rifiuti risultanti da attività aziendali</t>
  </si>
  <si>
    <t>viaggi di servizio</t>
  </si>
  <si>
    <t>trasporto pendolari</t>
  </si>
  <si>
    <t>beni economici in locazione a monte</t>
  </si>
  <si>
    <t>In base a scope e fonte energetica</t>
  </si>
  <si>
    <t>emissioni dirette di gas a effetto serra (scope 1)</t>
  </si>
  <si>
    <t>Emissioni indirette da consumo energetico di gas a effetto serra (scope 2)</t>
  </si>
  <si>
    <t>Altre emissioni indirette rilevanti di gas a effetto serra (scope 3)</t>
  </si>
  <si>
    <t>By process</t>
  </si>
  <si>
    <t>Service provision</t>
  </si>
  <si>
    <t>Buildings</t>
  </si>
  <si>
    <t>Heating</t>
  </si>
  <si>
    <t>Refrigerants, resources and waste</t>
  </si>
  <si>
    <t>Mobility</t>
  </si>
  <si>
    <t>Passenger transport</t>
  </si>
  <si>
    <t>Goods transport</t>
  </si>
  <si>
    <t>Works premises</t>
  </si>
  <si>
    <t>Street</t>
  </si>
  <si>
    <t>Air</t>
  </si>
  <si>
    <t>Water</t>
  </si>
  <si>
    <t>Business travel</t>
  </si>
  <si>
    <t>Work commuting</t>
  </si>
  <si>
    <t>By scope and energy source</t>
  </si>
  <si>
    <t>Direct greenhouse gas emissions (scope 1)</t>
  </si>
  <si>
    <t>Combustion of combustibles in stationary sources</t>
  </si>
  <si>
    <t>Heating oil</t>
  </si>
  <si>
    <t>Natural gas</t>
  </si>
  <si>
    <t>Petrol</t>
  </si>
  <si>
    <t>Hydrogen</t>
  </si>
  <si>
    <t>Fugitive emissions</t>
  </si>
  <si>
    <t>Refrigerants</t>
  </si>
  <si>
    <t>Indirect energy-related greenhouse gas emissions (scope 2)</t>
  </si>
  <si>
    <t>market-based emissions</t>
  </si>
  <si>
    <t>District heating</t>
  </si>
  <si>
    <t>Other relevant indirect greenhouse gas emissions (scope 3)</t>
  </si>
  <si>
    <t>Sourced goods and services</t>
  </si>
  <si>
    <t>Fuel- and energy-related activities</t>
  </si>
  <si>
    <t>Upstream transport and distribution</t>
  </si>
  <si>
    <t>Waste resulting from business activities</t>
  </si>
  <si>
    <t>Upstream leased economic assets</t>
  </si>
  <si>
    <t>Emissioni di gas a effetto terra (scope 1−3)</t>
  </si>
  <si>
    <t>Emissions de gaz à effet de serre (scopes 1−3)</t>
  </si>
  <si>
    <t>Greenhouse gas emissions (scopes 1−3)</t>
  </si>
  <si>
    <t>Treibhausgasemissonen (Scope 1−3)</t>
  </si>
  <si>
    <t>location-specific emissions</t>
  </si>
  <si>
    <t>CO2e-Intensität der Wertschöpfung</t>
  </si>
  <si>
    <t>CO2e-Intensität des Betriebsertrags</t>
  </si>
  <si>
    <t>CO2e-Intensität der Arbeitsplätze</t>
  </si>
  <si>
    <t>Kompensierte Sendungen</t>
  </si>
  <si>
    <t>Intensité en CO2 de la création de valeur</t>
  </si>
  <si>
    <t>Intensité CO2 des postes de travail</t>
  </si>
  <si>
    <t>Compensations des émissions de CO2</t>
  </si>
  <si>
    <t>Envois compensés</t>
  </si>
  <si>
    <t>Amélioration de l'efficacité en matière de CO2 depuis 2010</t>
  </si>
  <si>
    <t>Intensità di CO2 del valore aggiunto</t>
  </si>
  <si>
    <t>Intensità di CO2 dei posti di lavoro</t>
  </si>
  <si>
    <t>Compensazioni di CO2</t>
  </si>
  <si>
    <t>Invii compensati</t>
  </si>
  <si>
    <t>CO2 intensity of added value</t>
  </si>
  <si>
    <t>CO2 intensity of operating income</t>
  </si>
  <si>
    <t>CO2 intensity of jobs</t>
  </si>
  <si>
    <t>Carbon offsetting</t>
  </si>
  <si>
    <t>Offset consignments</t>
  </si>
  <si>
    <t>CO2 efficiency improvement since 2010</t>
  </si>
  <si>
    <t xml:space="preserve">1) Erneuerbarer Strom ist für Treibhausgasbilanz mit Schweizer Absatzmix bilanziert. «naturemade star»-zertifizierter Strom ist klimaneutral bilanziert. </t>
  </si>
  <si>
    <t>2) Standards, Methoden und Emissionsfaktoren: GHG Protocol, Revised Edition (2004), ISO 14064–1. Als Konsolidierungsansatz wurde der Financial Control Approach gewählt. Die Emissionsfaktoren stammen aus ecoinvent 2.2.</t>
  </si>
  <si>
    <t>2) Standard, metodi e fattori di emissione: GHG Protocol, Revised Edition (2004), ISO 14064–1 Per il consolidamento è stato seguito il Financial Control Approach. I fattori di conversione provengono da ecoinvent 2.2.</t>
  </si>
  <si>
    <t xml:space="preserve">1) Renewable electricity is reported with Swiss sales mix for greenhouse gas performance. “Naturemade star” certified electricity is reported as carbon-neutral. </t>
  </si>
  <si>
    <t>2) Standards, methods and emission factors: GHG Protocol, Revised Edition (2004), ISO 14064–1. The Financial Control Approach was chosen as the consolidation approach. The emission factors are taken from ecoinvent 2.2.</t>
  </si>
  <si>
    <t>3) Reduktion Gütertransport Luft wegen Auslagerung von Luftfracht zu Asendia</t>
  </si>
  <si>
    <t>3) Reduction in goods transport by air following outsourcing of air freight to Asendia.</t>
  </si>
  <si>
    <t xml:space="preserve">1) Die CO2-Kompensationsmenge variiert mit dem Preis für CO2-Zertifikate auf dem Markt. Die «pro clima»-Zuschläge der Kunden werden vollumfänglich in Kompensationsprojekte investiert. </t>
  </si>
  <si>
    <t xml:space="preserve">1) Le volume de CO2 compensé varie en fonction du prix des certificats de CO2 sur le marché. Les suppléments «pro clima» versés par les clients sont intégralement investis dans des projets de compensation. </t>
  </si>
  <si>
    <t xml:space="preserve">1) The CO2 offset volume varies with the price of CO2 certificates on the market. All “pro clima” surcharges to customers are invested in carbon offset projects. </t>
  </si>
  <si>
    <t>1)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</si>
  <si>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1) CO2 efficiency improvement is measured as the change in energy consumption per core service in the financial year compared with the base year.  The core service is defined differently for each unit (item, transaction, passenger kilometres/kilometres, full-time equivalent, etc.)</t>
  </si>
  <si>
    <t>CO2-Effizienzsteigerung seit 2010</t>
  </si>
  <si>
    <t>CO2-Kompensationen</t>
  </si>
  <si>
    <t>Principle 6</t>
  </si>
  <si>
    <t>Principle 7</t>
  </si>
  <si>
    <t>Principle 10</t>
  </si>
  <si>
    <t>Principle 8</t>
  </si>
  <si>
    <t>Principle 7, Principle 8, Principle 9</t>
  </si>
  <si>
    <t>Principle 3</t>
  </si>
  <si>
    <t>Principle 5</t>
  </si>
  <si>
    <t>Principle 4</t>
  </si>
  <si>
    <t>Principle 1</t>
  </si>
  <si>
    <t>Principle 2</t>
  </si>
  <si>
    <t>302-3</t>
  </si>
  <si>
    <t>103 – Managementansatz</t>
  </si>
  <si>
    <t>103 – Approche managériale</t>
  </si>
  <si>
    <t>103 – Approccio di gestione</t>
  </si>
  <si>
    <t>103 – Management Approach</t>
  </si>
  <si>
    <t>Principle 1, Principle 8</t>
  </si>
  <si>
    <t>Luft-, Geo-, Solarthermie innerhalb</t>
  </si>
  <si>
    <t>Verbrennung von Treibstoffen in mobilen Quellen</t>
  </si>
  <si>
    <t>Air thermal, geothermal and solar thermal energy (within Swiss Post)</t>
  </si>
  <si>
    <t>Combustion of fuels in mobile sources</t>
  </si>
  <si>
    <t>Aérothermie, géothermie et héliothermie (au sein de la Poste)</t>
  </si>
  <si>
    <t>Consommation de combustibles dans des sources mobiles</t>
  </si>
  <si>
    <t>Combustione di carburanti in fonti mobili</t>
  </si>
  <si>
    <t>305-1</t>
  </si>
  <si>
    <t>305-2</t>
  </si>
  <si>
    <t>305-3</t>
  </si>
  <si>
    <t>305-4</t>
  </si>
  <si>
    <t>Personaleinheiten</t>
  </si>
  <si>
    <t>Ausland</t>
  </si>
  <si>
    <t>Personen</t>
  </si>
  <si>
    <t>Zustellung</t>
  </si>
  <si>
    <t>Sortierung</t>
  </si>
  <si>
    <t>Abwicklung Finanzdienstleistungen</t>
  </si>
  <si>
    <t>Warentransport</t>
  </si>
  <si>
    <t>Weitere</t>
  </si>
  <si>
    <t>Verkauf</t>
  </si>
  <si>
    <t>Verkauf operativ</t>
  </si>
  <si>
    <t>Marketing</t>
  </si>
  <si>
    <t>Informatik</t>
  </si>
  <si>
    <t>Betrieb und Unterhalt, Hausdienst</t>
  </si>
  <si>
    <t>Management- und Konzernfunktionen</t>
  </si>
  <si>
    <t>Diverse Funktionen</t>
  </si>
  <si>
    <t>Personalbestand</t>
  </si>
  <si>
    <t>4) Auswertbare Daten ab 2010.</t>
  </si>
  <si>
    <t>1) ohne Lernpersonal</t>
  </si>
  <si>
    <t>2) Eine Personaleinheit entspricht einer Vollzeitstelle.</t>
  </si>
  <si>
    <t>102-8</t>
  </si>
  <si>
    <t>Bundespersonalgesetz</t>
  </si>
  <si>
    <t>GAV Post</t>
  </si>
  <si>
    <t>Obligationenrecht</t>
  </si>
  <si>
    <t>GAV Aushilfen</t>
  </si>
  <si>
    <t>1, 5</t>
  </si>
  <si>
    <t>GAV Konzerngesellschaften</t>
  </si>
  <si>
    <t>1, 4, 5</t>
  </si>
  <si>
    <t>Post CH AG</t>
  </si>
  <si>
    <t>PostFinance AG</t>
  </si>
  <si>
    <t>Konzerngesellschaften Schweiz</t>
  </si>
  <si>
    <t>Ausländisches Arbeitsrecht</t>
  </si>
  <si>
    <t>1) Eine Personaleinheit entspricht einer Vollzeitstelle.</t>
  </si>
  <si>
    <t>2) Post CH AG ohne in- und ausländische Konzerngesellschaften</t>
  </si>
  <si>
    <t>3) PostFinance AG inkl. Debitoren Service AG und Twint AG</t>
  </si>
  <si>
    <t>5) Anlässlich der Berichterstattung fürs Jahr 2013 wurden die entsprechenden Zahlen rückwirkend bis 2010 korrigiert, da die Presto Presse-Vertriebs AG bislang unter GAV Aushilfen ausgewiesen wurde.</t>
  </si>
  <si>
    <t>102-8, 102-41</t>
  </si>
  <si>
    <t>1, 3</t>
  </si>
  <si>
    <t>2) Gesamtaustrittsrate = Personen im Monatslohn, die die Post innerhalb eines Kalenderjahres insgesamt verlassen haben, ausgedrückt in % des durchschnittlichen Personalbestandes</t>
  </si>
  <si>
    <t>Anzahl Personen im Monatslohn</t>
  </si>
  <si>
    <t>Pensionierungen</t>
  </si>
  <si>
    <t>auslaufende Verträge</t>
  </si>
  <si>
    <t>Austritt vereinbart</t>
  </si>
  <si>
    <t>Kündigung durch Arbeitgeber</t>
  </si>
  <si>
    <t>aus wirtschaftlichen Gründen</t>
  </si>
  <si>
    <t>aus persönlichen Gründen</t>
  </si>
  <si>
    <t>Tod</t>
  </si>
  <si>
    <t>Gesamtaustrittsrate</t>
  </si>
  <si>
    <t>Fluktuationsrate (freiwillige Austritte)</t>
  </si>
  <si>
    <t>Eintritte</t>
  </si>
  <si>
    <t>weiblich</t>
  </si>
  <si>
    <t>20–29</t>
  </si>
  <si>
    <t>30-49</t>
  </si>
  <si>
    <t>50 und älter</t>
  </si>
  <si>
    <t>männlich</t>
  </si>
  <si>
    <t>401-1</t>
  </si>
  <si>
    <t>Gesundheitsmanagement</t>
  </si>
  <si>
    <t>3) Der Konzernbereich Swiss Post Solutions existiert erst seit dem 1. Oktober 2007, weshalb für die Vorjahre keine Werte ausgewiesen werden können.</t>
  </si>
  <si>
    <t>4) Ab dem Jahr 2012 besteht Swiss Post International nicht mehr als eigenständiges Segment. Die Werte wurden ab dem 1. Januar 2012 auf die Geschäftsbereiche PostMail und PostLogistics überführt.</t>
  </si>
  <si>
    <t>5) Die Kosten sind mit Durchschnittskosten pro Fall berechnet. Anzahl Berufsunfälle und Anzahl Bagatell-Unfälle multipliziert mit den durchschnittlichen Unfallkosten gemäss Berechnungen SUVA.</t>
  </si>
  <si>
    <t>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</si>
  <si>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7) Ab 1.1.2016 ist die Personalkommission aufgehoben.</t>
  </si>
  <si>
    <t>Unfälle</t>
  </si>
  <si>
    <t>Berufsunfälle</t>
  </si>
  <si>
    <t>Anzahl pro 100 Personaleinheiten</t>
  </si>
  <si>
    <t>Berufsunfälle PostMail</t>
  </si>
  <si>
    <t xml:space="preserve">Berufsunfälle PostLogistics </t>
  </si>
  <si>
    <t>Berufsunfälle Poststellen und Verkauf</t>
  </si>
  <si>
    <t>Berufsunfälle PostFinance</t>
  </si>
  <si>
    <t>Berufsunfälle PostAuto</t>
  </si>
  <si>
    <t>Berufsunfälle Swiss Post International</t>
  </si>
  <si>
    <t>Berufsunfälle Swiss Post Solutions</t>
  </si>
  <si>
    <t>Berufsunfälle mit Todesfolgen</t>
  </si>
  <si>
    <t>Anzahl</t>
  </si>
  <si>
    <t xml:space="preserve">Nichtberufsunfälle   </t>
  </si>
  <si>
    <t>Verursachte Unfallkosten</t>
  </si>
  <si>
    <t>2, 5</t>
  </si>
  <si>
    <t>Nichtberufsunfälle</t>
  </si>
  <si>
    <t>Berufs- und Nichtberufsunfälle</t>
  </si>
  <si>
    <t>Krankheits- und unfallbedingte Aussetztage</t>
  </si>
  <si>
    <t>Medizinisch bedingte Aussetztage</t>
  </si>
  <si>
    <t>Aussetztage pro Person</t>
  </si>
  <si>
    <t>2, 6</t>
  </si>
  <si>
    <t>Kurzabsenz</t>
  </si>
  <si>
    <t>Krankheit</t>
  </si>
  <si>
    <t>Berufsunfall</t>
  </si>
  <si>
    <t>Nichtberufsunfall</t>
  </si>
  <si>
    <t>Aussetztage</t>
  </si>
  <si>
    <t>Tage pro Jahr</t>
  </si>
  <si>
    <t>Ausfalllohnkosten</t>
  </si>
  <si>
    <t>Vertretung Personalkommission zur Überwachung Gesundheitsschutz / Arbeitssicherheit</t>
  </si>
  <si>
    <t>Vertretungen in Personalkommission</t>
  </si>
  <si>
    <t>403-1</t>
  </si>
  <si>
    <t>403-2</t>
  </si>
  <si>
    <t>Teilzeit</t>
  </si>
  <si>
    <t>Beschäftigungsgrad</t>
  </si>
  <si>
    <t>Beschäftigungsgrad unter 50%, gesamt</t>
  </si>
  <si>
    <t>Beschäftigungsgrad 50% bis 89%, gesamt</t>
  </si>
  <si>
    <t>Beschäftigungsgrad ab 90% (Vollzeit), gesamt</t>
  </si>
  <si>
    <t>Beschäftigungsgrad Männer</t>
  </si>
  <si>
    <t>Beschäftigungsgrad unter 50%, Männer</t>
  </si>
  <si>
    <t>Beschäftigungsgrad 50% bis 89%, Männer</t>
  </si>
  <si>
    <t>Beschäftigungsgrad ab 90% (Vollzeit), Männer</t>
  </si>
  <si>
    <t>Beschäftigungsgrad Frauen</t>
  </si>
  <si>
    <t>Beschäftigungsgrad unter 50%, Frauen</t>
  </si>
  <si>
    <t>Beschäftigungsgrad 50% bis 89%, Frauen</t>
  </si>
  <si>
    <t>Beschäftigungsgrad ab 90% (Vollzeit), Frauen</t>
  </si>
  <si>
    <t>2) Kader sind Mitarbeitende mit Leitungs-, Spezialisten- und höheren Sachbearbeitungsfunktionen.</t>
  </si>
  <si>
    <t>Geschlechterverteilung</t>
  </si>
  <si>
    <t>Frauen im Management</t>
  </si>
  <si>
    <t>Männer</t>
  </si>
  <si>
    <t>Frauen</t>
  </si>
  <si>
    <t>Anteil Frauen im Kader</t>
  </si>
  <si>
    <t>Anteil Frauen in höchster Kaderfunktion</t>
  </si>
  <si>
    <t>Anteil Frauen im mittleren/unteren Kader</t>
  </si>
  <si>
    <t>405-1</t>
  </si>
  <si>
    <t>Muttersprache Deutsch</t>
  </si>
  <si>
    <t>Muttersprache Französisch</t>
  </si>
  <si>
    <t>Muttersprache Italienisch</t>
  </si>
  <si>
    <t>Muttersprache Rätoromanisch</t>
  </si>
  <si>
    <t>andere Muttersprache</t>
  </si>
  <si>
    <t>Sprachenvielfalt</t>
  </si>
  <si>
    <t>Schweiz</t>
  </si>
  <si>
    <t>Portugal</t>
  </si>
  <si>
    <t>Vertretene Nationen</t>
  </si>
  <si>
    <t>Demographie (Altersverteilung)</t>
  </si>
  <si>
    <t>unter 20</t>
  </si>
  <si>
    <t>30–39</t>
  </si>
  <si>
    <t>40–49</t>
  </si>
  <si>
    <t>50–59</t>
  </si>
  <si>
    <t>60 und älter</t>
  </si>
  <si>
    <t>Durchschnittsalter</t>
  </si>
  <si>
    <t>Elternzeit</t>
  </si>
  <si>
    <t>401-3</t>
  </si>
  <si>
    <t>Elternzeitbezüger/-innen</t>
  </si>
  <si>
    <t>Ó</t>
  </si>
  <si>
    <t>Headcount</t>
  </si>
  <si>
    <t>Organico</t>
  </si>
  <si>
    <t>Effectif</t>
  </si>
  <si>
    <t>Unités de personnel</t>
  </si>
  <si>
    <t>Personnes</t>
  </si>
  <si>
    <t>unità di personale</t>
  </si>
  <si>
    <t>persone</t>
  </si>
  <si>
    <t>Full-time equivalents</t>
  </si>
  <si>
    <t>Distribution</t>
  </si>
  <si>
    <t>Tri</t>
  </si>
  <si>
    <t>Fourniture de services financiers</t>
  </si>
  <si>
    <t>Vente</t>
  </si>
  <si>
    <t>Vente opérationnelle</t>
  </si>
  <si>
    <t>Informatique</t>
  </si>
  <si>
    <t>Infrastructure et sécurité</t>
  </si>
  <si>
    <t>Exploitation et entretien, service domestique</t>
  </si>
  <si>
    <t>Fonctions de gestion et fonctions Groupe</t>
  </si>
  <si>
    <t>Autres fonctions</t>
  </si>
  <si>
    <t>Etranger</t>
  </si>
  <si>
    <t>1) Sans les apprentis</t>
  </si>
  <si>
    <t>2) Une unité de personnel correspond à un poste à plein temps.</t>
  </si>
  <si>
    <t>4) Données exploitables à partir de 2010.</t>
  </si>
  <si>
    <t>Estero</t>
  </si>
  <si>
    <t>Logistica e produzione</t>
  </si>
  <si>
    <t>Recapito</t>
  </si>
  <si>
    <t>Spartizione</t>
  </si>
  <si>
    <t>Esecuzione servizi finanziari</t>
  </si>
  <si>
    <t>Trasporto persone</t>
  </si>
  <si>
    <t>Trasporto merci</t>
  </si>
  <si>
    <t>altri</t>
  </si>
  <si>
    <t>Vendita</t>
  </si>
  <si>
    <t>Vendite (livello operativo)</t>
  </si>
  <si>
    <t>Informatica</t>
  </si>
  <si>
    <t>Infrastruttura e sicurezza</t>
  </si>
  <si>
    <t>Esercizio e manutenzione, servizio di manutenzione</t>
  </si>
  <si>
    <t>Funzioni direttive e Funzioni Gruppo</t>
  </si>
  <si>
    <t>Varie funzioni</t>
  </si>
  <si>
    <t>1) Escluso il personale in formazione.</t>
  </si>
  <si>
    <t>4) Dati valutabili a partire dal 2010</t>
  </si>
  <si>
    <t>Abroad</t>
  </si>
  <si>
    <t>Delivery</t>
  </si>
  <si>
    <t>Sorting</t>
  </si>
  <si>
    <t>Handling of financial services</t>
  </si>
  <si>
    <t>Transport of goods</t>
  </si>
  <si>
    <t>Sales</t>
  </si>
  <si>
    <t>Sales operations</t>
  </si>
  <si>
    <t>Information Technology</t>
  </si>
  <si>
    <t>Operation and maintenance, facility services</t>
  </si>
  <si>
    <t>Management and Group functions</t>
  </si>
  <si>
    <t>Miscellaneous functions</t>
  </si>
  <si>
    <t>1) Excluding trainees</t>
  </si>
  <si>
    <t>2) A full-time equivalent equates to one full-time position.</t>
  </si>
  <si>
    <t>4) Evaluable data from 2010.</t>
  </si>
  <si>
    <t>Logistik und Produktion</t>
  </si>
  <si>
    <t>Logistique et Production</t>
  </si>
  <si>
    <t>Logistics and production</t>
  </si>
  <si>
    <t>Infrastruktur und Sicherheit</t>
  </si>
  <si>
    <t>Infrastructure and security</t>
  </si>
  <si>
    <t>Répartition des sexes</t>
  </si>
  <si>
    <t>Distribuzione per genere</t>
  </si>
  <si>
    <t>Gender distribution</t>
  </si>
  <si>
    <t>Men</t>
  </si>
  <si>
    <t>Women</t>
  </si>
  <si>
    <t>% of full-time equivalents</t>
  </si>
  <si>
    <t>% of headcount</t>
  </si>
  <si>
    <t>% dell'unità di personale</t>
  </si>
  <si>
    <t>% delle persone</t>
  </si>
  <si>
    <t>% des personnes</t>
  </si>
  <si>
    <t>% des unités de personnel</t>
  </si>
  <si>
    <t>% der Personaleinheiten</t>
  </si>
  <si>
    <t>% der Personen</t>
  </si>
  <si>
    <t>Hommes</t>
  </si>
  <si>
    <t>Femmes</t>
  </si>
  <si>
    <t>Uomini</t>
  </si>
  <si>
    <t>Donne</t>
  </si>
  <si>
    <t>Grado di occupazione</t>
  </si>
  <si>
    <t>Grado di occupazione inferiore al 50%, complessivo</t>
  </si>
  <si>
    <t>Grado di occupazione dal 90% (tempo pieno), complessivo</t>
  </si>
  <si>
    <t>Grado di occupazione, uomini</t>
  </si>
  <si>
    <t>Grado di occupazione inferiore al 50%, uomini</t>
  </si>
  <si>
    <t>Grado di occupazione dal 90% (tempo pieno), uomini</t>
  </si>
  <si>
    <t>Grado di occupazione, donne</t>
  </si>
  <si>
    <t>Grado di occupazione inferiore al 50%, donne</t>
  </si>
  <si>
    <t>Grado di occupazione dal 90% (tempo pieno), donne</t>
  </si>
  <si>
    <t>Grado di occupazione, quadri</t>
  </si>
  <si>
    <t>Grado di occupazione inferiore al 90% (tempo parziale), quadri</t>
  </si>
  <si>
    <t>2) I quadri sono collaboratori con funzioni direttive, specialistiche o altamente qualificate.</t>
  </si>
  <si>
    <t>Tempo parziale</t>
  </si>
  <si>
    <t>Beschäftigungsgrad Kader</t>
  </si>
  <si>
    <t>Beschäftigungsgrad unter 90% (Teilzeit), Kader</t>
  </si>
  <si>
    <t>Beschäftigungsgrad unter 90% (Teilzeit), Kader, Männer</t>
  </si>
  <si>
    <t>Beschäftigungsgrad unter 90% (Teilzeit), Kader, Frauen</t>
  </si>
  <si>
    <t>Temps partiel</t>
  </si>
  <si>
    <t>Taux d'occupation</t>
  </si>
  <si>
    <t>Taux d'occupation inférieur à 50%, total</t>
  </si>
  <si>
    <t>Taux d'occupation entre 50% et 89%, total</t>
  </si>
  <si>
    <t>Taux d'occupation égal ou supérieur à 90% (plein temps), total</t>
  </si>
  <si>
    <t>Taux d'occupation des hommes</t>
  </si>
  <si>
    <t>Taux d'occupation inférieur à 50%, hommes</t>
  </si>
  <si>
    <t>Taux d'occupation entre 50% et 89%, hommes</t>
  </si>
  <si>
    <t>Taux d'occupation égal ou supérieur à 90% (plein temps), hommes</t>
  </si>
  <si>
    <t>Taux d'occupation des femmes</t>
  </si>
  <si>
    <t>Taux d'occupation inférieur à 50%, femmes</t>
  </si>
  <si>
    <t>Taux d'occupation entre 50% et 89%, femmes</t>
  </si>
  <si>
    <t>Taux d'occupation égal ou supérieur à 90% (plein temps), femmes</t>
  </si>
  <si>
    <t>Taux d'occupation des cadres</t>
  </si>
  <si>
    <t>Taux d'occupation inférieur à 90% (temps partiel), cadres</t>
  </si>
  <si>
    <t>Taux d'occupation inférieur à 90% (temps partiel), cadres, hommes</t>
  </si>
  <si>
    <t>Taux d'occupation inférieur à 90% (temps partiel), cadres, femmes</t>
  </si>
  <si>
    <t>Grado di occupazione inferiore al 90% (tempo parziale), quadri, uomini</t>
  </si>
  <si>
    <t>Grado di occupazione inferiore al 90% (tempo parziale), quadri, donne</t>
  </si>
  <si>
    <t>2) Les cadres sont des collaborateurs qui exercent des fonctions de direction ou de spécialistes ou d'autres fonctions supérieures.</t>
  </si>
  <si>
    <t>Part-time</t>
  </si>
  <si>
    <t>Level of employment</t>
  </si>
  <si>
    <t>Less than 50% of regular working hours, total</t>
  </si>
  <si>
    <t>50% to 89% of regular working hours, total</t>
  </si>
  <si>
    <t>90% of regular working hours and over (full time), total</t>
  </si>
  <si>
    <t>Level of employment, men</t>
  </si>
  <si>
    <t>Less than 50% of regular working hours, men</t>
  </si>
  <si>
    <t>50% to 89% of regular working hours, men</t>
  </si>
  <si>
    <t>90% of regular working hours and over (full time), men</t>
  </si>
  <si>
    <t>Level of employment, women</t>
  </si>
  <si>
    <t>Less than 50% of regular working hours, women</t>
  </si>
  <si>
    <t>50% to 89% of regular working hours, women</t>
  </si>
  <si>
    <t>90% of regular working hours and over (full time), women</t>
  </si>
  <si>
    <t>Level of employment, management</t>
  </si>
  <si>
    <t>Less than 90% of regular working hours (part-time), management</t>
  </si>
  <si>
    <t>Less than 90% of regular working hours (part-time), management, men</t>
  </si>
  <si>
    <t>Less than 90% of regular working hours (part-time), management, women</t>
  </si>
  <si>
    <t>2) Members of management are employees with managerial, specialist and higher-level technical/clerical roles.</t>
  </si>
  <si>
    <t>Employment conditions</t>
  </si>
  <si>
    <t>Public Officials Act</t>
  </si>
  <si>
    <t>Swiss Post collective employment contract (CEC)</t>
  </si>
  <si>
    <t>Swiss Code of Obligations</t>
  </si>
  <si>
    <t>CEC, auxiliary staff</t>
  </si>
  <si>
    <t>CEC, subsidiaries</t>
  </si>
  <si>
    <t>Post CH Ltd</t>
  </si>
  <si>
    <t>PostFinance Ltd</t>
  </si>
  <si>
    <t>Swiss subsidiaries</t>
  </si>
  <si>
    <t>Foreign labour law</t>
  </si>
  <si>
    <t>1) A full-time equivalent equates to one full-time position.</t>
  </si>
  <si>
    <t>2) Post CH Ltd excluding domestic and foreign subsidiaries</t>
  </si>
  <si>
    <t>3) PostFinance Ltd including Debtors Service Ltd and TWINT Ltd.</t>
  </si>
  <si>
    <t>5) For the 2013 annual reporting, the corresponding figures were corrected with retroactive effect to 2010 as Presto Presse-Vertriebs AG was previously reported under CEC, auxiliary staff.</t>
  </si>
  <si>
    <t>Anstellungsverhältnisse</t>
  </si>
  <si>
    <t>Rapports de travail</t>
  </si>
  <si>
    <t>Loi sur le personnel de la Confédération</t>
  </si>
  <si>
    <t>CCT Poste</t>
  </si>
  <si>
    <t>Code des obligations</t>
  </si>
  <si>
    <t>CCT Auxiliaires</t>
  </si>
  <si>
    <t>CCT sociétés du groupe</t>
  </si>
  <si>
    <t>Poste CH SA</t>
  </si>
  <si>
    <t>PostFinance SA</t>
  </si>
  <si>
    <t>Sociétés du groupe en Suisse</t>
  </si>
  <si>
    <t>Droit du travail étranger</t>
  </si>
  <si>
    <t>1) Une unité de personnel correspond à un poste à plein temps.</t>
  </si>
  <si>
    <t>3) PostFinance SA, y compris Débiteurs Services SA et Twint SA.</t>
  </si>
  <si>
    <t>Legge sul personale federale</t>
  </si>
  <si>
    <t>CCL Posta</t>
  </si>
  <si>
    <t>Codice delle obbligazioni</t>
  </si>
  <si>
    <t>CCL per il personale ausiliario</t>
  </si>
  <si>
    <t>CCL società del gruppo</t>
  </si>
  <si>
    <t>Posta CH SA</t>
  </si>
  <si>
    <t>società del gruppo Svizzera</t>
  </si>
  <si>
    <t>Diritto del lavoro estero</t>
  </si>
  <si>
    <t>3) PostFinance SA incl. Servizi debitori SA e TWINT AG.</t>
  </si>
  <si>
    <t>Luftschadstoffemissionen</t>
  </si>
  <si>
    <t>Emissioni di inquinanti atmosferici</t>
  </si>
  <si>
    <t>Air pollution emissions</t>
  </si>
  <si>
    <t>Emissions de polluants atmosphériques</t>
  </si>
  <si>
    <t>kg</t>
  </si>
  <si>
    <t>Kilos</t>
  </si>
  <si>
    <t>Ossidi di azoto (NOx)</t>
  </si>
  <si>
    <t>Idrocarburi non metanici (NMHC)</t>
  </si>
  <si>
    <t>Particolato (PM10)</t>
  </si>
  <si>
    <t>Equivalenti fluoro-cloro-idrocarburi (HCFC-11 equiv.)</t>
  </si>
  <si>
    <t xml:space="preserve">2) Standard, metodi e fattori di emissione: i fattori di emissione provengono da HBEFA 3.1, Mobitool Version 2010, ecoinvent 2.2 e altre fonti statistiche. </t>
  </si>
  <si>
    <t>Non-methane hydrocarbons (NMVOC)</t>
  </si>
  <si>
    <t>Particulate matter (PM10)</t>
  </si>
  <si>
    <t>Chlorofluorocarbon hydrogen equivalents (CFC-11 equivalents)</t>
  </si>
  <si>
    <t>1) The emissions figures are calculated using emissions factors from transport services and energy consumption. They also include the upstream stages of the energy provision process</t>
  </si>
  <si>
    <t xml:space="preserve">2) Standards, methods and emission factors: Emission factors are taken from HBEFA 3.1, Mobitool version 2010, ecoinvent 2.2 and other statistical sources. </t>
  </si>
  <si>
    <t>Stickoxide (NOx)</t>
  </si>
  <si>
    <t>Nicht-Methan Kohlenwasserstoffe (NMVOC)</t>
  </si>
  <si>
    <t>Feinstaub (PM10)</t>
  </si>
  <si>
    <t>Matières particulaires (PM10)</t>
  </si>
  <si>
    <t>Hydrocarbures non méthaniques (HCNM)</t>
  </si>
  <si>
    <t>Equivalents chlorofluorocarbones (équivalent CFC 11)</t>
  </si>
  <si>
    <t>Fluorchlorkohlenwasserstoffäquivalente (FCKW-11-Äquivalente)</t>
  </si>
  <si>
    <t>1) Die Emissionszahlen sind mittels Emissionsfaktoren aus der Transportleistung bzw. dem Energieträgerverbrauch berechnet. Sie umfassen auch die Vorstufen der Energiebereitstellung.</t>
  </si>
  <si>
    <t xml:space="preserve">2) Standards, Methoden und Emissionsfaktoren: Emissionsfaktoren stammen aus HBEFA 3.1, Mobitool Version 2010, ecoinvent 2.2 und weiteren statistischen Quellen. </t>
  </si>
  <si>
    <t>305-6</t>
  </si>
  <si>
    <t>305-7</t>
  </si>
  <si>
    <t>Personalfluktuation und Austritte</t>
  </si>
  <si>
    <t>Freiwillige Austritte</t>
  </si>
  <si>
    <t>Austritte von Mitarbeitenden</t>
  </si>
  <si>
    <t>Congé parental</t>
  </si>
  <si>
    <t>Congedo parentale</t>
  </si>
  <si>
    <t>Parental leave</t>
  </si>
  <si>
    <t>Fluctuation du personnel et départs</t>
  </si>
  <si>
    <t>Nombre de personnes à salaire mensuel</t>
  </si>
  <si>
    <t>Arrivées</t>
  </si>
  <si>
    <t>50 ans et plus</t>
  </si>
  <si>
    <t>Départs de collaborateurs</t>
  </si>
  <si>
    <t>Retraites</t>
  </si>
  <si>
    <t>Contrats arrivant à échéance</t>
  </si>
  <si>
    <t>Départs négociés</t>
  </si>
  <si>
    <t>pour raisons économiques</t>
  </si>
  <si>
    <t>pour raisons personnelles</t>
  </si>
  <si>
    <t>Décès</t>
  </si>
  <si>
    <t>Départs volontaires</t>
  </si>
  <si>
    <t>Taux de départ global</t>
  </si>
  <si>
    <t>Taux de fluctuation (départs volontaires)</t>
  </si>
  <si>
    <t>Fluttuazione del personale e partenze</t>
  </si>
  <si>
    <t>numero di collaboratori con salario mensile</t>
  </si>
  <si>
    <t>Arrivi</t>
  </si>
  <si>
    <t>donne</t>
  </si>
  <si>
    <t>20-29</t>
  </si>
  <si>
    <t>dai 50 anni in su</t>
  </si>
  <si>
    <t>uomini</t>
  </si>
  <si>
    <t>Partenze di collaboratori</t>
  </si>
  <si>
    <t>pensionamenti</t>
  </si>
  <si>
    <t>contratti in scadenza</t>
  </si>
  <si>
    <t>partenze convenute</t>
  </si>
  <si>
    <t>licenziamenti da parte del datore di lavoro</t>
  </si>
  <si>
    <t>per motivi economici</t>
  </si>
  <si>
    <t>per motivi personali</t>
  </si>
  <si>
    <t>decessi</t>
  </si>
  <si>
    <t>Partenze volontarie</t>
  </si>
  <si>
    <t>Tasso complessivo di partenze</t>
  </si>
  <si>
    <t>Tasso di fluttuazione (partenze volontarie)</t>
  </si>
  <si>
    <t>1) Escluso il personale in formazione</t>
  </si>
  <si>
    <t>Staff turnover and departures</t>
  </si>
  <si>
    <t>Number of persons on monthly salary</t>
  </si>
  <si>
    <t>% of average monthly salary headcount</t>
  </si>
  <si>
    <t>New employees</t>
  </si>
  <si>
    <t>30–49</t>
  </si>
  <si>
    <t>50 and older</t>
  </si>
  <si>
    <t>Employee departures</t>
  </si>
  <si>
    <t>Due to retirement</t>
  </si>
  <si>
    <t>Expiring contracts</t>
  </si>
  <si>
    <t>Departure agreed</t>
  </si>
  <si>
    <t>Notice given by employer</t>
  </si>
  <si>
    <t>For business-related reasons</t>
  </si>
  <si>
    <t>For personal reasons</t>
  </si>
  <si>
    <t>Death</t>
  </si>
  <si>
    <t>Voluntary departures</t>
  </si>
  <si>
    <t>Overall departure rate</t>
  </si>
  <si>
    <t>Turnover rate (voluntary departures)</t>
  </si>
  <si>
    <t>2) Overall departure rate = total number of persons on a monthly salary who leave Swiss Post within a period of one calendar year, expressed as % of average headcount.</t>
  </si>
  <si>
    <t>Gestion de la santé</t>
  </si>
  <si>
    <t>Nombre pour 100 unités de personnel</t>
  </si>
  <si>
    <t>Nombre</t>
  </si>
  <si>
    <t>Jours par an</t>
  </si>
  <si>
    <t>Accidents</t>
  </si>
  <si>
    <t>Accidents professionnels</t>
  </si>
  <si>
    <t>Accidents professionnels PostMail</t>
  </si>
  <si>
    <t xml:space="preserve">Accidents professionnels PostLogistics </t>
  </si>
  <si>
    <t>Accidents professionnels Réseau postal et vente</t>
  </si>
  <si>
    <t>Accidents professionnels PostFinance</t>
  </si>
  <si>
    <t>Accidents professionnels CarPostal</t>
  </si>
  <si>
    <t>Accidents professionnels Swiss Post International</t>
  </si>
  <si>
    <t>Accidents professionnels Swiss Post Solutions</t>
  </si>
  <si>
    <t>Accidents professionnels mortels</t>
  </si>
  <si>
    <t xml:space="preserve">Accidents non professionnels   </t>
  </si>
  <si>
    <t>Coûts occasionnés par les accidents</t>
  </si>
  <si>
    <t>Accidents non professionnels</t>
  </si>
  <si>
    <t>Accidents professionnels et non professionnels</t>
  </si>
  <si>
    <t>Absences pour raisons médicales</t>
  </si>
  <si>
    <t>Absences de courte durée</t>
  </si>
  <si>
    <t>Maladie</t>
  </si>
  <si>
    <t>Absences</t>
  </si>
  <si>
    <t>Coûts salariaux occasionnés par les absences</t>
  </si>
  <si>
    <t>Représentation au sein de la commission du personnel pour la surveillance de la protection de la santé / sécurité au travail</t>
  </si>
  <si>
    <t>Représentations au sein de la commission du personnel</t>
  </si>
  <si>
    <t>4) Depuis 2012, Swiss Post International ne constitue plus un segment autonome. Les valeurs la concernant ont été répercutées sur les unités d'affaires PostMail et PostLogistics à partir du 1er janvier 2012.</t>
  </si>
  <si>
    <t>7) La commission du personnel a été supprimée avec effet au 1er janvier 2016.</t>
  </si>
  <si>
    <t>Health management</t>
  </si>
  <si>
    <t>Number per 100 FTEs</t>
  </si>
  <si>
    <t>Number</t>
  </si>
  <si>
    <t>Absentee days per person</t>
  </si>
  <si>
    <t>Days per annum</t>
  </si>
  <si>
    <t>Occupational accidents</t>
  </si>
  <si>
    <t>Occupational accidents, PostMail</t>
  </si>
  <si>
    <t xml:space="preserve">Occupational accidents, PostLogistics </t>
  </si>
  <si>
    <t>Occupational accidents, Post Offices &amp; Sales</t>
  </si>
  <si>
    <t>Occupational accidents, PostFinance</t>
  </si>
  <si>
    <t>Occupational accidents, PostBus</t>
  </si>
  <si>
    <t>Occupational accidents, Swiss Post International</t>
  </si>
  <si>
    <t>Occupational accidents, Swiss Post Solutions</t>
  </si>
  <si>
    <t>Occupational accidents with fatalities</t>
  </si>
  <si>
    <t xml:space="preserve">Non-occupational accidents   </t>
  </si>
  <si>
    <t>Costs incurred as a result of accidents</t>
  </si>
  <si>
    <t>Non-occupational accidents</t>
  </si>
  <si>
    <t>Occupational and non-occupational accidents</t>
  </si>
  <si>
    <t>Days lost to illness and accidents</t>
  </si>
  <si>
    <t>Absentee days for medical reasons</t>
  </si>
  <si>
    <t>Short absences</t>
  </si>
  <si>
    <t>Sickness</t>
  </si>
  <si>
    <t>Absentee days</t>
  </si>
  <si>
    <t>Absentee wage costs</t>
  </si>
  <si>
    <t>Representation on the staff committee for the monitoring of health protection / occupational safety</t>
  </si>
  <si>
    <t>Representation on staff committee</t>
  </si>
  <si>
    <t>3) The Swiss Post Solutions Group unit has only existed since 1 October 2007, which is why no figures are reported for the preceding years.</t>
  </si>
  <si>
    <t>4) As of 2012, Swiss Post International no longer exists as an independent segment. The figures were transferred to the Group units PostMail and PostLogistics on 1 January 2012.</t>
  </si>
  <si>
    <t>5) Costs are calculated based on the average costs per case. Number of occupational accidents and number of minor accidents multiplied by the average accident costs as per SUVA calculations.</t>
  </si>
  <si>
    <t>6)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</si>
  <si>
    <t>7) The staff committee no longer exists as of 1 January 2016.</t>
  </si>
  <si>
    <t>Gestione della salute</t>
  </si>
  <si>
    <t>numero ogni 100 unità di personale</t>
  </si>
  <si>
    <t>Quantità</t>
  </si>
  <si>
    <t>giorni di assenza per persona</t>
  </si>
  <si>
    <t>Infortuni</t>
  </si>
  <si>
    <t>Infortuni professionali</t>
  </si>
  <si>
    <t>infortuni professionali PostMail</t>
  </si>
  <si>
    <t xml:space="preserve">infortuni professionali PostLogistics </t>
  </si>
  <si>
    <t>infortuni professionali Rete postale e vendita</t>
  </si>
  <si>
    <t>infortuni professionali PostFinance</t>
  </si>
  <si>
    <t>infortuni professionali AutoPostale</t>
  </si>
  <si>
    <t>infortuni professionali Swiss Post International</t>
  </si>
  <si>
    <t>infortuni professionali Swiss Post Solutions</t>
  </si>
  <si>
    <t>infortuni professionali mortali</t>
  </si>
  <si>
    <t xml:space="preserve">Infortuni non professionali   </t>
  </si>
  <si>
    <t>Costi legati agli infortuni</t>
  </si>
  <si>
    <t>Infortuni non professionali</t>
  </si>
  <si>
    <t>Infortuni professionali e non professionali</t>
  </si>
  <si>
    <t>Giorni di assenza dovuti a malattie e infortuni</t>
  </si>
  <si>
    <t>Giorni di assenza per ragioni mediche</t>
  </si>
  <si>
    <t>assenza breve</t>
  </si>
  <si>
    <t>malattia</t>
  </si>
  <si>
    <t>infortunio professionale</t>
  </si>
  <si>
    <t>infortunio non professionale</t>
  </si>
  <si>
    <t>Giorni di assenza</t>
  </si>
  <si>
    <t>costi salariali dovuti alle assenze</t>
  </si>
  <si>
    <t>Rappresentanti nella commissione del personale per il controllo della sicurezza sul lavoro e protezione della salute</t>
  </si>
  <si>
    <t>Rappresentanti nella commissione del personale</t>
  </si>
  <si>
    <t>5) Le spese sono calcolate sulla base dei costi medi per caso. Numero degli infortuni professionali e degli infortuni minori moltiplicato per i costi medi degli infortuni secondo i calcoli della SUVA.</t>
  </si>
  <si>
    <t>6)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</si>
  <si>
    <t>7) La commissione del personale è stata soppressa a decorrere dal 1o gennaio 2016.</t>
  </si>
  <si>
    <t>Nationalität</t>
  </si>
  <si>
    <t>Altersgruppe</t>
  </si>
  <si>
    <t>Part de femmes cadres</t>
  </si>
  <si>
    <t>Part de femmes cadres échelon supérieur</t>
  </si>
  <si>
    <t>Part de femmes cadres échelons moyen et inférieur</t>
  </si>
  <si>
    <t>Part de femmes au Conseil d'administration (CA) de La Poste Suisse SA</t>
  </si>
  <si>
    <t>Diversité linguistique</t>
  </si>
  <si>
    <t>Langue maternelle allemande</t>
  </si>
  <si>
    <t>Langue maternelle française</t>
  </si>
  <si>
    <t>Langue maternelle italienne</t>
  </si>
  <si>
    <t>Langue maternelle romanche</t>
  </si>
  <si>
    <t>Autre langue maternelle</t>
  </si>
  <si>
    <t>Nationalité</t>
  </si>
  <si>
    <t>Suisse</t>
  </si>
  <si>
    <t>Nationalités représentées</t>
  </si>
  <si>
    <t>Démographie (pyramide des âges)</t>
  </si>
  <si>
    <t>Moins de 20 ans</t>
  </si>
  <si>
    <t>60 ans et plus</t>
  </si>
  <si>
    <t>Age moyen</t>
  </si>
  <si>
    <t>Années</t>
  </si>
  <si>
    <t>Italien</t>
  </si>
  <si>
    <t>Deutschland</t>
  </si>
  <si>
    <t>Spanien</t>
  </si>
  <si>
    <t>Türkei</t>
  </si>
  <si>
    <t>Frankreich</t>
  </si>
  <si>
    <t>übrige Länder</t>
  </si>
  <si>
    <t>Italie</t>
  </si>
  <si>
    <t>Allemagne</t>
  </si>
  <si>
    <t>Espagne</t>
  </si>
  <si>
    <t>Turquie</t>
  </si>
  <si>
    <t>France</t>
  </si>
  <si>
    <t>Autres pays</t>
  </si>
  <si>
    <t>Percentuale di donne nei quadri</t>
  </si>
  <si>
    <t>Percentuale di donne con mansioni direttive di livello superiore</t>
  </si>
  <si>
    <t>Percentuale di donne nei quadri inferiori e medi</t>
  </si>
  <si>
    <t>Plurilinguismo</t>
  </si>
  <si>
    <t>Madrelingua tedesca</t>
  </si>
  <si>
    <t>Madrelingua francese</t>
  </si>
  <si>
    <t>Madrelingua italiana</t>
  </si>
  <si>
    <t>Madrelingua romancia</t>
  </si>
  <si>
    <t>Altre madrelingue</t>
  </si>
  <si>
    <t>Nazionalità</t>
  </si>
  <si>
    <t>Svizzera</t>
  </si>
  <si>
    <t>Portogallo</t>
  </si>
  <si>
    <t>Nazioni rappresentate</t>
  </si>
  <si>
    <t>Italia</t>
  </si>
  <si>
    <t>Germania</t>
  </si>
  <si>
    <t>Spagna</t>
  </si>
  <si>
    <t>Turchia</t>
  </si>
  <si>
    <t>Francia</t>
  </si>
  <si>
    <t>Altri paesi</t>
  </si>
  <si>
    <t>Fascia di età</t>
  </si>
  <si>
    <t>Meno di 20</t>
  </si>
  <si>
    <t>30-39</t>
  </si>
  <si>
    <t>40-49</t>
  </si>
  <si>
    <t>50-59</t>
  </si>
  <si>
    <t>dai 60 anni in su</t>
  </si>
  <si>
    <t>Età media</t>
  </si>
  <si>
    <t>Anni</t>
  </si>
  <si>
    <t>Women in management</t>
  </si>
  <si>
    <t>Percentage of women in management roles</t>
  </si>
  <si>
    <t>Percentage of women in senior management posts</t>
  </si>
  <si>
    <t>Percentage of women in middle and junior management roles</t>
  </si>
  <si>
    <t>Femmes au sein du management</t>
  </si>
  <si>
    <t>Donne nel management</t>
  </si>
  <si>
    <t>Language diversity</t>
  </si>
  <si>
    <t>German native speakers</t>
  </si>
  <si>
    <t>French native speakers</t>
  </si>
  <si>
    <t>Italian native speakers</t>
  </si>
  <si>
    <t>Romansh native speakers</t>
  </si>
  <si>
    <t>Other native speakers</t>
  </si>
  <si>
    <t>Switzerland</t>
  </si>
  <si>
    <t>Nationalities represented</t>
  </si>
  <si>
    <t>Italy</t>
  </si>
  <si>
    <t>Germany</t>
  </si>
  <si>
    <t>Spain</t>
  </si>
  <si>
    <t>Turkey</t>
  </si>
  <si>
    <t>Other countries</t>
  </si>
  <si>
    <t>Demographics (age distribution)</t>
  </si>
  <si>
    <t>Age group</t>
  </si>
  <si>
    <t>Under 20</t>
  </si>
  <si>
    <t>60 and older</t>
  </si>
  <si>
    <t>Average age</t>
  </si>
  <si>
    <t>Nationality</t>
  </si>
  <si>
    <t>Years</t>
  </si>
  <si>
    <t>Jahre</t>
  </si>
  <si>
    <t>Anteil Frauen im Verwaltungsrat (VR) der Schweizerischen Post AG</t>
  </si>
  <si>
    <t>Anteil Frauen in der Konzernleitung (KL) der Schweizerischen Post AG</t>
  </si>
  <si>
    <t>Part de femmes à la Direction du groupe (DG) La Poste Suisse SA</t>
  </si>
  <si>
    <t>Part de femmes aux CA, à la DG et dans les organes de direction du groupe</t>
  </si>
  <si>
    <t>Anteil Frauen im VR, der KL und den Geschäftsleitungen des Konzerns</t>
  </si>
  <si>
    <t>Percentuale di donne nel CdA, nella DG e nel comitato di direzione del gruppo</t>
  </si>
  <si>
    <t>Percentuale di donne nella Direzione del gruppo (DG) de La Posta Svizzera SA</t>
  </si>
  <si>
    <t>Percentage of women in Swiss Post Ltd Executive Management (EM)</t>
  </si>
  <si>
    <t>Percentage of women on BoD, EM and Executive Boards of the group</t>
  </si>
  <si>
    <t>Percentage of women on Swiss Post Ltd Board of Directors (BoD)</t>
  </si>
  <si>
    <t>Percentuale di donne nel Consiglio di amministrazione (CdA) de La Posta Svizzera SA</t>
  </si>
  <si>
    <t>Verteilung der Wertschöpfung</t>
  </si>
  <si>
    <t>Erarbeitete Wertschöpfung</t>
  </si>
  <si>
    <t>davon an: Mitarbeitende</t>
  </si>
  <si>
    <t>davon an: Fremdkapitalgeber</t>
  </si>
  <si>
    <t>davon an: öffentliche Hand</t>
  </si>
  <si>
    <t>davon an: Eigentümer</t>
  </si>
  <si>
    <t>davon an: Unternehmen</t>
  </si>
  <si>
    <t>davon für: Abschreibungen</t>
  </si>
  <si>
    <t>davon für: Stärkung der Pensionskasse Post</t>
  </si>
  <si>
    <t>davon für: Aufbau Eigenkapital</t>
  </si>
  <si>
    <t>davon für: Übrige</t>
  </si>
  <si>
    <t>1) Wertschöpfung = Betriebsergebnis + Personalaufwand + Abschreibungen – Ergebnis aus Verkauf von Sachanlagen, immatriellen Anlagen und Beteiligungen</t>
  </si>
  <si>
    <t>2) Löhne, Gehälter, gesetzliche und freiwillige Sozialabgabe, Personalvorsorgeleistungen, Aus- und Weiterbildung</t>
  </si>
  <si>
    <t>3) Zinsen und ähnliche Aufwendungen</t>
  </si>
  <si>
    <t>4) Ertragssteuern</t>
  </si>
  <si>
    <t>5) Gewinnabführung an den Bund</t>
  </si>
  <si>
    <t>Répartition de la valeur ajoutée</t>
  </si>
  <si>
    <t>Valeur ajoutée</t>
  </si>
  <si>
    <t>dont aux collaborateurs</t>
  </si>
  <si>
    <t>dont aux bailleurs de fonds externes</t>
  </si>
  <si>
    <t>dont aux pouvoirs publics</t>
  </si>
  <si>
    <t>dont au propriétaire</t>
  </si>
  <si>
    <t>dont pour amortissements</t>
  </si>
  <si>
    <t>dont pour renforcement de la Caisse de pensions Poste</t>
  </si>
  <si>
    <t>dont pour constitution de fonds propres</t>
  </si>
  <si>
    <t>dont pour Autres</t>
  </si>
  <si>
    <t>2) Salaires, appointements, charges sociales légales et volontaires, prestations de prévoyance en faveur du personnel, formation et perfectionnement</t>
  </si>
  <si>
    <t>3) Intérêts et charges similaires</t>
  </si>
  <si>
    <t>4) Impôts sur le bénéfice</t>
  </si>
  <si>
    <t>5) Versement du bénéfice à la Confédération</t>
  </si>
  <si>
    <t>Distribuzione del valore aggiunto</t>
  </si>
  <si>
    <t>Creazione di valore aggiunto</t>
  </si>
  <si>
    <t>di cui a: Collaboratori</t>
  </si>
  <si>
    <t>di cui a: investitori esterni</t>
  </si>
  <si>
    <t>di cui per: amministrazione pubblica</t>
  </si>
  <si>
    <t>di cui a: proprietaria</t>
  </si>
  <si>
    <t>di cui a: aziende</t>
  </si>
  <si>
    <t>di cui per: ammortamenti</t>
  </si>
  <si>
    <t>di cui per: consolidamento della Cassa pensioni Posta</t>
  </si>
  <si>
    <t>di cui per: costituzione capitale proprio</t>
  </si>
  <si>
    <t>di cui per: Altri</t>
  </si>
  <si>
    <t>2) Salari, stipendi, oneri sociali legali e facoltativi, prestazioni previdenziali, formazione e perfezionamento.</t>
  </si>
  <si>
    <t>3) Interessi e altri oneri.</t>
  </si>
  <si>
    <t>Distribution of added value</t>
  </si>
  <si>
    <t>Added value generated</t>
  </si>
  <si>
    <t>Of which paid to: Employees</t>
  </si>
  <si>
    <t>Of which paid to: creditors</t>
  </si>
  <si>
    <t>OF which paid to: public sector</t>
  </si>
  <si>
    <t>Of which paid to: owner</t>
  </si>
  <si>
    <t>Of which paid to: company</t>
  </si>
  <si>
    <t>Of which for: Amortization</t>
  </si>
  <si>
    <t>Of which for: bolstering the Swiss Post pension fund</t>
  </si>
  <si>
    <t>Of which for: building up equity</t>
  </si>
  <si>
    <t>Of which for: Other</t>
  </si>
  <si>
    <t>1) Value added = operating profit + personnel expenses + depreciation – gain/loss on the sale of tangible fixed assets, intangible assets and participations.</t>
  </si>
  <si>
    <t>2) Wages, salaries, statutory and voluntary social security contributions, employee benefit payments, basic and advanced training.</t>
  </si>
  <si>
    <t>3) Interest and similar expenses.</t>
  </si>
  <si>
    <t>4) Income taxes.</t>
  </si>
  <si>
    <t>5) Profit transferred to the Confederation.</t>
  </si>
  <si>
    <t>zurück zum Inhaltsverzeichnis</t>
  </si>
  <si>
    <t>Equivalent de tonnes de CO2 par million de CHF</t>
  </si>
  <si>
    <t>t di CO2 equivalenti per mln di CHF</t>
  </si>
  <si>
    <t>t CO2 equivalent per CHF million</t>
  </si>
  <si>
    <t>back to the table of contents</t>
  </si>
  <si>
    <t>retour à la table des matières</t>
  </si>
  <si>
    <t>torna alla tabella dei contenuti</t>
  </si>
  <si>
    <t>Hausservice</t>
  </si>
  <si>
    <t>Orte</t>
  </si>
  <si>
    <t>Lernpersonal</t>
  </si>
  <si>
    <t>Nachwuchskräfte</t>
  </si>
  <si>
    <t>Detailhandelsfachfrau/-mann</t>
  </si>
  <si>
    <t>Fachfrau/ -mann Kundendialog</t>
  </si>
  <si>
    <t>Kaufleute</t>
  </si>
  <si>
    <t>Kaufm. Praktikum</t>
  </si>
  <si>
    <t>Logistiker/-in EFZ Distribution</t>
  </si>
  <si>
    <t>Logistiker/-in EBA Distribution</t>
  </si>
  <si>
    <t>Logistiker/-in EFZ Lager</t>
  </si>
  <si>
    <t>Strassentransportfachmann/-frau EFZ</t>
  </si>
  <si>
    <t>Informatiker/-in</t>
  </si>
  <si>
    <t>Mediamatiker/-in</t>
  </si>
  <si>
    <t>Automatiker/-in</t>
  </si>
  <si>
    <t>Fachmann/-frau Betriebsunterhalt EFZ</t>
  </si>
  <si>
    <t>Kinderbetreuer/-in</t>
  </si>
  <si>
    <t>Ausbildungsquote</t>
  </si>
  <si>
    <t>Neueinstellung von Lernpersonal</t>
  </si>
  <si>
    <t>Anteil übernommener Lernpersonen</t>
  </si>
  <si>
    <t>404-2</t>
  </si>
  <si>
    <t>-</t>
  </si>
  <si>
    <t>Trainee-Programm</t>
  </si>
  <si>
    <t>Praktikanten</t>
  </si>
  <si>
    <t>Lieferkette</t>
  </si>
  <si>
    <t>Anzahl Lieferanten Schweiz</t>
  </si>
  <si>
    <t>Anzahl Lieferanten Ausland</t>
  </si>
  <si>
    <t>Beschaffungsvolumen Konzern</t>
  </si>
  <si>
    <t>102-9</t>
  </si>
  <si>
    <t>Bilanzsumme</t>
  </si>
  <si>
    <t>102-7</t>
  </si>
  <si>
    <t>Eigenkapital</t>
  </si>
  <si>
    <t>Finanzierung</t>
  </si>
  <si>
    <t>Cashflow und Investitionen</t>
  </si>
  <si>
    <t>Investitionen</t>
  </si>
  <si>
    <t>als Finanzinvestition gehaltene Immobilien</t>
  </si>
  <si>
    <t>Grad der eigenfinanzierten Investitionen</t>
  </si>
  <si>
    <t>Volumen Zahlungsverkehr</t>
  </si>
  <si>
    <t>Kundenzufriedenheit</t>
  </si>
  <si>
    <t>Adressierte Briefe</t>
  </si>
  <si>
    <t>Mio. Sendungen</t>
  </si>
  <si>
    <t>prioritäre Sendungen</t>
  </si>
  <si>
    <t>nicht prioritäre Sendungen</t>
  </si>
  <si>
    <t>Sendungen ohne Adresse</t>
  </si>
  <si>
    <t>Zeitungen</t>
  </si>
  <si>
    <t>Briefe Export</t>
  </si>
  <si>
    <t>Briefe Import</t>
  </si>
  <si>
    <t>Zeitungen Export</t>
  </si>
  <si>
    <t>Zeitungen Import</t>
  </si>
  <si>
    <t>Pakete</t>
  </si>
  <si>
    <t>Export</t>
  </si>
  <si>
    <t>Import</t>
  </si>
  <si>
    <t>Swiss Express Geschäftskunden</t>
  </si>
  <si>
    <t>Gescannte Seiten (Document Solutions)</t>
  </si>
  <si>
    <t>Personalisierter Karten (Cards)</t>
  </si>
  <si>
    <t>Unpersonalisierter Karten (Cards)</t>
  </si>
  <si>
    <t>Produzierte Sendungen (Document Output)</t>
  </si>
  <si>
    <t>Annahme Einzahlungen</t>
  </si>
  <si>
    <t>Neugeldzufluss</t>
  </si>
  <si>
    <t>Anzahl Kundenkonten</t>
  </si>
  <si>
    <t>Durchschnittsbestand Kundenvermögen</t>
  </si>
  <si>
    <t>Durchschnittsbestand Kundengelder</t>
  </si>
  <si>
    <t>Anzahl Transaktionen</t>
  </si>
  <si>
    <t>E-Finance-Teilnehmer</t>
  </si>
  <si>
    <t>Kunden</t>
  </si>
  <si>
    <t>Fondsvolumen (PostFinance-Fonds ohne Drittfonds)</t>
  </si>
  <si>
    <t>Fondsvolumen (PostFinance-Fonds und Drittfonds)</t>
  </si>
  <si>
    <t>Volumen Ausleihungen Geschäftskunden</t>
  </si>
  <si>
    <t>Volumen Hypotheken Privatkunden</t>
  </si>
  <si>
    <t>Anzahl Reisende</t>
  </si>
  <si>
    <t>Jahresleistung</t>
  </si>
  <si>
    <t>Mio. km</t>
  </si>
  <si>
    <t>Fahrzeuge</t>
  </si>
  <si>
    <t>1, 6</t>
  </si>
  <si>
    <t>PostAuto-Netz</t>
  </si>
  <si>
    <t>km</t>
  </si>
  <si>
    <t>1, 7</t>
  </si>
  <si>
    <t>Immobilien</t>
  </si>
  <si>
    <t>Liegenschaften</t>
  </si>
  <si>
    <t>Bewirtschaftete Fläche</t>
  </si>
  <si>
    <t>Mio. m²</t>
  </si>
  <si>
    <t>Anlagewert</t>
  </si>
  <si>
    <t>Mietertrag intern</t>
  </si>
  <si>
    <t>Mietertrag extern</t>
  </si>
  <si>
    <t>Investitionsvolumen</t>
  </si>
  <si>
    <t>Unterhaltsvolumen</t>
  </si>
  <si>
    <t>Laufende Projekte</t>
  </si>
  <si>
    <t xml:space="preserve">Kontakte User Help Desk </t>
  </si>
  <si>
    <t>Betreute Geräte</t>
  </si>
  <si>
    <t>Anzahl verschiedene Anwendungen</t>
  </si>
  <si>
    <t>Datensicherungsmenge pro Jahr</t>
  </si>
  <si>
    <t>Gigabyte</t>
  </si>
  <si>
    <t>Erstlösungsrate</t>
  </si>
  <si>
    <t>Supporteinsätze</t>
  </si>
  <si>
    <t>Anzahl pro Jahr</t>
  </si>
  <si>
    <t>Informationstechnologie</t>
  </si>
  <si>
    <t>1) Werte in der Schweiz</t>
  </si>
  <si>
    <t>2) Vom 1.1.2010 bis 31.12.2015 lag die Produkteverantwortung für Privatkunden Produkte bei Poststellen und Verkauf. Am 1.1.2016 wurde die Produkteverantwortung für Privatkunden Produkte von Poststellen und Verkauf an PostMail und PostLogistics übergeben.</t>
  </si>
  <si>
    <t>3) Ab dem Jahr 2012 besteht Swiss Post International nicht mehr als eigenständiges Segment. Die Geschäftstätigkeiten wurden ab dem 1. Januar 2012 auf die Geschäftsbereiche PostMail und PostLogistics überführt. Die Kenngrössen werden weiterhin erhoben.</t>
  </si>
  <si>
    <t>4) Ab 2010 Swiss Express und nur noch Geschäftskunden, bis 2009 Expresssendungen (Swiss Express "Mond")</t>
  </si>
  <si>
    <t>über 600</t>
  </si>
  <si>
    <t>über 500</t>
  </si>
  <si>
    <t>rund 500</t>
  </si>
  <si>
    <t>rund 550</t>
  </si>
  <si>
    <t>rund 650</t>
  </si>
  <si>
    <t>rund 750</t>
  </si>
  <si>
    <t>rund 700</t>
  </si>
  <si>
    <t>Überweisungen E-Finance (elektronischer Kanal)</t>
  </si>
  <si>
    <t>Überweisungen EFT/POS (Handel, PST, Agenturen)</t>
  </si>
  <si>
    <t>Überweisungen Papier</t>
  </si>
  <si>
    <t>Überweisungen Diverse</t>
  </si>
  <si>
    <t>Einzahlungen</t>
  </si>
  <si>
    <t>Summe</t>
  </si>
  <si>
    <t>Bezüge am Postomat (ohne Bancomat)</t>
  </si>
  <si>
    <t>Auszahlungen in Poststellen/Agenturen</t>
  </si>
  <si>
    <t>ASR, ASR+, AS</t>
  </si>
  <si>
    <t>Zahlungsanweisung</t>
  </si>
  <si>
    <t>Check</t>
  </si>
  <si>
    <t>Baranweisung</t>
  </si>
  <si>
    <t>Index</t>
  </si>
  <si>
    <t>Geschäftskunden</t>
    <phoneticPr fontId="14" type="noConversion"/>
  </si>
  <si>
    <t>1, 4</t>
  </si>
  <si>
    <t>1) Mit der Kundenzufriedenheitsmessung werden die Kundinnen und Kunden jährlich über ihre Zufriedenheit mit den Dienstleistungen der Post befragt. Die Resultate werden in einem Indexwert abgebildet.</t>
  </si>
  <si>
    <t>2) Aufgrund von Änderungen in der Stichprobenziehung sind die Resultate des Jahres 2015 nicht mit jenen der Vorjahre vergleichbar.</t>
  </si>
  <si>
    <t>102-43</t>
  </si>
  <si>
    <t>Marktanteile</t>
  </si>
  <si>
    <t>102-6</t>
  </si>
  <si>
    <t>Passivgeschäft</t>
  </si>
  <si>
    <t>1) Ab dem Jahr 2012 besteht Swiss Post International nicht mehr als eigenständiges Segment. Die Werte wurden ab dem 1. Januar 2012 auf die Geschäftsbereiche PostMail und PostLogistics überführt.</t>
  </si>
  <si>
    <t>2) Vorjahreswerte angepasst</t>
  </si>
  <si>
    <t>3) Das Passivgeschäft umfasst die Entgegennahme von Kundengeldern.</t>
  </si>
  <si>
    <t>4) 2013 provisorischer Ist-Wert (Nov. 2013), Vorjahre angepasst infolge Überführung in PostFinance AG Ende Juni 2013.</t>
  </si>
  <si>
    <t>8) Die Erhebung des Marktanteils Passivgeschäft von PostFinance wurde ab 1.1.2016 eingestellt.</t>
  </si>
  <si>
    <t>Seminare des Arbeitmarktzentrums</t>
  </si>
  <si>
    <t>Teilnehmende</t>
  </si>
  <si>
    <t>Personalzufriedenheit</t>
  </si>
  <si>
    <t>Arbeitsplätze in den Regionen</t>
  </si>
  <si>
    <t>Arbeitsplätze nach Kantonen</t>
  </si>
  <si>
    <t>Aargau</t>
  </si>
  <si>
    <t>Bern</t>
  </si>
  <si>
    <t>Basel-Landschaft</t>
  </si>
  <si>
    <t>Basel-Stadt</t>
  </si>
  <si>
    <t>Freiburg</t>
  </si>
  <si>
    <t>Genf</t>
  </si>
  <si>
    <t>Glarus</t>
  </si>
  <si>
    <t>Graubünden</t>
  </si>
  <si>
    <t>Jura</t>
  </si>
  <si>
    <t>Luzern</t>
  </si>
  <si>
    <t>Neuenburg</t>
  </si>
  <si>
    <t>Nidwalden</t>
  </si>
  <si>
    <t>Obwalden</t>
  </si>
  <si>
    <t>St. Gallen</t>
  </si>
  <si>
    <t>Schaffhausen</t>
  </si>
  <si>
    <t>Solothurn</t>
  </si>
  <si>
    <t>Schwyz</t>
  </si>
  <si>
    <t>Thurgau</t>
  </si>
  <si>
    <t>Tessin</t>
  </si>
  <si>
    <t>Uri</t>
  </si>
  <si>
    <t>Waadt</t>
  </si>
  <si>
    <t>Wallis</t>
  </si>
  <si>
    <t>Zug</t>
  </si>
  <si>
    <t>Zürich</t>
  </si>
  <si>
    <t>1, 6, 7</t>
  </si>
  <si>
    <t>6) Zwischen 2010 bis und mit 2013: inkl. Privatkunden unter Hoheit PostNetz</t>
  </si>
  <si>
    <t>3, 4, 8</t>
  </si>
  <si>
    <t>2, 5, 9</t>
  </si>
  <si>
    <t>429‘705‘810</t>
  </si>
  <si>
    <t>170‘345‘986</t>
  </si>
  <si>
    <t>25‘160‘127</t>
  </si>
  <si>
    <t>22‘603‘811</t>
  </si>
  <si>
    <t>177‘891‘042</t>
  </si>
  <si>
    <t>825‘706‘776</t>
  </si>
  <si>
    <t>61‘474‘959</t>
  </si>
  <si>
    <t>20‘806‘490</t>
  </si>
  <si>
    <t>992‘040</t>
  </si>
  <si>
    <t>708‘088</t>
  </si>
  <si>
    <t>174‘951</t>
  </si>
  <si>
    <t>2‘537</t>
  </si>
  <si>
    <t>84‘159‘065</t>
  </si>
  <si>
    <t>3) Jahresdurchschnittswerte</t>
  </si>
  <si>
    <t>4) Die Anzahl Beschäftigte in den Kantonen basiert ab 2015 auf der STATENT-Auswertung 2013.</t>
  </si>
  <si>
    <t>Nettorücklauf der Umfrage</t>
  </si>
  <si>
    <t>Engagement</t>
  </si>
  <si>
    <t>Bereichsfitness</t>
  </si>
  <si>
    <t>Arbeitssituation</t>
  </si>
  <si>
    <t>1) Die Personalumfrage wurde per 2009 neu konzipiert. Die Resultate lassen sich mit den Vorjahren nicht vergleichen.</t>
  </si>
  <si>
    <t>Anteil Ausland</t>
  </si>
  <si>
    <t>Share abroad</t>
  </si>
  <si>
    <t>Part à l'étranger</t>
  </si>
  <si>
    <t>Quota all' estero</t>
  </si>
  <si>
    <t>unbefristet</t>
  </si>
  <si>
    <t>befristet</t>
  </si>
  <si>
    <t>—</t>
  </si>
  <si>
    <t>Mengenentwicklung</t>
  </si>
  <si>
    <r>
      <t xml:space="preserve">2017 </t>
    </r>
    <r>
      <rPr>
        <sz val="10"/>
        <rFont val="Frutiger 45 Light"/>
        <family val="2"/>
      </rPr>
      <t>1)</t>
    </r>
  </si>
  <si>
    <t>Zugangspunkte</t>
  </si>
  <si>
    <t>Points d'accès</t>
  </si>
  <si>
    <t>Punti di accesso</t>
  </si>
  <si>
    <t>Access points</t>
  </si>
  <si>
    <t>Lieux</t>
  </si>
  <si>
    <t>Località</t>
  </si>
  <si>
    <t>Localities</t>
  </si>
  <si>
    <t>Filialen</t>
  </si>
  <si>
    <t>Filialen mit Partner</t>
  </si>
  <si>
    <t>Aufgabe- und Abholstellen</t>
  </si>
  <si>
    <t>My Post 24-Automaten</t>
  </si>
  <si>
    <t>PostFinance-Filialen</t>
  </si>
  <si>
    <t>Postomaten</t>
  </si>
  <si>
    <t>Branches with partner</t>
  </si>
  <si>
    <t>Branches</t>
  </si>
  <si>
    <t>Home delivery service</t>
  </si>
  <si>
    <t>Acceptance and collection points</t>
  </si>
  <si>
    <t>My Post 24 terminals</t>
  </si>
  <si>
    <t>PostFinance branches</t>
  </si>
  <si>
    <t>Postomats</t>
  </si>
  <si>
    <t>Filiales en partenariat</t>
  </si>
  <si>
    <t>Filiales</t>
  </si>
  <si>
    <t>Service à domicile</t>
  </si>
  <si>
    <t>Points de dépôt et de retrait</t>
  </si>
  <si>
    <t>Automates My Post 24</t>
  </si>
  <si>
    <t>Filiales PostFinance</t>
  </si>
  <si>
    <t>Postomat</t>
  </si>
  <si>
    <t>Filiali in partenariato</t>
  </si>
  <si>
    <t>Filiali</t>
  </si>
  <si>
    <t>Servizio a domicil</t>
  </si>
  <si>
    <t>Uffici di impostazione e di ritiro</t>
  </si>
  <si>
    <t>Sportelli automatici My Post 24</t>
  </si>
  <si>
    <t>Filiali PostFinance</t>
  </si>
  <si>
    <t>Geschäftskundenstellen</t>
  </si>
  <si>
    <t>Points clientèle commerciale</t>
  </si>
  <si>
    <t>Punit clienti commerciali</t>
  </si>
  <si>
    <t>Business customer points</t>
  </si>
  <si>
    <t>Posti di lavoro nelle regioni</t>
  </si>
  <si>
    <t>Emplois dans les régions</t>
  </si>
  <si>
    <t>Jobs in the regions</t>
  </si>
  <si>
    <t>Mitarbeitende Post auf 100 Beschäftigte nach Kantonen</t>
  </si>
  <si>
    <t>Argovie</t>
  </si>
  <si>
    <t>Berne</t>
  </si>
  <si>
    <t>Bâle-Campagne</t>
  </si>
  <si>
    <t>Bâle-Ville</t>
  </si>
  <si>
    <t>Fribourg</t>
  </si>
  <si>
    <t>Genève</t>
  </si>
  <si>
    <t>Glaris</t>
  </si>
  <si>
    <t>Grisons</t>
  </si>
  <si>
    <t>Lucerne</t>
  </si>
  <si>
    <t>Neuchâtel</t>
  </si>
  <si>
    <t>Nidwald</t>
  </si>
  <si>
    <t>Obwald</t>
  </si>
  <si>
    <t>Saint-Gall</t>
  </si>
  <si>
    <t>Schaffhouse</t>
  </si>
  <si>
    <t>Soleure</t>
  </si>
  <si>
    <t>Thurgovie</t>
  </si>
  <si>
    <t>Vaud</t>
  </si>
  <si>
    <t>Valais</t>
  </si>
  <si>
    <t>Zoug</t>
  </si>
  <si>
    <t>Zurich</t>
  </si>
  <si>
    <t>Emplois par canton</t>
  </si>
  <si>
    <t>Personnel Poste sur 100 employés par canton</t>
  </si>
  <si>
    <t>Appenzell Ausserrhoden</t>
  </si>
  <si>
    <t>Appenzell Innerrhoden</t>
  </si>
  <si>
    <t>Argovia</t>
  </si>
  <si>
    <t>Appenzello interno</t>
  </si>
  <si>
    <t>Appenzello esterno</t>
  </si>
  <si>
    <t>Berna</t>
  </si>
  <si>
    <t>Basilea Campagna</t>
  </si>
  <si>
    <t>Basilea Città</t>
  </si>
  <si>
    <t>Friburgo</t>
  </si>
  <si>
    <t>Ginevra</t>
  </si>
  <si>
    <t>Glarona</t>
  </si>
  <si>
    <t>Grigioni</t>
  </si>
  <si>
    <t>Giura</t>
  </si>
  <si>
    <t>Lucerna</t>
  </si>
  <si>
    <t>Nidvaldo</t>
  </si>
  <si>
    <t>Obvaldo</t>
  </si>
  <si>
    <t>San Gallo</t>
  </si>
  <si>
    <t>Sciaffusa</t>
  </si>
  <si>
    <t>Soletta</t>
  </si>
  <si>
    <t>Svitto</t>
  </si>
  <si>
    <t>Turgovia</t>
  </si>
  <si>
    <t>Ticino</t>
  </si>
  <si>
    <t>Vallese</t>
  </si>
  <si>
    <t>Zugo</t>
  </si>
  <si>
    <t>Zurigo</t>
  </si>
  <si>
    <t>Appenzell Rhodes-Extérieures</t>
  </si>
  <si>
    <t>Appenzell Rhodes-Intérieures</t>
  </si>
  <si>
    <t>Posti di lavoro per Cantone</t>
  </si>
  <si>
    <t>Collaboratori della Posta ogni 100 lavoratori per Cantone</t>
  </si>
  <si>
    <t>Basel-Land</t>
  </si>
  <si>
    <t>Geneva</t>
  </si>
  <si>
    <t>Jobs by canton</t>
  </si>
  <si>
    <t>Swiss Post employees per 100 employees by canton</t>
  </si>
  <si>
    <t>Arbeitsplätze in ländlichen Gemeinden</t>
  </si>
  <si>
    <t>Jobs in rural communities</t>
  </si>
  <si>
    <t>Emplois dans les communes rurales</t>
  </si>
  <si>
    <t>Posti di lavoro nei comuni rurali</t>
  </si>
  <si>
    <t>Anteil aller Arbeitsplätze</t>
  </si>
  <si>
    <t>Quota di tutti i posti di lavoro</t>
  </si>
  <si>
    <t>Part de tous les emplois</t>
  </si>
  <si>
    <t>Share of all jobs</t>
  </si>
  <si>
    <t>3) Valeurs annuelles moyennes</t>
  </si>
  <si>
    <t>1, 2, 3, 6</t>
  </si>
  <si>
    <t>1, 2, 3, 5, 6</t>
  </si>
  <si>
    <t>5) Die Definition der ländlichen Gemeinden stützt sich auf die Räumlichen Typologien des Bundesamt für Statistik BFS.</t>
  </si>
  <si>
    <t>5) La définition des communautés rurales est basée sur les typologies territoriales de l'Office fédéral de la statistique (OFS)</t>
  </si>
  <si>
    <t>5) La definizione delle comunità rurali si basa sulle tipologie territoriali dell' Ufficio federale di statistica (UST)</t>
  </si>
  <si>
    <t>5) The definition of rural communities is based on the territorial typologies of the Federal Statistical Office (FSO)</t>
  </si>
  <si>
    <t>3) Valori medi annuali.</t>
  </si>
  <si>
    <t>4) Dal 2015 il numero di collaboratori nei Cantoni si basa sul rilevamento STATENT del 2013.</t>
  </si>
  <si>
    <t>1) Excluding trainees.</t>
  </si>
  <si>
    <t>3) Annual averages.</t>
  </si>
  <si>
    <t>4) From 2015, the number of employees in the cantons is based on the 2013 STATENT report.</t>
  </si>
  <si>
    <t>2, 4</t>
  </si>
  <si>
    <t>1, 3, 4</t>
  </si>
  <si>
    <t>Beneficiaries of parental leave</t>
  </si>
  <si>
    <t>Bénéficiaires du congé parental</t>
  </si>
  <si>
    <t>Beneficiari del congedo parentale</t>
  </si>
  <si>
    <t>% des Durchschnittsbestandes an Personen im Monatslohn</t>
  </si>
  <si>
    <t>1) Comprend les personnes en congé de maternité, en congé parental, en congé d'accouchement, en congé de maternité et en adoption.</t>
  </si>
  <si>
    <t>1) Comprende le persone in congedo di maternità, congedo parentale, congedo per parto, congedo di maternità e adozione.</t>
  </si>
  <si>
    <t>1) Includes persons on maternity leave, parental leave, childbirth, maternity leave and adoption.</t>
  </si>
  <si>
    <t>1) Umfasst Personen in Elternschaft aufgrund von Mutterschutz, Elternurlaub, Geburt, Mutterschaftsurlaub und Adoption</t>
  </si>
  <si>
    <t>Personalzufriedenheit, Motivation und Engagement</t>
  </si>
  <si>
    <t>Satisfaction du personnel</t>
  </si>
  <si>
    <t>Satisfaction du personnel, motivation et engagement</t>
  </si>
  <si>
    <t>Indice</t>
  </si>
  <si>
    <t>Situation professionnelle</t>
  </si>
  <si>
    <t>Soddisfazione del personale</t>
  </si>
  <si>
    <t>Soddisfazione del personale, motivazione e impegno</t>
  </si>
  <si>
    <t>Impegno</t>
  </si>
  <si>
    <t>Situazione lavorativa</t>
  </si>
  <si>
    <t>Employee satisfaction</t>
  </si>
  <si>
    <t>Employee satisfaction, motivation and commitment</t>
  </si>
  <si>
    <t>Commitment</t>
  </si>
  <si>
    <t>Unit fitness</t>
  </si>
  <si>
    <t>Work situation</t>
  </si>
  <si>
    <t>Net response rate to survey</t>
  </si>
  <si>
    <t>Percentuale netta di questionari restituiti</t>
  </si>
  <si>
    <t>2) Die Dimension wurde erstmals in der Personalumfrage 2006 erfasst.</t>
  </si>
  <si>
    <t>1, 2, 3</t>
  </si>
  <si>
    <t>1) Poiché il sondaggio del personale è stato completamente rielaborato nel 2009, non è possibile confrontare i risultati con quelli ottenuti negli anni precedenti.</t>
  </si>
  <si>
    <t>2) Questo aspetto è stato rilevato per la prima volta in occasione del sondaggio del personale 2006.</t>
  </si>
  <si>
    <t>1) The employee survey was redesigned in 2009. The results cannot be compared with previous years.</t>
  </si>
  <si>
    <t>2) These aspects were covered for the first time in the employee survey 2006.</t>
  </si>
  <si>
    <t>2) Konzern Schweiz mit Lehrvertrag Berufsbildung Post</t>
  </si>
  <si>
    <t>3) Anteil übernommene Lernende, die eine Anstellung wünschen</t>
  </si>
  <si>
    <t>Apprentis</t>
  </si>
  <si>
    <t>Gestionnaire de commerce de détail</t>
  </si>
  <si>
    <t>Agent(e) relation client</t>
  </si>
  <si>
    <t>Employé(e) de commerce</t>
  </si>
  <si>
    <t>Stagiaire commerce</t>
  </si>
  <si>
    <t>Logisticien/ne CFC distribution</t>
  </si>
  <si>
    <t>Logisticien/ne AFP distribution</t>
  </si>
  <si>
    <t>Logisticien/ne CFC stockage</t>
  </si>
  <si>
    <t>Conducteur/trice de véhicules lourds</t>
  </si>
  <si>
    <t>Informaticien/ne</t>
  </si>
  <si>
    <t>Médiamaticien/ne</t>
  </si>
  <si>
    <t>Automaticien/ne</t>
  </si>
  <si>
    <t>Spécialiste petite enfance</t>
  </si>
  <si>
    <t>Taux de formation</t>
  </si>
  <si>
    <t>Embauche de personnes en formation</t>
  </si>
  <si>
    <t>Part des personnes en formation embauchées</t>
  </si>
  <si>
    <t>3) Part des apprentis repris qui souhaitent être embauchés</t>
  </si>
  <si>
    <t>Personale in formazione</t>
  </si>
  <si>
    <t>impiegati/e del commercio al dettaglio</t>
  </si>
  <si>
    <t>operatori/trici per la comunicazione con la clientela</t>
  </si>
  <si>
    <t>impiegati/e di commercio</t>
  </si>
  <si>
    <t>stagisti di commercio</t>
  </si>
  <si>
    <t>impiegati/e in logistica AFC Recapito</t>
  </si>
  <si>
    <t>addetti/e alla logistica CFP Recapito</t>
  </si>
  <si>
    <t>impiegati/e in logistica AFC Magazzino</t>
  </si>
  <si>
    <t>autisti di veicoli pesanti AFC</t>
  </si>
  <si>
    <t>informatici/che</t>
  </si>
  <si>
    <t>mediamatici/che</t>
  </si>
  <si>
    <t>operatori/trici in automatica</t>
  </si>
  <si>
    <t>operatori/trici di edifici e infrastrutture AFC</t>
  </si>
  <si>
    <t>Percentuale persone in formazione</t>
  </si>
  <si>
    <t>Assunzioni di persone in formazione</t>
  </si>
  <si>
    <t>Quota di persone in formazione assunte</t>
  </si>
  <si>
    <t>2) Gruppo Svizzera con contratto di tirocinio della Formazione professionale Posta.</t>
  </si>
  <si>
    <t>3) Percentuale di apprendisti ripresi che desiderano essere assunti.</t>
  </si>
  <si>
    <t>Retail employee</t>
  </si>
  <si>
    <t>Call center agent</t>
  </si>
  <si>
    <t>Commercial employee</t>
  </si>
  <si>
    <t>Commercial apprenticeship</t>
  </si>
  <si>
    <t>EFZ distribution logistics technician</t>
  </si>
  <si>
    <t>EBA distribution logistics technician</t>
  </si>
  <si>
    <t>EFZ warehouse logistics technician</t>
  </si>
  <si>
    <t>EFZ truck driver</t>
  </si>
  <si>
    <t>IT technician</t>
  </si>
  <si>
    <t>Mediamatics technician</t>
  </si>
  <si>
    <t>Automation technician</t>
  </si>
  <si>
    <t>Operation maintenance employee</t>
  </si>
  <si>
    <t>Child carer</t>
  </si>
  <si>
    <t>Ratio of trainees to employees</t>
  </si>
  <si>
    <t>Newly recruited trainees</t>
  </si>
  <si>
    <t>Percentage of trainees taken on</t>
  </si>
  <si>
    <t>1) Excluding learning personnel.</t>
  </si>
  <si>
    <t>2) At Swiss Post Group in Switzerland, with a Swiss Post vocational training contract.</t>
  </si>
  <si>
    <t>3) Percentage of trainees taken on who wish to be employed by the company</t>
  </si>
  <si>
    <t>Learning personnel</t>
  </si>
  <si>
    <t>Relève</t>
  </si>
  <si>
    <t>Programme Trainee</t>
  </si>
  <si>
    <t>Stagiaires</t>
  </si>
  <si>
    <t>Nuove leve</t>
  </si>
  <si>
    <t>programma Trainee</t>
  </si>
  <si>
    <t>stagisti</t>
  </si>
  <si>
    <t>Young talent</t>
  </si>
  <si>
    <t>Trainee programme</t>
  </si>
  <si>
    <t>Interns</t>
  </si>
  <si>
    <t>Participants</t>
  </si>
  <si>
    <t>Job center seminars</t>
  </si>
  <si>
    <t>Partecipanti</t>
  </si>
  <si>
    <t>Seminari del centro Mercato del lavoro</t>
  </si>
  <si>
    <t>Parts de marché</t>
  </si>
  <si>
    <t>Quote di mercato</t>
  </si>
  <si>
    <t>Market shares</t>
  </si>
  <si>
    <t>Import und Export von Mail</t>
  </si>
  <si>
    <t>Import und Export von Kurier, Express und Pakete</t>
  </si>
  <si>
    <t>Import and export of mail</t>
  </si>
  <si>
    <t>Import and export of courier, express and parcels</t>
  </si>
  <si>
    <t>Parcels</t>
  </si>
  <si>
    <t>Deposit-taking business</t>
  </si>
  <si>
    <t>Regional passenger transport in accordance with Swiss Passenger Transport Act (PBG)</t>
  </si>
  <si>
    <t>Regionaler Personenverkehr nach Personenbeförderungsgesetz (PBG)</t>
  </si>
  <si>
    <t>1) As of 2012, Swiss Post International no longer exists as an independent segment. The figures were transferred to the Group units PostMail and PostLogistics on 1 January 2012.</t>
  </si>
  <si>
    <t>2) Previous year figures adjusted</t>
  </si>
  <si>
    <t>3) Deposit-taking business comprises the receipt of customer deposits.</t>
  </si>
  <si>
    <t>4) 2013 provisional actual figure (Nov. 2013). Previous years adjusted following transfer to PostFinance Ltd at end of June 2013.</t>
  </si>
  <si>
    <t>7) From 2014 the TNT volumes are no longer included in the market share calculation, so that a match exists with the quantities shown. The year 2013 has additionally been presented for comparison purposes. The figures from 2005 to 2012 are not comparable.</t>
  </si>
  <si>
    <t>8) Market share figures for the deposit-taking business at PostFinance have no longer been recorded since 1 January 2016.</t>
  </si>
  <si>
    <t>5) Absoluter Marktanteil, d.h. Umsatzvolumen PostAuto am Marktvolumen (Umsatz)</t>
  </si>
  <si>
    <t>5) Absolute market share, i.e. PostBus sales volume as percentage of market volume (turnover).</t>
  </si>
  <si>
    <t>6) Between 2010 an 2013: including private customers under PostNet</t>
  </si>
  <si>
    <t>9) The value of the current reporting year is provisional.</t>
  </si>
  <si>
    <t>9) Wert des aktuellen Berichtsjahres gilt provisorisch.</t>
  </si>
  <si>
    <t>Importation et exportation de courrier</t>
  </si>
  <si>
    <t>Colis</t>
  </si>
  <si>
    <t>Importation et exportation de coursier, express et colis</t>
  </si>
  <si>
    <t>Opérations passives</t>
  </si>
  <si>
    <t>Transports régionaux de voyageurs en vertu de la loi sur le transport de voyageurs (LTV)</t>
  </si>
  <si>
    <t>1) Depuis 2012, Swiss Post International ne constitue plus un segment autonome. Les valeurs la concernant ont été répercutées sur les unités d'affaires PostMail et PostLogistics à partir du 1er janvier 2012.</t>
  </si>
  <si>
    <t>3) Les opérations passives comprennent la prise en charge des fonds des clients.</t>
  </si>
  <si>
    <t>4) Valeur effective 2013 provisoire (novembre 2013); exercices précédents ajustés après le changement de raison sociale en PostFinance SA fin juin 2013.</t>
  </si>
  <si>
    <t>6) Entre 2010 à et avec 2013: y compris les clients privés gérés par RéseauPostal.</t>
  </si>
  <si>
    <t>9) La valeur de l'année de référence actuelle est provisoire.</t>
  </si>
  <si>
    <t>Importazione ed esportazione di posta</t>
  </si>
  <si>
    <t>Pacchi</t>
  </si>
  <si>
    <t>Importazione ed esportazione di servici di corriere, espresso e pacchi</t>
  </si>
  <si>
    <t>Operazioni passive</t>
  </si>
  <si>
    <t>Traffico regionale viaggiatori conf. a legge federale sul trasporto di viaggiatori (LTV)</t>
  </si>
  <si>
    <t>4) Valore effettivo 2013 provvisorio (nov. 2013), anni precedenti adattati in seguito al cambiamento della ragione sociale in PostFinance SA a fine giugno 2013</t>
  </si>
  <si>
    <t>8) Il rilevamento della quota di mercato operazioni passive di PostFinance è stato soppresso a partire dal 1o gennaio 2016.</t>
  </si>
  <si>
    <t>6) Tra il 2010 e il 2013: incl. clienti privati sotto la responsabilità di RetePostale</t>
  </si>
  <si>
    <t>9) Il valore dell' anno base corrente è provvisorio.</t>
  </si>
  <si>
    <t>Finanziamento</t>
  </si>
  <si>
    <t>Totale di bilancio</t>
  </si>
  <si>
    <t>depositi dei clienti PostFinance</t>
  </si>
  <si>
    <t>percentuale del totale di bilancio</t>
  </si>
  <si>
    <t>Capitale proprio</t>
  </si>
  <si>
    <t>Financing</t>
  </si>
  <si>
    <t>Total assets</t>
  </si>
  <si>
    <t>PostFinance customer deposits</t>
  </si>
  <si>
    <t>Share of total assets</t>
  </si>
  <si>
    <t>Equity</t>
  </si>
  <si>
    <t>Financement</t>
  </si>
  <si>
    <t>Total du bilan</t>
  </si>
  <si>
    <t>Fonds des clients PostFinance</t>
  </si>
  <si>
    <t>Part au total du bilan</t>
  </si>
  <si>
    <t>Fonds propres</t>
  </si>
  <si>
    <t>Kundengelder PostFinance</t>
  </si>
  <si>
    <t>Anteil an Bilanzsumme</t>
  </si>
  <si>
    <t>Cash flow and investments</t>
  </si>
  <si>
    <t>Investments</t>
  </si>
  <si>
    <t>Investment property</t>
  </si>
  <si>
    <t>Degree of self-financed investment</t>
  </si>
  <si>
    <t>Other tangible fixed assets, intangible assets</t>
  </si>
  <si>
    <t>Operating property</t>
  </si>
  <si>
    <t>Participations</t>
  </si>
  <si>
    <t>übrige Sachanlagen, immatrielle Anlagen</t>
  </si>
  <si>
    <t>Betriebsliegenschaften</t>
  </si>
  <si>
    <t>Cash-flow et investissements</t>
  </si>
  <si>
    <t>Investissements</t>
  </si>
  <si>
    <t>Autres immobilisations corporelles, immobilisations incorporelles</t>
  </si>
  <si>
    <t>Immeubles de placement</t>
  </si>
  <si>
    <t>Ratio des investissements autofinancés</t>
  </si>
  <si>
    <t>Cash flow e investimenti</t>
  </si>
  <si>
    <t>Investimenti</t>
  </si>
  <si>
    <t>altre immobilizzazioni materiali e immateriali</t>
  </si>
  <si>
    <t>stabilimenti</t>
  </si>
  <si>
    <t>immobili mantenuti come immobilizzazioni finanziarie</t>
  </si>
  <si>
    <t>partecipazioni</t>
  </si>
  <si>
    <t>Quota di investimenti autofinanziati</t>
  </si>
  <si>
    <t>Beteiligungen</t>
  </si>
  <si>
    <t>Inland Priority</t>
  </si>
  <si>
    <t>Inland Economy</t>
  </si>
  <si>
    <t>Abgeschlossenes Auftragsvolumen</t>
  </si>
  <si>
    <t>eigene</t>
  </si>
  <si>
    <t>gemietete</t>
  </si>
  <si>
    <t>angemietete Fläche</t>
  </si>
  <si>
    <t>Evolution des volumes</t>
  </si>
  <si>
    <t>Lettres adressées</t>
  </si>
  <si>
    <t>Envois prioritaires</t>
  </si>
  <si>
    <t>Envois non prioritaires</t>
  </si>
  <si>
    <t>Envois non adressés</t>
  </si>
  <si>
    <t>Journaux</t>
  </si>
  <si>
    <t>Lettres, exportation</t>
  </si>
  <si>
    <t>Lettres, importation</t>
  </si>
  <si>
    <t>Journaux, exportation</t>
  </si>
  <si>
    <t>Journaux, importation</t>
  </si>
  <si>
    <t>domestiques Economy</t>
  </si>
  <si>
    <t>domestiques Priority</t>
  </si>
  <si>
    <t>Exportation</t>
  </si>
  <si>
    <t>Importation</t>
  </si>
  <si>
    <t>Swiss-Express clients commerciaux</t>
  </si>
  <si>
    <t>Pages scannées (Document Solutions)</t>
  </si>
  <si>
    <t>Cartes personnalisées (Cards)</t>
  </si>
  <si>
    <t>Cartes non personnalisées (Cards)</t>
  </si>
  <si>
    <t>Envois produits (Document Output)</t>
  </si>
  <si>
    <t>Volume des mandats clôturés</t>
  </si>
  <si>
    <t>Versements</t>
  </si>
  <si>
    <t>Nombres de comptes clients</t>
  </si>
  <si>
    <t>Patrimoine des clients (moyenne)</t>
  </si>
  <si>
    <t>Nombre de transactions</t>
  </si>
  <si>
    <t>Adhérents e-finance</t>
  </si>
  <si>
    <t>Volume des fonds (fonds PostFinance sans fonds émis par des tiers)</t>
  </si>
  <si>
    <t>Volume des fonds (émis par PostFinance et par des tiers)</t>
  </si>
  <si>
    <t>Volume des prêts clients commerciaux</t>
  </si>
  <si>
    <t>Volume des hypothèques clients privés</t>
  </si>
  <si>
    <t>Nombre de voyageurs</t>
  </si>
  <si>
    <t>Prestation annuelle</t>
  </si>
  <si>
    <t>Véhicules</t>
  </si>
  <si>
    <t>Réseau CarPostal</t>
  </si>
  <si>
    <t>Immeubles</t>
  </si>
  <si>
    <t>propres</t>
  </si>
  <si>
    <t>loués</t>
  </si>
  <si>
    <t>Surface gérée</t>
  </si>
  <si>
    <t>Surface louée</t>
  </si>
  <si>
    <t>Produits locatifs internes</t>
  </si>
  <si>
    <t>Produits locatifs externes</t>
  </si>
  <si>
    <t>Projets en cours</t>
  </si>
  <si>
    <t xml:space="preserve">Contacts User Help Desk </t>
  </si>
  <si>
    <t>Appareils gérés</t>
  </si>
  <si>
    <t>Volume de données sauvegardées par année</t>
  </si>
  <si>
    <t>Taux de résolution à la 1re intervention</t>
  </si>
  <si>
    <t>Assistance</t>
  </si>
  <si>
    <t>Lettere indirizzate</t>
  </si>
  <si>
    <t>Invii prioritari</t>
  </si>
  <si>
    <t>Invii non prioritari</t>
  </si>
  <si>
    <t>Invii non indirizzati</t>
  </si>
  <si>
    <t>Giornali</t>
  </si>
  <si>
    <t>Lettere export</t>
  </si>
  <si>
    <t>Lettere import</t>
  </si>
  <si>
    <t>Giornali export</t>
  </si>
  <si>
    <t>Giornali import</t>
  </si>
  <si>
    <t>domestici Priority</t>
  </si>
  <si>
    <t>domestici Economy</t>
  </si>
  <si>
    <t>Swiss-Express clienti commerciali</t>
  </si>
  <si>
    <t>Pagine scansionate (Document Solutions)</t>
  </si>
  <si>
    <t>Carte personalizzate (Cards)</t>
  </si>
  <si>
    <t>Carte non personalizzate (Cards)</t>
  </si>
  <si>
    <t>Invii prodotti (Document Output)</t>
  </si>
  <si>
    <t>Volume di contratti conclusi</t>
  </si>
  <si>
    <t>Fatturato netto altri articoli di marca</t>
  </si>
  <si>
    <t>Accettazione versamenti</t>
  </si>
  <si>
    <t>Afflusso di nuovi capitali</t>
  </si>
  <si>
    <t>Numero di conti dei clienti</t>
  </si>
  <si>
    <t>Transazioni</t>
  </si>
  <si>
    <t>Utenti e-finance</t>
  </si>
  <si>
    <t>Volume fondi (PostFinance Fonds senza fondi emessi da terzi)</t>
  </si>
  <si>
    <t>Volume fondi (PostFinance Fonds e fondi emessi da terzi)</t>
  </si>
  <si>
    <t>Volume prestiti alla clientela commerciale</t>
  </si>
  <si>
    <t>Volume ipoteche alla clientela privata</t>
  </si>
  <si>
    <t>Viaggiatori</t>
  </si>
  <si>
    <t>Prestazione annua</t>
  </si>
  <si>
    <t>Veicoli</t>
  </si>
  <si>
    <t>Rete di AutoPostale</t>
  </si>
  <si>
    <t>Immobili</t>
  </si>
  <si>
    <t>Superficie gestita</t>
  </si>
  <si>
    <t>Reddito da locazioni interno</t>
  </si>
  <si>
    <t>Reddito da locazioni esterno</t>
  </si>
  <si>
    <t>Volume investimenti</t>
  </si>
  <si>
    <t>Volume manutenzioni</t>
  </si>
  <si>
    <t>Progetti in corso</t>
  </si>
  <si>
    <t xml:space="preserve">Contatti User Help Desk </t>
  </si>
  <si>
    <t>Apparecchi sotto assistenza</t>
  </si>
  <si>
    <t>Quantità di applicazioni diverse</t>
  </si>
  <si>
    <t>Tasso di risoluzione immediata</t>
  </si>
  <si>
    <t>Missioni di supporto</t>
  </si>
  <si>
    <t>di proprietà</t>
  </si>
  <si>
    <t>in affitto</t>
  </si>
  <si>
    <t>Superficie in locazione</t>
  </si>
  <si>
    <t>Addressed letters</t>
  </si>
  <si>
    <t>Priority items</t>
  </si>
  <si>
    <t>Non-priority items</t>
  </si>
  <si>
    <t>Unaddressed items</t>
  </si>
  <si>
    <t>Newspapers</t>
  </si>
  <si>
    <t>Letter exports</t>
  </si>
  <si>
    <t>Letter imports</t>
  </si>
  <si>
    <t>Newspaper exports</t>
  </si>
  <si>
    <t>Newspaper imports</t>
  </si>
  <si>
    <t>Domestic Priority</t>
  </si>
  <si>
    <t>Domestic Economy</t>
  </si>
  <si>
    <t>Exports</t>
  </si>
  <si>
    <t>Imports</t>
  </si>
  <si>
    <t>Swiss Express, business customers</t>
  </si>
  <si>
    <t>Scanned pages (Document Solutions)</t>
  </si>
  <si>
    <t>Personalized cards (Cards)</t>
  </si>
  <si>
    <t>Non-personalized cards (Cards)</t>
  </si>
  <si>
    <t>Consignments produced (Document Output)</t>
  </si>
  <si>
    <t>Completed order volumes</t>
  </si>
  <si>
    <t>Inpayments accepted</t>
  </si>
  <si>
    <t>Inflow of new money</t>
  </si>
  <si>
    <t>Number of customer accounts</t>
  </si>
  <si>
    <t>Average balance of customer assets</t>
  </si>
  <si>
    <t>Average balance of customer deposits</t>
  </si>
  <si>
    <t>Number of transactions</t>
  </si>
  <si>
    <t>E-finance subscribers</t>
  </si>
  <si>
    <t>Fund volume (PostFinance Fonds excl. third-party funds)</t>
  </si>
  <si>
    <t>Fund volume (PostFinance Fonds and third-party funds)</t>
  </si>
  <si>
    <t>Volume of loans to business customers</t>
  </si>
  <si>
    <t>Volume of mortgages for private customers</t>
  </si>
  <si>
    <t>Number of passengers</t>
  </si>
  <si>
    <t>Vehicle kilometres</t>
  </si>
  <si>
    <t>Vehicles</t>
  </si>
  <si>
    <t>PostBus network</t>
  </si>
  <si>
    <t>Properties</t>
  </si>
  <si>
    <t>Managed space</t>
  </si>
  <si>
    <t>Investment value</t>
  </si>
  <si>
    <t>Rental income – internal</t>
  </si>
  <si>
    <t>Rental income – external</t>
  </si>
  <si>
    <t>Investment volume</t>
  </si>
  <si>
    <t>Maintenance volume</t>
  </si>
  <si>
    <t>Current projects</t>
  </si>
  <si>
    <t xml:space="preserve">Contacts on User Help Desk </t>
  </si>
  <si>
    <t>Monitored items of equipment</t>
  </si>
  <si>
    <t>Number of different applications</t>
  </si>
  <si>
    <t>Volume of data saved per year</t>
  </si>
  <si>
    <t>First-level resolution rate</t>
  </si>
  <si>
    <t>Support calls</t>
  </si>
  <si>
    <t>Owned</t>
  </si>
  <si>
    <t>Rented</t>
  </si>
  <si>
    <t>Rented space</t>
  </si>
  <si>
    <t>Volume trends</t>
  </si>
  <si>
    <t>Evoluzione dei volumi</t>
  </si>
  <si>
    <t>Courier Export (über TNT Swiss Post AG)</t>
  </si>
  <si>
    <t>Courrier rapide, exportation (via TNT Swiss Post SA)</t>
  </si>
  <si>
    <t>Corriere export (via TNT Swiss Post AG)</t>
  </si>
  <si>
    <t>Courier exports (via TNT Swiss Post AG)</t>
  </si>
  <si>
    <t>Immobilier</t>
  </si>
  <si>
    <t>Real Estate</t>
  </si>
  <si>
    <t>Anzahl in Tausend</t>
  </si>
  <si>
    <t>Anzahl pro Monat</t>
  </si>
  <si>
    <t>mln di invii</t>
  </si>
  <si>
    <t>numero in migliaia</t>
  </si>
  <si>
    <t>mln di m²</t>
  </si>
  <si>
    <t>numero per mese</t>
  </si>
  <si>
    <t>gigabyte</t>
  </si>
  <si>
    <t>numero per anno</t>
  </si>
  <si>
    <t>mln di km</t>
  </si>
  <si>
    <t>clienti</t>
  </si>
  <si>
    <t>Millions of items</t>
  </si>
  <si>
    <t>In millions</t>
  </si>
  <si>
    <t>In thousands</t>
  </si>
  <si>
    <t>Customers</t>
  </si>
  <si>
    <t>In millions of km</t>
  </si>
  <si>
    <t>In millions of m²</t>
  </si>
  <si>
    <t>Number per month</t>
  </si>
  <si>
    <t>Gigabytes</t>
  </si>
  <si>
    <t>Number per year</t>
  </si>
  <si>
    <t>Millions</t>
  </si>
  <si>
    <t>Gigaoctets</t>
  </si>
  <si>
    <t>Nombre par an</t>
  </si>
  <si>
    <t>Nombre par mois</t>
  </si>
  <si>
    <t>Millions de m2</t>
  </si>
  <si>
    <t>Millions de kilomètres</t>
  </si>
  <si>
    <t>Kilomètres</t>
  </si>
  <si>
    <t>clients</t>
  </si>
  <si>
    <t>Milliers</t>
  </si>
  <si>
    <t>1) Valeurs en Suisse</t>
  </si>
  <si>
    <t>2) Du 1.1.2010 au 31.12.2015 la responsabilité des produits pour particuliers été attribuée au Réseau postal et vente. A partir du 1er janvier 2016 la responsabilité des produits pour particuliers a été transférée de Réseau postal et vente à PostMail et à PostLogistics.</t>
  </si>
  <si>
    <t>3) Depuis 2012, Swiss Post International ne constitue plus un segment autonome. Ses activités commerciales ont été transférées aux unités d'affaires PostMail et PostLogistics à partir du 1er janvier 2012. Les indicateurs continuent d'être relevés.</t>
  </si>
  <si>
    <t>1) Valori in Svizzera</t>
  </si>
  <si>
    <t>2) Dalle 1.1.2010 alle 31.12.2015 la responsabilità dei prodotti per i clienti privati è stata da Rete postale e vendita. A partire dal 1o gennaio 2016 la responsabilità dei prodotti per i clienti privati è stata transferita da Rete postale e vendita a PostMail e PostLogistics.</t>
  </si>
  <si>
    <t>4) Dal 2010 Swiss-Express e solo clienti commerciali, fino al 2009 invii espresso (Swiss-Express «Luna»)</t>
  </si>
  <si>
    <t>1) Figures in Switzerland.</t>
  </si>
  <si>
    <t>2) From 1 January 2010 to 31 December 2015 product responsibility for products aimed at private customers was allocated to Post Offices &amp; Sales. As of 1 January 2016 product responsibility for products aimed at private customers was transferred from Post Offices &amp; Sales to PostMail and PostLogistics.</t>
  </si>
  <si>
    <t>3) As of 2012, Swiss Post International no longer exists as an independent segment. The business activities were transferred to the Group units PostMail and PostLogistics on 1 January 2012. The key figures continue to be calculated.</t>
  </si>
  <si>
    <t>4) From 2010 Swiss Express and only business customers, up to 2009 express consignments (Swiss Express “Moon”).</t>
  </si>
  <si>
    <t>Volume of payment transactions</t>
  </si>
  <si>
    <t>Inpayments and transfers</t>
  </si>
  <si>
    <t>E-finance transfers (electronic channel)</t>
  </si>
  <si>
    <t>EFT/POS transfers (retail, post offices, agencies)</t>
  </si>
  <si>
    <t>Paper transfers</t>
  </si>
  <si>
    <t>Miscellaneous transfers</t>
  </si>
  <si>
    <t>Inpayments</t>
  </si>
  <si>
    <t>Outpayments</t>
  </si>
  <si>
    <t>Withdrawals at Postomats (excl. Bancomats)</t>
  </si>
  <si>
    <t>Outpayments at post offices/agencies</t>
  </si>
  <si>
    <t>OSR, OSR+, OS</t>
  </si>
  <si>
    <t>Outpayment order</t>
  </si>
  <si>
    <t>Cheque</t>
  </si>
  <si>
    <t>Cash outpayment order</t>
  </si>
  <si>
    <t>Volume traffico dei pagamenti</t>
  </si>
  <si>
    <t>Volume di versamenti e bonifici</t>
  </si>
  <si>
    <t>Bonifici e-finance (canale elettronico)</t>
  </si>
  <si>
    <t>Bonifici EFT/POS (negozi, uffici postali e agenzie)</t>
  </si>
  <si>
    <t>Bonifici su carta</t>
  </si>
  <si>
    <t>Bonifici (altro)</t>
  </si>
  <si>
    <t>Versamenti</t>
  </si>
  <si>
    <t>Volume di pagamenti</t>
  </si>
  <si>
    <t>Prelievi al Postomat (Bancomat escluso)</t>
  </si>
  <si>
    <t>Pagamenti presso uffici postali / agenzie</t>
  </si>
  <si>
    <t>PPR, PPR+, PP</t>
  </si>
  <si>
    <t>Vaglia di pagamento</t>
  </si>
  <si>
    <t>Assegni</t>
  </si>
  <si>
    <t>Vaglia postale</t>
  </si>
  <si>
    <t>Volume trafic des paiements</t>
  </si>
  <si>
    <t>Volume des versements et des virements</t>
  </si>
  <si>
    <t>Virements e-finance (canal électronique)</t>
  </si>
  <si>
    <t>Virements EFT/POS (commerces, offices de poste, agences)</t>
  </si>
  <si>
    <t>Virements papier</t>
  </si>
  <si>
    <t>Virements divers</t>
  </si>
  <si>
    <t>Montant</t>
  </si>
  <si>
    <t>Volume des paiements</t>
  </si>
  <si>
    <t>Retraits au Postomat (sans Bancomat)</t>
  </si>
  <si>
    <t>Paiements dans les offices de poste/agences</t>
  </si>
  <si>
    <t>BPR, BPR+, BP</t>
  </si>
  <si>
    <t>Mandats de paiement</t>
  </si>
  <si>
    <t>Chèques</t>
  </si>
  <si>
    <t>Mandats en espèces</t>
  </si>
  <si>
    <t>Einzahlungs- und Überweisungsvolumen</t>
  </si>
  <si>
    <t>Auszahlungsvolumen</t>
  </si>
  <si>
    <t>Headcount at Swiss Post Group</t>
  </si>
  <si>
    <t>permanente</t>
  </si>
  <si>
    <t>temporaneo</t>
  </si>
  <si>
    <t xml:space="preserve">temporary </t>
  </si>
  <si>
    <t>permanent</t>
  </si>
  <si>
    <t>temporaire</t>
  </si>
  <si>
    <t>4) PostAuto Schweiz AG, PostFinance AG, Swiss Post Solutions AG, SecurePost AG, Post Immobilien Management und Services AG, Post Company Cars AG, Presto Presse-Vertriebs AG</t>
  </si>
  <si>
    <t>4) CarPostal Suisse SA, PostFinance SA, Swiss Post Solutions SA, SecurePost SA, Poste Immobilier Management et Services SA, Post Company Cars SA, Presto Presse-Vertriebs AG.</t>
  </si>
  <si>
    <t>4) AutoPostale Svizzera SA, PostFinance SA, Swiss Post Solutions SA, SecurePost SA, Posta Immobili Management e Servizi SA, Post Company Cars SA, Presto Presse-Vertriebs AG</t>
  </si>
  <si>
    <t>4) PostBus Switzerland Ltd, PostFinance Ltd, Swiss Post Solutions Ltd, SecurePost Ltd, Post Real Estate Management and Services Ltd, Post Company Cars Ltd, Presto Presse-Vertriebs AG.</t>
  </si>
  <si>
    <t>Catena di distribuzione</t>
  </si>
  <si>
    <t>Numero di fornitori (Svizzera)</t>
  </si>
  <si>
    <t>Numero di fornitori (estero)</t>
  </si>
  <si>
    <t>Nombre de fournisseurs Suisse</t>
  </si>
  <si>
    <t>Nombre de fournisseurs Etranger</t>
  </si>
  <si>
    <t>Volume d'achats du groupe</t>
  </si>
  <si>
    <t>Chaîne de livraison</t>
  </si>
  <si>
    <t>Supply chain</t>
  </si>
  <si>
    <t>Number of suppliers in Switzerland</t>
  </si>
  <si>
    <t>Number of suppliers abroad</t>
  </si>
  <si>
    <t>Group procurement volumes</t>
  </si>
  <si>
    <t>1</t>
  </si>
  <si>
    <t>Soddisfazione dei clienti</t>
  </si>
  <si>
    <t>Clienti privati</t>
  </si>
  <si>
    <t>Clienti commerciali</t>
  </si>
  <si>
    <t>Privatkunden</t>
  </si>
  <si>
    <t>Freizeitreisende</t>
  </si>
  <si>
    <t>3) Post CH AG ohne in- und ausländische Konzerngesellschaften</t>
  </si>
  <si>
    <t>4) 2007 wurde zum ersten Mal die Kundenzufriedenheit für den Konzernbereich PostLogistics gemessen; die Werte der vorangehenden Jahre sind diejenigen der ehemaligen Paketpost.</t>
  </si>
  <si>
    <t>5)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</si>
  <si>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Petites et moyennes entreprises</t>
  </si>
  <si>
    <t>Piccole e medie imprese</t>
  </si>
  <si>
    <t>Turisti</t>
  </si>
  <si>
    <t>Pendolari</t>
  </si>
  <si>
    <t>1) Il rilevamento della soddisfazione della clientela chiede ogni anno ai clienti qual è il loro grado di soddisfazione nei confronti dei servizi della Posta. I risultati sono rappresentati in un valore indicizzato.</t>
  </si>
  <si>
    <t>2) A causa di variazioni nel campionamento, i risultati del 2015 non sono confrontabili con quelli degli anni precedenti.</t>
  </si>
  <si>
    <t>Satisfaction des clients</t>
  </si>
  <si>
    <t>Clients privés</t>
  </si>
  <si>
    <t>Voyageurs de loisirs</t>
  </si>
  <si>
    <t>Clients pendulaires</t>
  </si>
  <si>
    <t>Clients commerciaux</t>
  </si>
  <si>
    <t>Customer satisfaction</t>
  </si>
  <si>
    <t>Private customers</t>
  </si>
  <si>
    <t>Small and medium-sized enterprises</t>
  </si>
  <si>
    <t>Leisure travellers</t>
  </si>
  <si>
    <t>Commuters</t>
  </si>
  <si>
    <t>Business customers</t>
  </si>
  <si>
    <t>2) The 2015 results are not comparable with those of previous years due to changes in the sampling procedure.</t>
  </si>
  <si>
    <t>3) Post CH Ltd excluding domestic and foreign subsidiaries.</t>
  </si>
  <si>
    <t>4) Customer satisfaction for the PostLogistics Group unit was measured for the first time in 2007. The figures for the preceding years are for the former PostParcels.</t>
  </si>
  <si>
    <t>5)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t>
  </si>
  <si>
    <t>Kleine und mittlere Unternehmen</t>
  </si>
  <si>
    <t>Dépôts des clients (moyenne)</t>
  </si>
  <si>
    <t>Depositi dei clienti (media)</t>
  </si>
  <si>
    <t>Patrimonio del cliente (media)</t>
  </si>
  <si>
    <t>102 – Allgemeine Standardangaben</t>
  </si>
  <si>
    <t>Consommation énergétique au sein et en dehors de l'organisation</t>
  </si>
  <si>
    <t>Altre cifre sull'energia</t>
  </si>
  <si>
    <t>202-1 – Ratios du salaire d'entrée de base par sexe par rapport au salaire minimum local sur les principaux sites opérationnels</t>
  </si>
  <si>
    <t>Demografia (distribuzione in base all'età)</t>
  </si>
  <si>
    <t>205-1 – Sites qui ont fait l'objet d'une évaluation des risques de corruption</t>
  </si>
  <si>
    <t>Rapporto d'impiego</t>
  </si>
  <si>
    <t>302-1 – Consommation énergétique au sein de l'organisation</t>
  </si>
  <si>
    <t>302-2 – Consommation énergétique en dehors de l'organisation</t>
  </si>
  <si>
    <t>% de l'effectif moyen avec salaire mensuel</t>
  </si>
  <si>
    <t>% dell'organico medio con salario mensile</t>
  </si>
  <si>
    <t>Jours d'absence par personne</t>
  </si>
  <si>
    <t>305-2 – Emissions indirectes de gaz à effet de serre (Scope 2) liées à l'énergie</t>
  </si>
  <si>
    <t>giorni all'anno</t>
  </si>
  <si>
    <t>305-6 – Emissions de substances appauvrissant la couche d'ozone (SAO)</t>
  </si>
  <si>
    <t>Millions d'unités</t>
  </si>
  <si>
    <t>Indemnités versées au président du Conseil d'administration</t>
  </si>
  <si>
    <t>Indennità a Presidenti di Consigli d'amministrazione</t>
  </si>
  <si>
    <t>Carburanti (all'interno della Posta)</t>
  </si>
  <si>
    <t>quota totale carburanti da fonti rinnovabili (all'interno della Posta)</t>
  </si>
  <si>
    <t>Diesel (all'interno della Posta)</t>
  </si>
  <si>
    <t>quota biodiesel da fonti rinnovabili (all'interno della Posta)</t>
  </si>
  <si>
    <t>Benzina (all'interno della Posta)</t>
  </si>
  <si>
    <t>Gas naturale (all'interno della Posta)</t>
  </si>
  <si>
    <t>quota biogas da fonti rinnovabili (all'interno della Posta)</t>
  </si>
  <si>
    <t>Energia elettrica come carburante (all'interno della Posta)</t>
  </si>
  <si>
    <t>Part d'électricité renouvelable comme carburant (au sein de la Poste)</t>
  </si>
  <si>
    <t>quota energia elettrica, carburante da fonti rinnovabili (all'interno della Posta)</t>
  </si>
  <si>
    <t>Sites d'entreprise</t>
  </si>
  <si>
    <t>Idrogeno (all'interno della Posta)</t>
  </si>
  <si>
    <t>Part d'hydrogène renouvelable (au sein de la Poste)</t>
  </si>
  <si>
    <t>quota idrogeno da fonti rinnovabili (all'interno della Posta)</t>
  </si>
  <si>
    <t>Spécialiste de l'entretien CFC</t>
  </si>
  <si>
    <t>Licenciements par l'employeur</t>
  </si>
  <si>
    <t>operatori/trici d'infanzia</t>
  </si>
  <si>
    <t>Combustibili (all'interno della Posta)</t>
  </si>
  <si>
    <t>quota totale combustibili da fonti rinnovabili (all'interno della Posta)</t>
  </si>
  <si>
    <t>Absences par suite de maladie ou d'accident</t>
  </si>
  <si>
    <t>Olio combustibile extra leggero (all'interno della Posta)</t>
  </si>
  <si>
    <t>Teleriscaldamento (all'interno della Posta)</t>
  </si>
  <si>
    <t>quota teleriscaldamento da fonti rinnovabili (all'interno della Posta)</t>
  </si>
  <si>
    <t>Level of cover under Swiss Post pension fund in accordance with the Swiss Federal Law on Occupational Old-age, Survivors' and Disability Pension Plans (BVG)</t>
  </si>
  <si>
    <t>Energia elettrica come calore (all'interno della Posta)</t>
  </si>
  <si>
    <t>Energia eolica, geotermica e solare (all'interno della Posta)</t>
  </si>
  <si>
    <t>Technologies de l'information</t>
  </si>
  <si>
    <t>Tecnologia dell'informazione</t>
  </si>
  <si>
    <t>Emissions indirectes de gaz à effet de serre liées à l'énergie (scope 2)</t>
  </si>
  <si>
    <t>Totale fabbisogno energetico (all'interno della Posta)</t>
  </si>
  <si>
    <t>Part d'énergie renouvelable dans les besoins énergétiques (au sein de la Poste)</t>
  </si>
  <si>
    <t>quota fabbisogno energetico da fonti, rinnovabili (all'interno della Posta)</t>
  </si>
  <si>
    <t>Immeubles d'exploitation</t>
  </si>
  <si>
    <t>dont à l'entreprise</t>
  </si>
  <si>
    <t>Activités liées aux carburants et à l'énergie</t>
  </si>
  <si>
    <t>Déchets produits dans le cadre d'activités opérationnelles</t>
  </si>
  <si>
    <t>Incremento dell'efficienza energetica dal 2006</t>
  </si>
  <si>
    <t>Taux de réponse net de l'enquête</t>
  </si>
  <si>
    <t>Intensité en CO2 des produits d'exploitation</t>
  </si>
  <si>
    <t>Intensità di CO2 dei ricavi d'esercizio</t>
  </si>
  <si>
    <t>Séminaires de la Bourse de l'emploi</t>
  </si>
  <si>
    <t>Compétitivité de l'unité</t>
  </si>
  <si>
    <t>Salute dell'unità</t>
  </si>
  <si>
    <t>Classe d'âge</t>
  </si>
  <si>
    <t>Apports d'argent frais</t>
  </si>
  <si>
    <t>Incremento dell'efficienza in termini di di CO2 dal 2010</t>
  </si>
  <si>
    <t>Oxydes d'azote (NOx)</t>
  </si>
  <si>
    <t>Valeur d'investissement</t>
  </si>
  <si>
    <t>Valore d'investimento</t>
  </si>
  <si>
    <t>Volume d'investissements</t>
  </si>
  <si>
    <t>Volume d'entretien</t>
  </si>
  <si>
    <t>Nombre d'applications différentes</t>
  </si>
  <si>
    <t>Quantità di dati salvati all'anno</t>
  </si>
  <si>
    <t>1) En adéquation avec le segment 2 dans le rapport financier: l'étranger inclut le trafic transfrontalier.</t>
  </si>
  <si>
    <t>1) Indemnités du Conseil d'administration = honoraires plus prestations accessoires; indemnités de la Direction du groupe = salaire de base plus part variable.</t>
  </si>
  <si>
    <t>1) Dal 1o gennaio 2015 lo sponsoring nel settore economico fa esplicitamente parte dell'attività di sponsoring della Posta.</t>
  </si>
  <si>
    <t>1) Normes, méthodes et coefficients de conversion: protocole GHG, Revised Edition (2004). Les coefficients de conversion sont tirés d'ecoinvent 2.2.</t>
  </si>
  <si>
    <t xml:space="preserve">1) L'électricité renouvelable est inscrite au bilan des émissions de gaz à effet de serre avec le mix énergétique acheté en Suisse. L'électricité certifiée «naturemade star» est inscrite au bilan sans impact sur le climat. </t>
  </si>
  <si>
    <t xml:space="preserve">1) L'energia elettrica rinnovabile è iscritta nel bilancio delle emissioni di gas serra con il mix energetico svizzero. L'energia elettrica certificata «naturemade star» viene iscritta a bilancio con impatto climatico zero. </t>
  </si>
  <si>
    <t>1) Un'unità di personale corrisponde a un impiego a tempo pieno.</t>
  </si>
  <si>
    <t>2) Normes, méthodes et coefficients d'émission: protocole GHG, Revised Edition (2004), ISO 14064–1. L'approche du contrôle financier (Financial Control Approach) a été choisie comme approche de consolidation. Les coefficients d'émission sont tirés d'ecoinvent 2.2.</t>
  </si>
  <si>
    <t>2) Taux de départ global = personnes rétribuées au mois qui ont quitté la Poste au cours d'une année civile, exprimé en pourcentage de l'effectif moyen.</t>
  </si>
  <si>
    <t>2) Tasso complessivo di partenze: complesso delle persone con salario mensile che nel corso di un anno civile hanno lasciato la Posta, espresso in % dell'organico medio</t>
  </si>
  <si>
    <t>2) Groupe Suisse avec contrat d'apprentissage formation professionnelle Poste.</t>
  </si>
  <si>
    <t>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t>
  </si>
  <si>
    <t>3) Il Post Value Added (PVA) è un'unità di misura assoluta (in mln di CHF) che indica quale valore aggiunto ha raggiunto l'intera azienda o un segmento. Viene generato del valore aggiunto quando il risultato aziendale adattato alle imposte supera la remunerazione degli interessi del capitale investito.</t>
  </si>
  <si>
    <t>3) Réduction du transport de marchandises par voie aérienne suite à l'externalisation du fret aérien dans Asendia.</t>
  </si>
  <si>
    <t>3) Riduzione del trasporto merci aereo in seguito all'esternalizzazione dei trasporti aerei ad Asendia</t>
  </si>
  <si>
    <t>3) L'unité du groupe Swiss Post Solutions n'existant que depuis le 1er octobre 2007, aucune valeur ne peut être présentée pour les années précédentes.</t>
  </si>
  <si>
    <t>3) Poiché l'unità del gruppo Swiss Post Solutions esiste solo dal 1o ottobre 2007, non è possibile indicare nessun valore per gli anni precedenti.</t>
  </si>
  <si>
    <t>4) La responsabilité des produits pour particuliers a été transférée de Réseau postal et vente à PostMail et à PostLogistics avec effet au 1er janvier 2016. Réseau postal et vente ne présente donc plus de produits d'exploitation provenant des services réservés; ceux-ci figurent désormais exclusivement dans les produits d'exploitation de PostMail.</t>
  </si>
  <si>
    <t>4) A partire dal 1o gennaio 2016 la responsabilità dei prodotti per i clienti privati è stata trasferita da Rete postale e vendita a PostMail e PostLogistics. Di conseguenza Rete postale e vendita non presenta più la voce «Ricavi d'esercizio servizi riservati», che si trova esclusivamente nei ricavi d'esercizio di PostMail.</t>
  </si>
  <si>
    <t>4) L'électricité thermique est comprise dans l'électricité des bâtiments.</t>
  </si>
  <si>
    <t>4) Il flusso termico è contenuto nella corrente dell'edificio.</t>
  </si>
  <si>
    <t xml:space="preserve">1) La quantità di CO2 compensata varia a seconda del prezzo di mercato dei certificati d'emissione. I supplementi «pro clima» pagati dai clienti vengono interamente investiti in progetti di compensazione. </t>
  </si>
  <si>
    <t>4) Dall'anno 2012 Swiss Post International non è più un segmento a sé stante. Dal 1o gennaio 2012 i valori sono stati trasferiti alle unità PostMail e PostLogistics.</t>
  </si>
  <si>
    <t>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t>
  </si>
  <si>
    <t>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t>
  </si>
  <si>
    <t>5) Les coûts sont calculés à l'aide des coûts moyens par cas. Nombre d'accidents professionnels et nombre d'accidents-bagatelle, multipliés par les coûts moyens liés aux accidents selon calculs de la SUVA.</t>
  </si>
  <si>
    <t>6)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t>
  </si>
  <si>
    <t>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t>
  </si>
  <si>
    <t>1)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t>
  </si>
  <si>
    <t>1) Les chiffres des émissions sont calculés à l'aide de coefficients d'émission propres aux prestations de transport et aux différentes sources d'énergie. Ils englobent les étapes préalables de la production d'énergie.</t>
  </si>
  <si>
    <t>1) Le emissioni sono calcolate per mezzo di fattori di emissione derivanti dai trasporti o dal consumo energetico. Esse comprendono anche i livelli precedenti della preparazione dell'energia.</t>
  </si>
  <si>
    <t>2) Degré de couverture conformément à l'art. 44 de l'ordonnance sur la prévoyance professionnelle vieillesse, survivants et invalidité (OPP 2)</t>
  </si>
  <si>
    <t>2) Grado di copertura secondo l'art. 44 dell'Ordinanza sulla previdenza professionale per la vecchiaia, i superstiti e l'invalidità (OPP2)</t>
  </si>
  <si>
    <t>2) Level of cover in accordance with Art. 44 of the Ordinance on Occupational Retirement, Survivors' and Disability Pension Plans (BVV2).</t>
  </si>
  <si>
    <t>2) Un'unità di personale corrisponde a un impiego a tempo pieno.</t>
  </si>
  <si>
    <t xml:space="preserve">2) Normes, méthodes et coefficients d'émission: les coefficients d'émission sont tirés de HBEFA 3.1, Mobitool Version 2010, ecoinvent 2.2 et d'autres sources statistiques. </t>
  </si>
  <si>
    <t>4) Depuis 2015, le nombre d'employés dans les cantons se fonde sur l'analyse STATENT 2013.</t>
  </si>
  <si>
    <t>1) Valeur ajoutée = résultat d'exploitation + charges de personnel + amortissements – résultat de la vente d'immobilisations corporelles, d'immobilisations incorporelles et de participations</t>
  </si>
  <si>
    <t>1) Creazione di valore aggiunto = risultato d'esercizio + costi per il personale + ammortamenti – risultato dalla vendita di immobilizzazioni materiali, immateriali e partecipazioni.</t>
  </si>
  <si>
    <t>1) L'enquête auprès du personnel a été remaniée en 2009. Les résultats ne peuvent donc pas être comparés avec ceux des années précédentes.</t>
  </si>
  <si>
    <t>2) Cette dimension a été relevée pour la première fois dans l'enquête auprès du personnel 2006.</t>
  </si>
  <si>
    <t>4) Imposte sull'utile.</t>
  </si>
  <si>
    <t>5) Versamento dell'utile alla Confederazione.</t>
  </si>
  <si>
    <t>Grado di occupazione dal 50% all'89%, complessivo</t>
  </si>
  <si>
    <t>Grado di occupazione dal 50% all'89%, uomini</t>
  </si>
  <si>
    <t>Grado di occupazione dal 50% all'89%, donne</t>
  </si>
  <si>
    <t>Volumi d'acquisto del gruppo</t>
  </si>
  <si>
    <t>1) Dall'anno 2012 Swiss Post International non è più un segmento a sé stante. Dal 1o gennaio 2012 i valori sono stati trasferiti alle unità PostMail e PostLogistics.</t>
  </si>
  <si>
    <t>2) Valeurs de l'exercice précédent ajustées.</t>
  </si>
  <si>
    <t>2) Valori dell'anno precedente adattati.</t>
  </si>
  <si>
    <t>3) Le operazioni passive comprendono l'accettazione di depositi della clientela.</t>
  </si>
  <si>
    <t>5) Transport régional de voyageurs selon la loi sur les chemins de fer; part de marché absolue: chiffre d'affaires de CarPostal par rapport au chiffre d'affaires du marché.</t>
  </si>
  <si>
    <t>5) Traffico regionale viaggiatori in base alla Legge sulle ferrovie, quota di mercato assoluta, ovvero volume d'affari di AutoPostale sul volume di mercato (fatturato)</t>
  </si>
  <si>
    <t>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t>
  </si>
  <si>
    <t>7) Dal 2014 i volumi TNT non sono più considerati nel calcolo della quota di mercato, in modo che quest'ultima coincida con i volumi presentati. Quale valore di confronto si presenta inoltra il 2013. I valori dal 2005 al 2012 non sono confrontabili.</t>
  </si>
  <si>
    <t>8) Depuis le 1er janvier 2016, la part de marché des opérations passives de PostFinance n'est plus relevée.</t>
  </si>
  <si>
    <t>3) Dall'anno 2012 Swiss Post International non è più un segmento a sé stante. Dal 1o gennaio 2012 le attività sono state trasferite alle unità PostMail e PostLogistics. I dati continuano a essere rilevati.</t>
  </si>
  <si>
    <t>4) Depuis 2010, Swiss-Express et clients commerciaux uniquement; jusqu'en 2009, envois express (Swiss-Express «Lune»).</t>
  </si>
  <si>
    <t>2) Poste CH SA sans les sociétés du groupe en Suisse et à l'étranger.</t>
  </si>
  <si>
    <t>2) Posta CH SA senza le società del gruppo in Svizzera e all'estero</t>
  </si>
  <si>
    <t>5) Pour le rapport de l'exercice 2013, les chiffres correspondants ont été corrigés rétroactivement jusqu'en 2010, car Presto Presse-Vertriebs AG figurait jusqu'alors sous CCT Auxiliaires.</t>
  </si>
  <si>
    <t>5) In occasione del rapporto per l'anno 2013 le cifre corrispondenti sono state corrette retroattivamente fino al 2010 in quanto Presto Presse-Vertriebs AG figurava nel CCL per personale ausiliario fino a tale data.</t>
  </si>
  <si>
    <t>1) La satisfaction des clients vis-à-vis des prestations de la Poste est mesurée chaque année au moyen d'une enquête ad hoc, dont les résultats sont présentés sous la forme d'indices.</t>
  </si>
  <si>
    <t>1) The customer satisfaction survey rates customers' satisfaction with Swiss Post services on an annual basis. The results are presented as an index figure.</t>
  </si>
  <si>
    <t>2) Le tirage au sort de l'échantillon ayant été modifié; les résultats de 2015 ne peuvent donc pas être comparés avec ceux des années précédentes.</t>
  </si>
  <si>
    <t>3) Poste CH SA sans les sociétés du groupe en Suisse et à l'étranger.</t>
  </si>
  <si>
    <t>3) Posta CH SA senza le società del gruppo in Svizzera e all'estero.</t>
  </si>
  <si>
    <t>4) La satisfaction des clients de l'unité du groupe PostLogistics a été mesurée pour la première fois en 2007; les valeurs des années précédentes sont celles de l'ancienne unité PosteColis.</t>
  </si>
  <si>
    <t>4) La soddisfazione della clientela nei confronti dell'unità del gruppo PostLogistics è stata misurata per la prima volta nel 2007; i valori degli anni precedenti si riferiscono alla vecchia unità PostaPacchi.</t>
  </si>
  <si>
    <t>5)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t>
  </si>
  <si>
    <t>5)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</si>
  <si>
    <t>Lohnspanne</t>
  </si>
  <si>
    <t>Ecart salarial</t>
  </si>
  <si>
    <t>Fascia salariale</t>
  </si>
  <si>
    <t>Salary range</t>
  </si>
  <si>
    <t>5, 6</t>
  </si>
  <si>
    <t>2) ohne VR-Präsident</t>
  </si>
  <si>
    <t>2) sans le président/la présidente</t>
  </si>
  <si>
    <t>2) Presidente escluso</t>
  </si>
  <si>
    <t>2) excluding Chairman</t>
  </si>
  <si>
    <t>4) ohne Konzernleiter/-in</t>
  </si>
  <si>
    <t>4) sans le directeur général/la directrice générale</t>
  </si>
  <si>
    <t>4) direttore/direttrice escluso/a</t>
  </si>
  <si>
    <t>4) excluding CEO</t>
  </si>
  <si>
    <t>3) 2012: Jürg Bucher 8 Monate, Susanne Ruoff 7 Monate, annualisiert CHF 847'581</t>
  </si>
  <si>
    <t>3) 2012: Jürg Bucher 8 mois, Susanne Ruoff 7 mois, annualisation CHF 847'581.</t>
  </si>
  <si>
    <t>3) 2012: Jürg Bucher otto mesi, Susanne Ruoff sette mesi, annualizzato CHF 847'581.</t>
  </si>
  <si>
    <t>3) 2012: Jürg Bucher 8 months, Susanne Ruoff 7 months, annualized CHF 847,581</t>
  </si>
  <si>
    <t>6) Durchschnittslohn ohne Konzernleitung und Verwaltungsrat</t>
  </si>
  <si>
    <t>6) Salaire moyen sans Direction du groupe et Conseil d'administration</t>
  </si>
  <si>
    <t>6) Salario medio senza Direzione del gruppo e Consiglio di amministrazione.</t>
  </si>
  <si>
    <t>6) Average salary excluding Executive Management and the Board of Directors.</t>
  </si>
  <si>
    <t>7) Minimallohn nach Gesamtarbeitsvertrag Post für einen 18 Jahre alten Mitarbeitenden ohne abgeschlossene Berufslehre</t>
  </si>
  <si>
    <t>7) Salaire minimal selon la CCT Poste pour un collaborateur de 18 ans n'ayant pas suivi d'apprentissage.</t>
  </si>
  <si>
    <t>7) Salario minimo secondo il Contratto collettivo di lavoro Posta per un collaboratore di 18 anni, senza apprendistato professionale concluso.</t>
  </si>
  <si>
    <t>7) Minimum salary under the Swiss Post collective employment contract for an 18-year-old employee who has not completed vocational training.</t>
  </si>
  <si>
    <t>8) Durchschnittliche Entschädigung Konzernleitungsmitglieder zu Durchschnittslohn Mitarbeitende.</t>
  </si>
  <si>
    <t>8) Indemnités moyennes des membres de la Direction du groupe par rapport au salaire moyen du personnel.</t>
  </si>
  <si>
    <t>8) Indennità medie dei membri della Direzione del gruppo rispetto al salario medio dei collaboratori.</t>
  </si>
  <si>
    <t>8) Average remuneration for members of Executive Management to average salary for employees.</t>
  </si>
  <si>
    <t>Durchschnittliche Entschädigung an Verwaltungsratsmitglieder</t>
  </si>
  <si>
    <t>Indemnités moyennes versées aux membres du Conseil d'administration</t>
  </si>
  <si>
    <t>Indemnités moyennes versées aux membres de la Direction du groupe</t>
  </si>
  <si>
    <t>Durchschnittliche Entschädigung an Konzernleitungsmitglieder</t>
  </si>
  <si>
    <t>Indennità media ai membri della Direzione del gruppo</t>
  </si>
  <si>
    <t>Average remuneration paid to members of Executive Management</t>
  </si>
  <si>
    <t>Average remuneration paid to members of the Board of Directors</t>
  </si>
  <si>
    <t>Indennità media ai membri del Consiglio d'amministrazione</t>
  </si>
  <si>
    <t>Strom (innerhalb der Post)</t>
  </si>
  <si>
    <t>erneuerbarer Anteil Strom (innerhalb der Post)</t>
  </si>
  <si>
    <t>Strom (ausserhalb der Post)</t>
  </si>
  <si>
    <t>Electricité (au sein de la Poste)</t>
  </si>
  <si>
    <t>Part d'électricité renouvelable (au sein de la Poste)</t>
  </si>
  <si>
    <t>Electricité (en dehors de la Poste)</t>
  </si>
  <si>
    <t>Energia elettrica (all'interno della Posta)</t>
  </si>
  <si>
    <t>quota energia elettrica da fonti rinnovabili (all'interno della Posta)</t>
  </si>
  <si>
    <t>Energia elettrica (al di fuori della Posta)</t>
  </si>
  <si>
    <t>Electricity (within Swiss Post)</t>
  </si>
  <si>
    <t>Renewable percentage of electricity (within Swiss Post)</t>
  </si>
  <si>
    <t>Electricity (outside Swiss Post)</t>
  </si>
  <si>
    <t>GWh</t>
  </si>
  <si>
    <t>Kennzahlen zur Jahresberichterstattung 2017</t>
  </si>
  <si>
    <t>Chiffres clés du rapport annuel 2017</t>
  </si>
  <si>
    <t>Cifre chiave del rendiconto annuale 2017</t>
  </si>
  <si>
    <t>Key figures for the annual reporting 2017</t>
  </si>
  <si>
    <t>Laufzeiten postalischer Dienstleistungen</t>
  </si>
  <si>
    <t>Verarbeitungszeiten von Finanzdienstleistungen</t>
  </si>
  <si>
    <t>Wartezeiten in Filialen</t>
  </si>
  <si>
    <t>Preisvergleich postalischer Dienstleistungen</t>
  </si>
  <si>
    <t>Briefpostindex wechselkursbereinigt</t>
  </si>
  <si>
    <t>Dänemark</t>
  </si>
  <si>
    <t>Norwegen</t>
  </si>
  <si>
    <t>Finnland</t>
  </si>
  <si>
    <t>Niederlande</t>
  </si>
  <si>
    <t>Belgien</t>
  </si>
  <si>
    <t>Österreich</t>
  </si>
  <si>
    <t>Schweden</t>
  </si>
  <si>
    <t>Irland</t>
  </si>
  <si>
    <t>Grossbritanien</t>
  </si>
  <si>
    <t>Briefpostindex kaufkraftbereinigt</t>
  </si>
  <si>
    <t>Paketpostindex wechselkursbereinigt</t>
  </si>
  <si>
    <t>Paketpostindex kaufkraftbereinigt</t>
  </si>
  <si>
    <t>3) Vorjahreswerte teilweise angepasst.</t>
  </si>
  <si>
    <t>Comparaison des prix des services postaux</t>
  </si>
  <si>
    <t>Temps d'attente dans les filiales</t>
  </si>
  <si>
    <t>Délais de traitement des services financiers</t>
  </si>
  <si>
    <t>Autriche</t>
  </si>
  <si>
    <t>Austria</t>
  </si>
  <si>
    <t>Belgique</t>
  </si>
  <si>
    <t>Belgio</t>
  </si>
  <si>
    <t>Belgium</t>
  </si>
  <si>
    <t>Danemark</t>
  </si>
  <si>
    <t>Danimarca</t>
  </si>
  <si>
    <t>Denmark</t>
  </si>
  <si>
    <t>Finlande</t>
  </si>
  <si>
    <t>Finlandia</t>
  </si>
  <si>
    <t>Finland</t>
  </si>
  <si>
    <t>Royaume-Uni</t>
  </si>
  <si>
    <t>Gran Bretagna</t>
  </si>
  <si>
    <t>United Kingdom</t>
  </si>
  <si>
    <t>Irlande</t>
  </si>
  <si>
    <t>Irlanda</t>
  </si>
  <si>
    <t>Ireland</t>
  </si>
  <si>
    <t>Pays-Bas</t>
  </si>
  <si>
    <t>Paesi Bassi</t>
  </si>
  <si>
    <t>Netherlands</t>
  </si>
  <si>
    <t>Norvège</t>
  </si>
  <si>
    <t>Norvegia</t>
  </si>
  <si>
    <t>Norway</t>
  </si>
  <si>
    <t>Suède</t>
  </si>
  <si>
    <t>Svezia</t>
  </si>
  <si>
    <t>Sweden</t>
  </si>
  <si>
    <t>Indice du prix des lettres corrigé du taux de change</t>
  </si>
  <si>
    <t>Indice du prix des colis corrigé du taux de change</t>
  </si>
  <si>
    <t>Indice della posta-lettere rettificato in base al corso di cambio</t>
  </si>
  <si>
    <t>Indice della posta-pacchi rettificato in base al corso del cambio</t>
  </si>
  <si>
    <t>Letter post index adjusted for exchange rate</t>
  </si>
  <si>
    <t>Letter post index adjusted for purchasing power</t>
  </si>
  <si>
    <t>Parcel post index adjusted for exchange rate</t>
  </si>
  <si>
    <t>Parcel post index adjusted for purchasing power</t>
  </si>
  <si>
    <t>Confronto dei prezzi dei servizi postali</t>
  </si>
  <si>
    <t>Tempi di consegna per i servizi postali</t>
  </si>
  <si>
    <t>Tempi di attesa nelle filiali</t>
  </si>
  <si>
    <t>Tempi di trattamento dei servizi finanziari</t>
  </si>
  <si>
    <t>Price comparison of postal services</t>
  </si>
  <si>
    <t>Delivery times of postal services</t>
  </si>
  <si>
    <t>Queuing times in branches</t>
  </si>
  <si>
    <t>Processing times of financial services</t>
  </si>
  <si>
    <t>3) Previous year figures partly adjusted.</t>
  </si>
  <si>
    <t>Posta A</t>
  </si>
  <si>
    <t>Posta B</t>
  </si>
  <si>
    <t>PostPac PRIORITY</t>
  </si>
  <si>
    <t>PostPac ECONOMY</t>
  </si>
  <si>
    <t>A-Post</t>
  </si>
  <si>
    <t>B-Post</t>
  </si>
  <si>
    <t>PostPac Priority</t>
  </si>
  <si>
    <t>PostPac Economy</t>
  </si>
  <si>
    <t>1) Rechtzeitig beim Empfänger bedeutet bei der A-Post (Priority) am Folgetag und bei der B-Post (Economy) spätestens am dritten Arbeitstag nach Aufgabe.</t>
  </si>
  <si>
    <t>1) Distribué dans les délais au destinataire signifie, pour le courrier A (Priority), le jour ouvrable suivant le dépôt et, pour le courrier B (Economy), au plus tard trois jours ouvrables après le dépôt.</t>
  </si>
  <si>
    <t>Courrier A</t>
  </si>
  <si>
    <t>Courrier B</t>
  </si>
  <si>
    <t>Colis domestiques distribués dans les délais au destinataire</t>
  </si>
  <si>
    <t>Lettres domestiques distribués dans les délais au destinataire</t>
  </si>
  <si>
    <t>Rechtzeitig beim Empfänger ankommende Briefe Inland</t>
  </si>
  <si>
    <t>Rechtzeitig beim Empfänger ankommende Pakete Inland</t>
  </si>
  <si>
    <t>Consegna puntuale dei pacchi domestici al destinatario</t>
  </si>
  <si>
    <t>Consegna puntuale dei lettere domestici al destinatario</t>
  </si>
  <si>
    <t>A Mail</t>
  </si>
  <si>
    <t>B Mail</t>
  </si>
  <si>
    <t>Domestic letters delivered punctually to the recipient</t>
  </si>
  <si>
    <t>Domestic parcels delivered punctually to the recipient</t>
  </si>
  <si>
    <t>1) Punctual delivery means the next day for A Mail (Priority) and no later than the third working day after mailing for B Mail (Economy).</t>
  </si>
  <si>
    <t>Waiting times at the counter until served</t>
  </si>
  <si>
    <t>Proportion of customers waiting up to 7 minutes</t>
  </si>
  <si>
    <t>Proportion of customers waiting up to 10 minutes</t>
  </si>
  <si>
    <t>Wartezeiten am Schalter bis zur Bedienung</t>
  </si>
  <si>
    <t>Anteil der Kundinnen und Kunden, die bis 10 Minuten warten</t>
  </si>
  <si>
    <t>Anteil der Kundinnen und Kunden, die bis 7 Minuten warten</t>
  </si>
  <si>
    <t>Part de clients qui attendent moins de 7 minutes</t>
  </si>
  <si>
    <t>Part de clients qui attendent moins de 10 minutes</t>
  </si>
  <si>
    <t>Tempi di attesa allo sportello prima di essere serviti</t>
  </si>
  <si>
    <t>Percentuale dei clienti che attendono fino a 7 minuti</t>
  </si>
  <si>
    <t>Percentuale dei clienti che attendono fino a 10 minuti</t>
  </si>
  <si>
    <t>Taggerechte Verarbeitung von Zahlungsbelegen aus Zahlungsaufträgen</t>
  </si>
  <si>
    <t>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t>
  </si>
  <si>
    <t>Taggerechte Verarbeitung von Zahlungsbelegen von Filialen</t>
  </si>
  <si>
    <t>Taggerechte Verarbeitung von Zahlungsbelegen von Filialen (SCHAPO)</t>
  </si>
  <si>
    <t>Traitement des justificatifs des ordres de paiement le jour prévu</t>
  </si>
  <si>
    <t>Traitement des justificatifs des filiales le jour prévu</t>
  </si>
  <si>
    <t>Traitement des justificatifs des filiales (SCHAPO) le jour prévu</t>
  </si>
  <si>
    <t>1) Trattamento puntuale: gli ordini di pagamento scritti vengono elaborati lo stesso giorno in cui giungono per posta a un Operations Center di PostFinance. I pagamenti effettuati a una filiale vengono elaborati il giorno lavorativo consecutivo al versamento alla filiale.</t>
  </si>
  <si>
    <t>Trattamento puntuale di ricevute di pagamento di filiali</t>
  </si>
  <si>
    <t>Trattamento puntuale di ricevute di ordini di pagamento</t>
  </si>
  <si>
    <t>Trattamento puntuale di ricevute di pagamento di filiali (SCHAPO)</t>
  </si>
  <si>
    <t>Timely processing of payment slips from payment orders</t>
  </si>
  <si>
    <t>Timely processing of payment slips at branches</t>
  </si>
  <si>
    <t>Timely processing of payment slips at branches (SCHAPO)</t>
  </si>
  <si>
    <t>Délais d'acheminement des services postaux</t>
  </si>
  <si>
    <t>Indice du prix des lettres en parité de pouvoir d'achat</t>
  </si>
  <si>
    <t>Indice della posta-lettere rettificato in base al potere d'acquisto</t>
  </si>
  <si>
    <t>Indice du prix des colis en parité de pouvoir d'achat</t>
  </si>
  <si>
    <t>Indice della posta-pacchi rettificato in base al potere d'acquisto</t>
  </si>
  <si>
    <t>Temps d'attente au guichet</t>
  </si>
  <si>
    <t>3) Valeurs de l'exercice précédent partiellement adaptées.</t>
  </si>
  <si>
    <t>3) Valori dell'anno precedente in parte adattati.</t>
  </si>
  <si>
    <t>1) Gli invii giungono al destinatario puntualmente quando vengono recapitati il giorno successivo nel caso della Posta A (Priority) o entro il terzo giorno lavorativo successivo all'impostazione nel caso della Posta B (Economy).</t>
  </si>
  <si>
    <t>1) Traitement le jour prévu: les ordres de paiement écrits sont traités le jour de leur réception par courrier dans l'un des Operations Centers de PostFinance. Les paiements effectués dans les filiales sont traités le jour ouvrable suivant le versement dans une filiale.</t>
  </si>
  <si>
    <t>1) Timely processing: Written payment orders are processed on the same day they arrive by post at one of PostFinance's Operations Centers. Payments at branches are processed one working day after the inpayment is made at a branch.</t>
  </si>
  <si>
    <t>2) Guarantees of origin for total electricity consumption within Swiss Post.</t>
  </si>
  <si>
    <t>3) Guarantees of origin for CNG consumption of goods transport and business travel within Swiss Post</t>
  </si>
  <si>
    <t>2) Garanzie di origine per il consumo totale di energia elettrica all'interno della Posta.</t>
  </si>
  <si>
    <t>3) Garanzie di origine per il consumo di GNC nel trasporto merci e i viaggio di lavoro all'interno della Posta.</t>
  </si>
  <si>
    <t>2) Garanties d'origine pour la consommation totale d'électricité au sein de La Poste Suisse.</t>
  </si>
  <si>
    <t>3) Garanties d'origine pour la consommation de GNC dans le transport de marchandises et les déplacements professionnels au sein de La Poste Suisse.</t>
  </si>
  <si>
    <t>2) Herkunftsnachweise für den gesamten Stromverbrauch innerhalb der Post</t>
  </si>
  <si>
    <t>3) Herkunftsnachweise den CNG-Verbrauch im Gütertransport und Geschäftsreiseverkehr innerhalb der Post</t>
  </si>
  <si>
    <t>Nitrogen oxide (NOx)</t>
  </si>
  <si>
    <t>Oxydes de soufre (SOx)</t>
  </si>
  <si>
    <t>Ossidi di zolfo (SOx)</t>
  </si>
  <si>
    <t>Sulphur oxides (SOx)</t>
  </si>
  <si>
    <t>Schwefeloxide (SOx)</t>
  </si>
  <si>
    <t>Engagements für die Schweiz</t>
  </si>
  <si>
    <t>Bearbeitete Vorgänge</t>
  </si>
  <si>
    <t>1, 8</t>
  </si>
  <si>
    <t>7) Konzern Schweiz</t>
  </si>
  <si>
    <t>7) Groupe Suisse</t>
  </si>
  <si>
    <t>7) Gruppo Svizzera</t>
  </si>
  <si>
    <t>7) Group in Switzerland.</t>
  </si>
  <si>
    <t>8) Neue Berechnungsgrundlage für 2007, Werte nicht vergleichbar mit Vorjahren</t>
  </si>
  <si>
    <t>8) Nouvelle base de calcul pour 2007; les valeurs ne peuvent pas comparées avec celles des exercices précédents.</t>
  </si>
  <si>
    <t>8) Nuove basi di calcolo per il 2007, valori non confrontabili con quelli degli anni precedenti</t>
  </si>
  <si>
    <t>8) New calculation basis for 2007, figures not comparable with prior years.</t>
  </si>
  <si>
    <t>6) Die Kennzahl „bearbeitete Vorgänge“ wurde bis im Jahr 2016 „geführte Telefonate“ benannt. Ab 2017 sind die geführten Telefonate Bestandteil der Kennzahl „bearbeitete Vorgänge“.</t>
  </si>
  <si>
    <t>1) Die Wartezeiten werden vom Geschäftsbereich PostNetz in 290 Filialen mit Hilfe des Ticketsystems erhoben.</t>
  </si>
  <si>
    <t>1) Ab 2017 werden bei den Geschäftskundenstellen auch die von PostMail und PostLogistics mitberücksichtigt.</t>
  </si>
  <si>
    <t>Laufbahnzentrum</t>
  </si>
  <si>
    <t>Individuelle Beratungen durch Laufbahnzentrum</t>
  </si>
  <si>
    <t>Nachgelagerte(r) Transport und Verteilung</t>
  </si>
  <si>
    <t>3)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</si>
  <si>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1)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</si>
  <si>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5)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</si>
  <si>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6)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</si>
  <si>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2)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</si>
  <si>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3) 2017 Deckungsgrad ungeprüft</t>
  </si>
  <si>
    <t>3) Degré de couverture non vérifié en 2017</t>
  </si>
  <si>
    <t>3) Grado di copertura non verificato in 2017</t>
  </si>
  <si>
    <t>3) In 2017 level of cover unaudited.</t>
  </si>
  <si>
    <t>Pendler</t>
  </si>
  <si>
    <t>1) Im ausgewiesenen Cashflow 2016, 2015, 2014, 2013 und 2012 werden die Veränderungen der Positionen aus Finanzdienstleistungen (PostFinance) berücksichtigt. Der Wert 2016 wurde angepasst.</t>
  </si>
  <si>
    <t>6) normaliserte Werte 2017, 2015 und 2013</t>
  </si>
  <si>
    <t>6) Valeurs normalisées 2017, 2015 et 2013</t>
  </si>
  <si>
    <t>6) Valori 2017, 2015 e 2013 normalizzati.</t>
  </si>
  <si>
    <t>6) Normalized figures for 2017, 2015 and 2013.</t>
  </si>
  <si>
    <r>
      <t>2017</t>
    </r>
    <r>
      <rPr>
        <b/>
        <vertAlign val="superscript"/>
        <sz val="10"/>
        <rFont val="Frutiger 45 Light"/>
        <family val="2"/>
      </rPr>
      <t>6)</t>
    </r>
  </si>
  <si>
    <r>
      <t>2017</t>
    </r>
    <r>
      <rPr>
        <b/>
        <vertAlign val="superscript"/>
        <sz val="10"/>
        <color theme="1"/>
        <rFont val="Frutiger 45 Light"/>
        <family val="2"/>
      </rPr>
      <t>6)</t>
    </r>
  </si>
  <si>
    <t>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2017). Schweiz = 100 (definitionsgemäss).</t>
  </si>
  <si>
    <t>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2017). Suisse = 100 (par définition).</t>
  </si>
  <si>
    <t>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2017). Svizzera = 100 (per definizione)</t>
  </si>
  <si>
    <t>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2017). Switzerland = 100 (by definition).</t>
  </si>
  <si>
    <t>2) Dem Paketpostindex liegen Pakete der Kategorien «PostPac Priority» und «PostPac Economy» der Gewichtsklassen 1 bis 20 kg zugrunde (ohne Zusatzleistungen). Er gewichtet die einzelnen Paketkategorien nach der Häufigkeit, mit der sie die Schweizer Konsumentinnen und Konsumenten verschicken. Für den Vergleich werden in den einzelnen Ländern die Preise des (ehemaligen) staatlichen Postunternehmens herangezogen (Stichtag: 1. November 2017). Schweiz = 100 (definitionsgemäss).</t>
  </si>
  <si>
    <t>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2017). Suisse = 100 (par définition).</t>
  </si>
  <si>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2017). Svizzera = 100 (per definizione)</t>
  </si>
  <si>
    <t>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2017). Switzerland = 100 (by definition).</t>
  </si>
  <si>
    <t>1) Die Werte ab 1.1.2016 entsprechen dem beschaffungsrelevanten Rechnungsvolumen mit externen Kreditoren (ohne Steuern, Zölle, SUVA, Pensionskasse, sonstige Vorsorge, öffentliche Gebühren, Durchlaufposten, CPD-Sammelkonten, usw.).</t>
  </si>
  <si>
    <t>6) Die Position «Übrige» beinhaltet den Gewinn aus Verkauf von Sachanlagen, den Ertrag aus assozierten Gesellschaften, den Finanzertrag und die latenten Steuern.</t>
  </si>
  <si>
    <t>6) Le poste «Autres» comprend le bénéfice de la vente d'immobilisations corporelles, les produits des sociétés associées, les produits financiers et les impôts latents.</t>
  </si>
  <si>
    <t>6) La voce «altro» comprende gli utili conseguiti dalla vendita di beni materiali, i ricavi derivanti dalle società associate, i ricavi finanziari e le imposte latenti.</t>
  </si>
  <si>
    <t>6) The item “Other” includes the balance from disposals of tangible fixed assets, income from associates, financial income and deferred taxes.</t>
  </si>
  <si>
    <t>7) Beantragte Gewinnverwendung der Post (siehe auch Geschäftsbericht Jahresabschluss Die Schweizerische Post AG)</t>
  </si>
  <si>
    <t>7) Proposition d'affectation des bénéfices de la Poste (voir aussi le rapport de gestion, comptes annuels de La Poste Suisse SA).</t>
  </si>
  <si>
    <t>7) Destinazione richiesta degli utili della Posta (vedi anche rapporto di gestione chiusura annuale La Posta Svizzera SA).</t>
  </si>
  <si>
    <t>7) Proposed appropriation of profit for Swiss Post (see also Swiss Post Ltd annual financial statements in Annual Report).</t>
  </si>
  <si>
    <t>im Ausland und grenzüberschreitend erwirtschaftet</t>
  </si>
  <si>
    <t>Generated abroad and crossborder</t>
  </si>
  <si>
    <t>conseguiti all’estero e zone transforntaliere</t>
  </si>
  <si>
    <t>réalisés à l’étranger et transfrontalier</t>
  </si>
  <si>
    <t>7) Ab 2014 werden die Mengen TNT nicht mehr in die Marktanteilsberechnung einbezogen, so dass dieser mit den ausgewiesenen Mengen übereinstimmen. Als Vergleichsgrösse wurde das Jahr 2013 zusätzlich aufbereitet. Die Werte 2005 bis 2012 sind nicht vergleichbar.</t>
  </si>
  <si>
    <t>Informations générales</t>
  </si>
  <si>
    <t>Cas traités</t>
  </si>
  <si>
    <t>Casi trattati (Customer Care)</t>
  </si>
  <si>
    <t>Cases handled</t>
  </si>
  <si>
    <t>1) Les cash-flows 2016, 2015, 2014, 2013 et 2012 tiennent compte des variations de postes des services financiers (PostFinance). La valeur du cash-flow 2016 a été ajustée.</t>
  </si>
  <si>
    <t>1) Il cash flow 2016, 2015, 2014, 2013 e 2012 presentato tiene ora conto delle variazioni delle voci relative ai servizi finanziari (PostFinance). I valori 2016 sono rettificati.</t>
  </si>
  <si>
    <t>1) The changes in the items from financial services (PostFinance) are reported in the cash flow statement for 2016, 2015, 2014, 2013 and 2012. The figure for 2016 has been adjusted.</t>
  </si>
  <si>
    <t>6) Changement d’intitulé du chiffre clé («Communications téléphoniques» jusqu’en 2016). Depuis 2017, le chiffre clé «Cas traités» englobe les communications téléphoniques.</t>
  </si>
  <si>
    <t>6) L’indice "casi trattati“ è stato denominato sino al 2016 "telefonate effettuate". Dal 2017 le telefonate effettuate sono parte integrante dell’indice "casi trattati".</t>
  </si>
  <si>
    <t>6) The key figure “Cases handled” was referred to as “Telephone calls” up to 2016. From 2017 the telephone calls are included in the figure “Cases handled”.</t>
  </si>
  <si>
    <t>3)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</si>
  <si>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3)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</si>
  <si>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3)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</si>
  <si>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</si>
  <si>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1)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</si>
  <si>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1)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</si>
  <si>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I valori dal 1o gennaio 2016 corrispondono al volume di fatturazione per gli acquisti con i clienti esterni (senza imposte, dazi doganali, SUVA, cassa pensioni, altra previdenza, tasse pubbliche, partite transitorie di giro, conti collettivi per conti occasionali ecc.).</t>
  </si>
  <si>
    <t>1) The figures from 1 January 2016 include procurement-related invoicing volumes with external creditors (excluding taxes, customs duties, SUVA, pension fund, other employee benefits, public fees, transitory items, CPD collective accounts, etc.).</t>
  </si>
  <si>
    <t>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t>
  </si>
  <si>
    <t>5)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</si>
  <si>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5)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</si>
  <si>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5)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</si>
  <si>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Engagements pour la Suisse</t>
  </si>
  <si>
    <t>Impegni per la Svizzera</t>
  </si>
  <si>
    <t>Commitments for Switzerland</t>
  </si>
  <si>
    <t>1) Y compris les points clientèle commerciale de PostMail et de PostLogistics à compter de 2017</t>
  </si>
  <si>
    <t>1) Dal 2017 nei punti clienti commerciali sono considerati anche quelli di PostMail e PostLogistics.</t>
  </si>
  <si>
    <t>From 2017 the PostMail and PostLogistics counters for business customers are also taken into consideration.</t>
  </si>
  <si>
    <t>6)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</si>
  <si>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6)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</si>
  <si>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6)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</si>
  <si>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Les temps d'attente sont relevés par l'unité RéseauPostal au moyen du système de tickets dans 290 filiales.</t>
  </si>
  <si>
    <t>1) I tempi di attesa sono rilevati dall'unità RetePostale in 290 filiali con l'ausilio del sistema ticket.</t>
  </si>
  <si>
    <t>1) The waiting times are compiled by the PostalNetwork business unit in 290 branches using data from the ticket system.</t>
  </si>
  <si>
    <t>Transport et distribution en aval</t>
  </si>
  <si>
    <t>Trasporto e smistamento a valle</t>
  </si>
  <si>
    <t>Downstream transport and distribution</t>
  </si>
  <si>
    <t>2)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</si>
  <si>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2)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</si>
  <si>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2)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</si>
  <si>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Centre de carrière</t>
  </si>
  <si>
    <t>Centro carriera</t>
  </si>
  <si>
    <t>Careers center</t>
  </si>
  <si>
    <t>Conseils individuels par le Centre de carrière</t>
  </si>
  <si>
    <t>Consulenze individuali del centro carriera</t>
  </si>
  <si>
    <t>Individual consultations by careers center</t>
  </si>
  <si>
    <t>Eingekaufte Herkunftsnachweise für zertifiziertes Biogas</t>
  </si>
  <si>
    <t>Achat de garanties d'origine pour le biogaz certifié</t>
  </si>
  <si>
    <t>Acquisto delle garanzie di origine per biogas certificato</t>
  </si>
  <si>
    <t>Purchased guarantees of origin for certified biogas</t>
  </si>
  <si>
    <t>Eingekaufte Herkunftsnachweise für Strom aus zertifizierten erneuerbaren Energien</t>
  </si>
  <si>
    <t>Achat de garanties d'origine pour l'électricité produite à partir de sources d'énergie renouvelables certifiées</t>
  </si>
  <si>
    <t>Acquisto delle garanzie di origine per l'elettricità prodotta da fonti energetiche rinnovabili certificate</t>
  </si>
  <si>
    <t>Purchased guarantees of origin for electricity from certified renewable energy sources</t>
  </si>
  <si>
    <t>Eingekaufte Herkunftsnachweise für zertifizierten Ökostrom</t>
  </si>
  <si>
    <t>Achat de garanties d'origine pour l'électricité verte certifiée</t>
  </si>
  <si>
    <t>Acquisto delle garanzie di origine per l'elettricità verde certificata</t>
  </si>
  <si>
    <t>Purchased guarantees of origin for certified green electricity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</si>
</sst>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 #,##0_ ;_ * \-#,##0_ ;_ * &quot;-&quot;??_ ;_ @_ "/>
    <numFmt numFmtId="165" formatCode="0.0"/>
    <numFmt numFmtId="166" formatCode="_ * #,##0.0_ ;_ * \-#,##0.0_ ;_ * &quot;-&quot;??_ ;_ @_ "/>
    <numFmt numFmtId="167" formatCode="#,##0.0"/>
  </numFmts>
  <fonts count="49" x14ac:knownFonts="1">
    <font>
      <sz val="10"/>
      <color theme="1"/>
      <name val="Frutiger 45 Light"/>
      <family val="2"/>
    </font>
    <font>
      <sz val="10"/>
      <color theme="1"/>
      <name val="Frutiger 45 Light"/>
      <family val="2"/>
    </font>
    <font>
      <b/>
      <sz val="10"/>
      <color theme="0"/>
      <name val="Frutiger 45 Light"/>
      <family val="2"/>
    </font>
    <font>
      <b/>
      <sz val="10"/>
      <color theme="1"/>
      <name val="Frutiger 45 Light"/>
      <family val="2"/>
    </font>
    <font>
      <sz val="10"/>
      <color theme="0"/>
      <name val="Frutiger 45 Light"/>
      <family val="2"/>
    </font>
    <font>
      <sz val="16"/>
      <color theme="1"/>
      <name val="Frutiger 45 Light"/>
      <family val="2"/>
    </font>
    <font>
      <b/>
      <sz val="16"/>
      <color theme="1"/>
      <name val="Frutiger 45 Light"/>
      <family val="2"/>
    </font>
    <font>
      <b/>
      <sz val="16"/>
      <color theme="0"/>
      <name val="Frutiger 45 Light"/>
      <family val="2"/>
    </font>
    <font>
      <sz val="16"/>
      <color theme="0"/>
      <name val="Frutiger 45 Light"/>
      <family val="2"/>
    </font>
    <font>
      <u/>
      <sz val="10"/>
      <color theme="10"/>
      <name val="Frutiger 45 Light"/>
      <family val="2"/>
    </font>
    <font>
      <b/>
      <sz val="9"/>
      <color theme="0"/>
      <name val="Frutiger 45 Light"/>
      <family val="2"/>
    </font>
    <font>
      <sz val="9"/>
      <color theme="0"/>
      <name val="Frutiger 45 Light"/>
      <family val="2"/>
    </font>
    <font>
      <b/>
      <sz val="10"/>
      <name val="Frutiger 45 Light"/>
      <family val="2"/>
    </font>
    <font>
      <b/>
      <vertAlign val="superscript"/>
      <sz val="10"/>
      <name val="Frutiger 45 Light"/>
      <family val="2"/>
    </font>
    <font>
      <sz val="10"/>
      <name val="Frutiger 45 Light"/>
      <family val="2"/>
    </font>
    <font>
      <vertAlign val="superscript"/>
      <sz val="10"/>
      <name val="Frutiger 45 Light"/>
      <family val="2"/>
    </font>
    <font>
      <sz val="10"/>
      <color indexed="8"/>
      <name val="Frutiger 45 Light"/>
      <family val="2"/>
    </font>
    <font>
      <b/>
      <sz val="10"/>
      <color rgb="FFC00000"/>
      <name val="Frutiger 45 Light"/>
      <family val="2"/>
    </font>
    <font>
      <sz val="10"/>
      <color theme="10"/>
      <name val="Frutiger 45 Light"/>
      <family val="2"/>
    </font>
    <font>
      <sz val="8"/>
      <color theme="1"/>
      <name val="Frutiger 45 Light"/>
      <family val="2"/>
    </font>
    <font>
      <sz val="8"/>
      <name val="Frutiger 45 Light"/>
      <family val="2"/>
    </font>
    <font>
      <b/>
      <sz val="16"/>
      <name val="Frutiger 45 Light"/>
      <family val="2"/>
    </font>
    <font>
      <sz val="16"/>
      <name val="Frutiger 45 Light"/>
      <family val="2"/>
    </font>
    <font>
      <b/>
      <strike/>
      <sz val="10"/>
      <name val="Frutiger 45 Light"/>
      <family val="2"/>
    </font>
    <font>
      <strike/>
      <sz val="10"/>
      <name val="Frutiger 45 Light"/>
      <family val="2"/>
    </font>
    <font>
      <vertAlign val="subscript"/>
      <sz val="10"/>
      <color theme="1"/>
      <name val="Frutiger 45 Light"/>
      <family val="2"/>
    </font>
    <font>
      <b/>
      <sz val="10"/>
      <color theme="1"/>
      <name val="Wingdings 3"/>
      <family val="1"/>
      <charset val="2"/>
    </font>
    <font>
      <b/>
      <sz val="10"/>
      <name val="Wingdings 3"/>
      <family val="1"/>
      <charset val="2"/>
    </font>
    <font>
      <u/>
      <sz val="10"/>
      <color theme="10"/>
      <name val="Wingdings 3"/>
      <family val="1"/>
      <charset val="2"/>
    </font>
    <font>
      <u/>
      <sz val="10"/>
      <name val="Wingdings 3"/>
      <family val="1"/>
      <charset val="2"/>
    </font>
    <font>
      <sz val="10"/>
      <name val="Wingdings 3"/>
      <family val="1"/>
      <charset val="2"/>
    </font>
    <font>
      <b/>
      <sz val="16"/>
      <name val="Wingdings 3"/>
      <family val="1"/>
      <charset val="2"/>
    </font>
    <font>
      <sz val="16"/>
      <name val="Wingdings 3"/>
      <family val="1"/>
      <charset val="2"/>
    </font>
    <font>
      <b/>
      <u/>
      <sz val="16"/>
      <name val="Wingdings 3"/>
      <family val="1"/>
      <charset val="2"/>
    </font>
    <font>
      <u/>
      <sz val="16"/>
      <name val="Wingdings 3"/>
      <family val="1"/>
      <charset val="2"/>
    </font>
    <font>
      <b/>
      <u/>
      <sz val="10"/>
      <name val="Wingdings 3"/>
      <family val="1"/>
      <charset val="2"/>
    </font>
    <font>
      <b/>
      <sz val="16"/>
      <color theme="1"/>
      <name val="Wingdings 3"/>
      <family val="1"/>
      <charset val="2"/>
    </font>
    <font>
      <sz val="16"/>
      <color theme="1"/>
      <name val="Wingdings 3"/>
      <family val="1"/>
      <charset val="2"/>
    </font>
    <font>
      <sz val="10"/>
      <color theme="1"/>
      <name val="Wingdings 3"/>
      <family val="1"/>
      <charset val="2"/>
    </font>
    <font>
      <b/>
      <u/>
      <sz val="10"/>
      <color theme="10"/>
      <name val="Frutiger 45 Light"/>
      <family val="2"/>
    </font>
    <font>
      <b/>
      <sz val="11"/>
      <color theme="10"/>
      <name val="Frutiger 45 Light"/>
      <family val="2"/>
    </font>
    <font>
      <b/>
      <sz val="11"/>
      <name val="Frutiger 45 Light"/>
      <family val="2"/>
    </font>
    <font>
      <b/>
      <sz val="11"/>
      <color theme="0"/>
      <name val="Frutiger 45 Light"/>
      <family val="2"/>
    </font>
    <font>
      <sz val="9"/>
      <name val="Frutiger 45 Light"/>
      <family val="2"/>
    </font>
    <font>
      <sz val="8"/>
      <color theme="1"/>
      <name val="Wingdings 3"/>
      <family val="1"/>
      <charset val="2"/>
    </font>
    <font>
      <sz val="8"/>
      <color theme="1"/>
      <name val="Frutiger 45 Light"/>
      <family val="2"/>
      <scheme val="major"/>
    </font>
    <font>
      <sz val="8"/>
      <name val="Frutiger 45 Light"/>
      <family val="2"/>
      <scheme val="major"/>
    </font>
    <font>
      <sz val="11"/>
      <color theme="1"/>
      <name val="Frutiger 45 Light"/>
      <family val="2"/>
    </font>
    <font>
      <b/>
      <vertAlign val="superscript"/>
      <sz val="10"/>
      <color theme="1"/>
      <name val="Frutiger 45 Light"/>
      <family val="2"/>
    </font>
  </fonts>
  <fills count="7">
    <fill>
      <patternFill patternType="none"/>
    </fill>
    <fill>
      <patternFill patternType="gray125"/>
    </fill>
    <fill>
      <patternFill patternType="solid">
        <fgColor rgb="FF004976"/>
        <bgColor indexed="64"/>
      </patternFill>
    </fill>
    <fill>
      <patternFill patternType="solid">
        <fgColor rgb="FF99D5D2"/>
        <bgColor indexed="64"/>
      </patternFill>
    </fill>
    <fill>
      <patternFill patternType="solid">
        <fgColor rgb="FFD8AAAC"/>
        <bgColor indexed="64"/>
      </patternFill>
    </fill>
    <fill>
      <patternFill patternType="solid">
        <fgColor rgb="FF99B6C8"/>
        <bgColor indexed="64"/>
      </patternFill>
    </fill>
    <fill>
      <patternFill patternType="solid">
        <fgColor rgb="FFBAADC9"/>
        <bgColor indexed="64"/>
      </patternFill>
    </fill>
  </fills>
  <borders count="4">
    <border>
      <left/>
      <right/>
      <top/>
      <bottom/>
      <diagonal/>
    </border>
    <border>
      <left style="thin">
        <color theme="0"/>
      </left>
      <right/>
      <top/>
      <bottom/>
      <diagonal/>
    </border>
    <border>
      <left style="thin">
        <color auto="1"/>
      </left>
      <right/>
      <top/>
      <bottom/>
      <diagonal/>
    </border>
    <border>
      <left/>
      <right style="thin">
        <color auto="1"/>
      </right>
      <top/>
      <bottom/>
      <diagonal/>
    </border>
  </borders>
  <cellStyleXfs count="6">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4" fillId="0" borderId="0"/>
    <xf numFmtId="9" fontId="1" fillId="0" borderId="0" applyFont="0" applyFill="0" applyBorder="0" applyAlignment="0" applyProtection="0"/>
    <xf numFmtId="0" fontId="14" fillId="0" borderId="0"/>
  </cellStyleXfs>
  <cellXfs count="398">
    <xf numFmtId="0" fontId="0" fillId="0" borderId="0" xfId="0"/>
    <xf numFmtId="0" fontId="0" fillId="0" borderId="0" xfId="0" applyFont="1" applyProtection="1">
      <protection hidden="1"/>
    </xf>
    <xf numFmtId="0" fontId="12" fillId="0" borderId="0" xfId="0" applyFont="1" applyFill="1" applyAlignment="1" applyProtection="1">
      <protection hidden="1"/>
    </xf>
    <xf numFmtId="0" fontId="18" fillId="0" borderId="0" xfId="2" applyFont="1" applyFill="1" applyAlignment="1" applyProtection="1">
      <alignment horizontal="left"/>
      <protection hidden="1"/>
    </xf>
    <xf numFmtId="0" fontId="14" fillId="0" borderId="0" xfId="0" applyFont="1" applyFill="1" applyAlignment="1" applyProtection="1">
      <alignment horizontal="left"/>
      <protection hidden="1"/>
    </xf>
    <xf numFmtId="0" fontId="18" fillId="0" borderId="0" xfId="2" applyFont="1" applyProtection="1">
      <protection hidden="1"/>
    </xf>
    <xf numFmtId="0" fontId="3" fillId="0" borderId="0" xfId="0" applyFont="1" applyFill="1" applyProtection="1">
      <protection hidden="1"/>
    </xf>
    <xf numFmtId="0" fontId="12" fillId="0" borderId="0" xfId="0" applyFont="1" applyFill="1" applyAlignment="1" applyProtection="1">
      <alignment horizontal="right"/>
      <protection hidden="1"/>
    </xf>
    <xf numFmtId="0" fontId="12" fillId="0" borderId="0" xfId="0" applyFont="1" applyFill="1" applyProtection="1">
      <protection hidden="1"/>
    </xf>
    <xf numFmtId="0" fontId="0" fillId="0" borderId="0" xfId="0" applyFont="1" applyFill="1" applyProtection="1">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right"/>
      <protection hidden="1"/>
    </xf>
    <xf numFmtId="0" fontId="9" fillId="0" borderId="0" xfId="2" applyFont="1" applyFill="1" applyAlignment="1" applyProtection="1">
      <alignment horizontal="right"/>
      <protection hidden="1"/>
    </xf>
    <xf numFmtId="0" fontId="14" fillId="0" borderId="0" xfId="0" applyFont="1" applyFill="1" applyAlignment="1" applyProtection="1">
      <alignment horizontal="right"/>
      <protection hidden="1"/>
    </xf>
    <xf numFmtId="3" fontId="14" fillId="0" borderId="0" xfId="0" applyNumberFormat="1" applyFont="1" applyFill="1" applyAlignment="1" applyProtection="1">
      <alignment horizontal="right"/>
      <protection hidden="1"/>
    </xf>
    <xf numFmtId="0" fontId="0" fillId="0" borderId="0" xfId="0" applyFont="1" applyFill="1" applyAlignment="1" applyProtection="1">
      <alignment horizontal="left" indent="1"/>
      <protection hidden="1"/>
    </xf>
    <xf numFmtId="165" fontId="14" fillId="0" borderId="0" xfId="0" applyNumberFormat="1" applyFont="1" applyFill="1" applyAlignment="1" applyProtection="1">
      <alignment horizontal="right"/>
      <protection hidden="1"/>
    </xf>
    <xf numFmtId="3" fontId="0" fillId="0" borderId="0" xfId="0" applyNumberFormat="1" applyFont="1" applyFill="1" applyAlignment="1" applyProtection="1">
      <alignment horizontal="right"/>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0" fontId="14" fillId="0" borderId="0" xfId="0" applyNumberFormat="1" applyFont="1" applyFill="1" applyAlignment="1" applyProtection="1">
      <alignment horizontal="right"/>
      <protection hidden="1"/>
    </xf>
    <xf numFmtId="0" fontId="19" fillId="0" borderId="0" xfId="0" applyFont="1" applyProtection="1">
      <protection hidden="1"/>
    </xf>
    <xf numFmtId="0" fontId="20"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wrapText="1"/>
      <protection hidden="1"/>
    </xf>
    <xf numFmtId="0" fontId="20" fillId="0" borderId="0" xfId="0" applyFont="1" applyFill="1" applyAlignment="1" applyProtection="1">
      <alignment horizontal="left" vertical="top"/>
      <protection hidden="1"/>
    </xf>
    <xf numFmtId="0" fontId="20" fillId="0" borderId="0" xfId="0" applyFont="1" applyFill="1" applyAlignment="1" applyProtection="1">
      <alignment horizontal="left" vertical="top" wrapText="1"/>
      <protection hidden="1"/>
    </xf>
    <xf numFmtId="0" fontId="20" fillId="0" borderId="0" xfId="0" applyFont="1" applyFill="1" applyAlignment="1" applyProtection="1">
      <alignment horizontal="left"/>
      <protection hidden="1"/>
    </xf>
    <xf numFmtId="0" fontId="12" fillId="0" borderId="0" xfId="0" applyFont="1" applyFill="1" applyAlignment="1" applyProtection="1">
      <alignment wrapText="1"/>
      <protection hidden="1"/>
    </xf>
    <xf numFmtId="0" fontId="14" fillId="0" borderId="0" xfId="0" applyFont="1" applyFill="1" applyAlignment="1" applyProtection="1">
      <alignment wrapText="1"/>
      <protection hidden="1"/>
    </xf>
    <xf numFmtId="0" fontId="17" fillId="0" borderId="0" xfId="0" applyFont="1" applyFill="1" applyAlignment="1" applyProtection="1">
      <protection hidden="1"/>
    </xf>
    <xf numFmtId="0" fontId="0" fillId="0" borderId="0" xfId="0" applyFont="1" applyAlignment="1" applyProtection="1">
      <protection hidden="1"/>
    </xf>
    <xf numFmtId="0" fontId="3" fillId="0" borderId="0" xfId="0" applyFont="1" applyProtection="1">
      <protection hidden="1"/>
    </xf>
    <xf numFmtId="0" fontId="0" fillId="0" borderId="0" xfId="0" applyFont="1" applyAlignment="1" applyProtection="1">
      <alignment horizontal="left"/>
      <protection hidden="1"/>
    </xf>
    <xf numFmtId="0" fontId="3" fillId="0" borderId="0" xfId="0" applyFont="1" applyAlignment="1" applyProtection="1">
      <alignment wrapText="1"/>
      <protection hidden="1"/>
    </xf>
    <xf numFmtId="0" fontId="14" fillId="0" borderId="0" xfId="0" applyFont="1" applyFill="1"/>
    <xf numFmtId="0" fontId="0" fillId="0" borderId="0" xfId="0" applyFont="1" applyFill="1" applyAlignment="1" applyProtection="1">
      <alignment horizontal="left" indent="2"/>
      <protection hidden="1"/>
    </xf>
    <xf numFmtId="0" fontId="0" fillId="0" borderId="0" xfId="0" applyFont="1" applyAlignment="1" applyProtection="1">
      <alignment horizontal="left" indent="1"/>
      <protection hidden="1"/>
    </xf>
    <xf numFmtId="0" fontId="0"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3" fillId="0" borderId="0" xfId="0" applyFont="1" applyAlignment="1" applyProtection="1">
      <alignment horizontal="right"/>
      <protection hidden="1"/>
    </xf>
    <xf numFmtId="0" fontId="3" fillId="0" borderId="0" xfId="0" applyFont="1" applyFill="1" applyAlignment="1" applyProtection="1">
      <alignment horizontal="right"/>
      <protection hidden="1"/>
    </xf>
    <xf numFmtId="0" fontId="20" fillId="0" borderId="0" xfId="0" applyFont="1" applyFill="1" applyBorder="1" applyAlignment="1" applyProtection="1">
      <alignment horizontal="right" vertical="top" wrapText="1"/>
      <protection hidden="1"/>
    </xf>
    <xf numFmtId="0" fontId="20" fillId="0" borderId="0" xfId="0" applyFont="1" applyFill="1" applyAlignment="1" applyProtection="1">
      <alignment horizontal="right" vertical="top" wrapText="1"/>
      <protection hidden="1"/>
    </xf>
    <xf numFmtId="0" fontId="20" fillId="0" borderId="0" xfId="0" applyFont="1" applyFill="1" applyAlignment="1" applyProtection="1">
      <alignment horizontal="right"/>
      <protection hidden="1"/>
    </xf>
    <xf numFmtId="0" fontId="20" fillId="0" borderId="0" xfId="0" applyFont="1" applyFill="1" applyAlignment="1" applyProtection="1">
      <alignment horizontal="right" vertical="top"/>
      <protection hidden="1"/>
    </xf>
    <xf numFmtId="0" fontId="5" fillId="0" borderId="0" xfId="0" applyFont="1" applyAlignment="1" applyProtection="1">
      <alignment horizontal="right" vertical="center" indent="1"/>
      <protection hidden="1"/>
    </xf>
    <xf numFmtId="0" fontId="3" fillId="0" borderId="0" xfId="0" applyFont="1" applyAlignment="1" applyProtection="1">
      <alignment horizontal="right" indent="1"/>
      <protection hidden="1"/>
    </xf>
    <xf numFmtId="0" fontId="0" fillId="0" borderId="0" xfId="0" applyFont="1" applyAlignment="1" applyProtection="1">
      <alignment horizontal="right" indent="1"/>
      <protection hidden="1"/>
    </xf>
    <xf numFmtId="0" fontId="3" fillId="0" borderId="0" xfId="0" applyFont="1" applyFill="1" applyAlignment="1" applyProtection="1">
      <alignment horizontal="right" indent="1"/>
      <protection hidden="1"/>
    </xf>
    <xf numFmtId="0" fontId="0" fillId="0" borderId="0" xfId="0" applyFont="1" applyFill="1" applyAlignment="1" applyProtection="1">
      <alignment horizontal="right" indent="1"/>
      <protection hidden="1"/>
    </xf>
    <xf numFmtId="0" fontId="14" fillId="0" borderId="0" xfId="0" applyFont="1" applyFill="1" applyAlignment="1" applyProtection="1">
      <alignment horizontal="right" indent="1"/>
      <protection hidden="1"/>
    </xf>
    <xf numFmtId="0" fontId="20" fillId="0" borderId="0" xfId="0" applyFont="1" applyFill="1" applyBorder="1" applyAlignment="1" applyProtection="1">
      <alignment horizontal="right" vertical="top" wrapText="1" indent="1"/>
      <protection hidden="1"/>
    </xf>
    <xf numFmtId="0" fontId="20" fillId="0" borderId="0" xfId="0" applyFont="1" applyFill="1" applyAlignment="1" applyProtection="1">
      <alignment horizontal="right" vertical="top" wrapText="1" indent="1"/>
      <protection hidden="1"/>
    </xf>
    <xf numFmtId="0" fontId="20" fillId="0" borderId="0" xfId="0" applyFont="1" applyFill="1" applyAlignment="1" applyProtection="1">
      <alignment horizontal="right" indent="1"/>
      <protection hidden="1"/>
    </xf>
    <xf numFmtId="0" fontId="20" fillId="0" borderId="0" xfId="0" applyFont="1" applyFill="1" applyAlignment="1" applyProtection="1">
      <alignment horizontal="right" vertical="top" indent="1"/>
      <protection hidden="1"/>
    </xf>
    <xf numFmtId="0" fontId="26" fillId="0" borderId="0" xfId="0" applyFont="1" applyProtection="1">
      <protection hidden="1"/>
    </xf>
    <xf numFmtId="0" fontId="28" fillId="0" borderId="0" xfId="2" applyFont="1" applyAlignment="1" applyProtection="1">
      <alignment horizontal="right"/>
      <protection hidden="1"/>
    </xf>
    <xf numFmtId="0" fontId="29" fillId="0" borderId="0" xfId="2" applyFont="1" applyAlignment="1" applyProtection="1">
      <alignment horizontal="right"/>
      <protection hidden="1"/>
    </xf>
    <xf numFmtId="0" fontId="30" fillId="0" borderId="0" xfId="2" applyFont="1" applyAlignment="1" applyProtection="1">
      <alignment horizontal="right"/>
      <protection hidden="1"/>
    </xf>
    <xf numFmtId="0" fontId="3" fillId="0" borderId="0" xfId="0" applyFont="1" applyFill="1" applyAlignment="1" applyProtection="1">
      <alignment vertical="top"/>
      <protection hidden="1"/>
    </xf>
    <xf numFmtId="0" fontId="0" fillId="0" borderId="0" xfId="0" applyFont="1" applyFill="1" applyAlignment="1" applyProtection="1">
      <alignment vertical="top"/>
      <protection hidden="1"/>
    </xf>
    <xf numFmtId="0" fontId="0" fillId="0" borderId="0" xfId="0" applyFont="1" applyAlignment="1" applyProtection="1">
      <alignment vertical="top"/>
      <protection hidden="1"/>
    </xf>
    <xf numFmtId="0" fontId="29" fillId="0" borderId="0" xfId="2" applyFont="1" applyAlignment="1" applyProtection="1">
      <alignment horizontal="right" vertical="top"/>
      <protection hidden="1"/>
    </xf>
    <xf numFmtId="0" fontId="30" fillId="0" borderId="0" xfId="2" applyFont="1" applyAlignment="1" applyProtection="1">
      <alignment horizontal="right" vertical="top"/>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Protection="1">
      <protection hidden="1"/>
    </xf>
    <xf numFmtId="0" fontId="0" fillId="0" borderId="0" xfId="0" applyFill="1" applyProtection="1">
      <protection hidden="1"/>
    </xf>
    <xf numFmtId="0" fontId="14" fillId="0" borderId="0" xfId="3" applyFill="1" applyProtection="1">
      <protection hidden="1"/>
    </xf>
    <xf numFmtId="164" fontId="0" fillId="0" borderId="0" xfId="1" applyNumberFormat="1" applyFont="1" applyFill="1" applyAlignment="1" applyProtection="1">
      <alignment horizontal="right"/>
      <protection hidden="1"/>
    </xf>
    <xf numFmtId="0" fontId="14" fillId="0" borderId="0" xfId="3" applyFill="1" applyAlignment="1" applyProtection="1">
      <alignment horizontal="left" indent="1"/>
      <protection hidden="1"/>
    </xf>
    <xf numFmtId="166" fontId="0" fillId="0" borderId="0" xfId="1" applyNumberFormat="1" applyFont="1" applyFill="1" applyAlignment="1" applyProtection="1">
      <alignment horizontal="right"/>
      <protection hidden="1"/>
    </xf>
    <xf numFmtId="0" fontId="0" fillId="0" borderId="0" xfId="0" applyFill="1" applyAlignment="1" applyProtection="1">
      <alignment horizontal="right"/>
      <protection hidden="1"/>
    </xf>
    <xf numFmtId="0" fontId="14" fillId="0" borderId="0" xfId="3" applyFill="1" applyAlignment="1" applyProtection="1">
      <alignment horizontal="left"/>
      <protection hidden="1"/>
    </xf>
    <xf numFmtId="3" fontId="0" fillId="0" borderId="0" xfId="0" applyNumberFormat="1" applyFill="1" applyAlignment="1" applyProtection="1">
      <alignment horizontal="right"/>
      <protection hidden="1"/>
    </xf>
    <xf numFmtId="0" fontId="0" fillId="0" borderId="0" xfId="0" applyFill="1" applyAlignment="1" applyProtection="1">
      <protection hidden="1"/>
    </xf>
    <xf numFmtId="0" fontId="14" fillId="0" borderId="0" xfId="0" applyFont="1" applyFill="1" applyAlignment="1" applyProtection="1">
      <protection hidden="1"/>
    </xf>
    <xf numFmtId="0" fontId="0" fillId="0" borderId="0" xfId="0" applyFill="1" applyAlignment="1" applyProtection="1">
      <alignment horizontal="left" indent="1"/>
      <protection hidden="1"/>
    </xf>
    <xf numFmtId="0" fontId="33" fillId="0" borderId="0" xfId="0" applyFont="1" applyAlignment="1" applyProtection="1">
      <alignment horizontal="right" vertical="center"/>
      <protection hidden="1"/>
    </xf>
    <xf numFmtId="0" fontId="34" fillId="0" borderId="0" xfId="0" applyFont="1" applyAlignment="1" applyProtection="1">
      <alignment horizontal="right" vertical="center"/>
      <protection hidden="1"/>
    </xf>
    <xf numFmtId="0" fontId="35" fillId="0" borderId="0" xfId="0" applyFont="1" applyAlignment="1" applyProtection="1">
      <alignment horizontal="right"/>
      <protection hidden="1"/>
    </xf>
    <xf numFmtId="0" fontId="29" fillId="0" borderId="0" xfId="0" applyFont="1" applyAlignment="1" applyProtection="1">
      <alignment horizontal="right"/>
      <protection hidden="1"/>
    </xf>
    <xf numFmtId="0" fontId="29" fillId="0" borderId="0" xfId="0" applyFont="1" applyAlignment="1" applyProtection="1">
      <alignment horizontal="right" vertical="top"/>
      <protection hidden="1"/>
    </xf>
    <xf numFmtId="0" fontId="31"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27" fillId="0" borderId="0" xfId="0" applyFont="1" applyAlignment="1" applyProtection="1">
      <alignment horizontal="right"/>
      <protection hidden="1"/>
    </xf>
    <xf numFmtId="0" fontId="30" fillId="0" borderId="0" xfId="0" applyFont="1" applyAlignment="1" applyProtection="1">
      <alignment horizontal="right"/>
      <protection hidden="1"/>
    </xf>
    <xf numFmtId="0" fontId="30" fillId="0" borderId="0" xfId="0" applyFont="1" applyAlignment="1" applyProtection="1">
      <alignment horizontal="right" vertical="top"/>
      <protection hidden="1"/>
    </xf>
    <xf numFmtId="0" fontId="36" fillId="0" borderId="0" xfId="0" applyFont="1" applyAlignment="1" applyProtection="1">
      <alignment horizontal="right" vertical="center"/>
      <protection hidden="1"/>
    </xf>
    <xf numFmtId="0" fontId="37" fillId="0" borderId="0" xfId="0" applyFont="1" applyAlignment="1" applyProtection="1">
      <alignment horizontal="right" vertical="center"/>
      <protection hidden="1"/>
    </xf>
    <xf numFmtId="0" fontId="26" fillId="0" borderId="0" xfId="0" applyFont="1" applyAlignment="1" applyProtection="1">
      <alignment horizontal="right"/>
      <protection hidden="1"/>
    </xf>
    <xf numFmtId="0" fontId="38" fillId="0" borderId="0" xfId="0" applyFont="1" applyAlignment="1" applyProtection="1">
      <alignment horizontal="right"/>
      <protection hidden="1"/>
    </xf>
    <xf numFmtId="0" fontId="6" fillId="0" borderId="0" xfId="0" applyFont="1" applyAlignment="1" applyProtection="1">
      <alignment horizontal="right" vertical="center"/>
      <protection hidden="1"/>
    </xf>
    <xf numFmtId="0" fontId="37" fillId="0" borderId="0" xfId="0" applyNumberFormat="1" applyFont="1" applyAlignment="1" applyProtection="1">
      <alignment horizontal="right" vertical="center"/>
      <protection hidden="1"/>
    </xf>
    <xf numFmtId="0" fontId="5" fillId="0" borderId="0" xfId="0" applyNumberFormat="1" applyFont="1" applyAlignment="1" applyProtection="1">
      <alignment horizontal="right" vertical="center"/>
      <protection hidden="1"/>
    </xf>
    <xf numFmtId="0" fontId="3" fillId="0" borderId="0" xfId="0" applyNumberFormat="1" applyFont="1" applyProtection="1">
      <protection hidden="1"/>
    </xf>
    <xf numFmtId="0" fontId="3" fillId="0" borderId="0" xfId="0" applyNumberFormat="1" applyFont="1" applyAlignment="1" applyProtection="1">
      <alignment horizontal="right"/>
      <protection hidden="1"/>
    </xf>
    <xf numFmtId="0" fontId="38" fillId="0" borderId="0" xfId="0" applyNumberFormat="1" applyFont="1" applyAlignment="1" applyProtection="1">
      <alignment horizontal="right"/>
      <protection hidden="1"/>
    </xf>
    <xf numFmtId="0" fontId="12" fillId="0" borderId="0" xfId="0" applyNumberFormat="1" applyFont="1" applyFill="1" applyAlignment="1" applyProtection="1">
      <protection hidden="1"/>
    </xf>
    <xf numFmtId="0" fontId="14" fillId="0" borderId="0" xfId="0" applyNumberFormat="1" applyFont="1" applyFill="1" applyAlignment="1" applyProtection="1">
      <alignment horizontal="left"/>
      <protection hidden="1"/>
    </xf>
    <xf numFmtId="0" fontId="0" fillId="0" borderId="0" xfId="0" applyNumberFormat="1" applyFont="1" applyAlignment="1" applyProtection="1">
      <alignment horizontal="right"/>
      <protection hidden="1"/>
    </xf>
    <xf numFmtId="0" fontId="0" fillId="0" borderId="0" xfId="0" applyNumberFormat="1" applyFont="1" applyProtection="1">
      <protection hidden="1"/>
    </xf>
    <xf numFmtId="0" fontId="3" fillId="0" borderId="0" xfId="0" applyNumberFormat="1" applyFont="1" applyFill="1" applyProtection="1">
      <protection hidden="1"/>
    </xf>
    <xf numFmtId="0" fontId="3" fillId="0" borderId="0" xfId="0" applyNumberFormat="1" applyFont="1" applyFill="1" applyAlignment="1" applyProtection="1">
      <alignment horizontal="right"/>
      <protection hidden="1"/>
    </xf>
    <xf numFmtId="0" fontId="12" fillId="0" borderId="0" xfId="0" applyNumberFormat="1" applyFont="1" applyFill="1" applyProtection="1">
      <protection hidden="1"/>
    </xf>
    <xf numFmtId="0" fontId="0" fillId="0" borderId="0" xfId="0" applyNumberFormat="1" applyFont="1" applyFill="1" applyProtection="1">
      <protection hidden="1"/>
    </xf>
    <xf numFmtId="0" fontId="9" fillId="0" borderId="0" xfId="2" applyNumberFormat="1" applyFont="1" applyFill="1" applyAlignment="1" applyProtection="1">
      <alignment horizontal="right"/>
      <protection hidden="1"/>
    </xf>
    <xf numFmtId="0" fontId="0" fillId="0" borderId="0" xfId="0" applyNumberFormat="1" applyFont="1" applyFill="1" applyAlignment="1" applyProtection="1">
      <alignment horizontal="right"/>
      <protection hidden="1"/>
    </xf>
    <xf numFmtId="0" fontId="12" fillId="0" borderId="0" xfId="0" applyNumberFormat="1" applyFont="1" applyFill="1" applyBorder="1" applyAlignment="1" applyProtection="1">
      <alignment horizontal="right" vertical="top" wrapText="1"/>
      <protection hidden="1"/>
    </xf>
    <xf numFmtId="0" fontId="21" fillId="0" borderId="0" xfId="0" applyNumberFormat="1" applyFont="1" applyAlignment="1" applyProtection="1">
      <alignment horizontal="right" vertical="center"/>
      <protection hidden="1"/>
    </xf>
    <xf numFmtId="0" fontId="22" fillId="0" borderId="0" xfId="0" applyNumberFormat="1" applyFont="1" applyAlignment="1" applyProtection="1">
      <alignment horizontal="right" vertical="center"/>
      <protection hidden="1"/>
    </xf>
    <xf numFmtId="0" fontId="12" fillId="0" borderId="0" xfId="0" applyNumberFormat="1" applyFont="1" applyAlignment="1" applyProtection="1">
      <alignment horizontal="right"/>
      <protection hidden="1"/>
    </xf>
    <xf numFmtId="0" fontId="14" fillId="0" borderId="0" xfId="0" applyNumberFormat="1" applyFont="1" applyAlignment="1" applyProtection="1">
      <alignment horizontal="right"/>
      <protection hidden="1"/>
    </xf>
    <xf numFmtId="0" fontId="3" fillId="0" borderId="0" xfId="0" applyFont="1" applyAlignment="1" applyProtection="1">
      <alignment horizontal="right" vertical="top"/>
      <protection hidden="1"/>
    </xf>
    <xf numFmtId="0" fontId="0" fillId="0" borderId="0" xfId="0" applyFont="1" applyAlignment="1" applyProtection="1">
      <alignment horizontal="right" vertical="top"/>
      <protection hidden="1"/>
    </xf>
    <xf numFmtId="165" fontId="0" fillId="0" borderId="0" xfId="0" applyNumberFormat="1" applyFont="1" applyAlignment="1" applyProtection="1">
      <alignment horizontal="right"/>
      <protection hidden="1"/>
    </xf>
    <xf numFmtId="0" fontId="22" fillId="0" borderId="0" xfId="0" applyNumberFormat="1" applyFont="1" applyFill="1" applyAlignment="1" applyProtection="1">
      <alignment horizontal="right" vertical="center"/>
      <protection hidden="1"/>
    </xf>
    <xf numFmtId="0" fontId="12" fillId="0" borderId="0" xfId="0" applyNumberFormat="1" applyFont="1" applyFill="1" applyAlignment="1" applyProtection="1">
      <alignment horizontal="right"/>
      <protection hidden="1"/>
    </xf>
    <xf numFmtId="0" fontId="12" fillId="0" borderId="0" xfId="0" applyFont="1" applyFill="1" applyAlignment="1" applyProtection="1">
      <alignment horizontal="right" vertical="top"/>
      <protection hidden="1"/>
    </xf>
    <xf numFmtId="0" fontId="14" fillId="0" borderId="0" xfId="0" applyNumberFormat="1" applyFont="1" applyFill="1" applyAlignment="1" applyProtection="1">
      <alignment horizontal="right" vertical="top"/>
      <protection hidden="1"/>
    </xf>
    <xf numFmtId="0" fontId="12" fillId="0" borderId="0" xfId="0" applyNumberFormat="1" applyFont="1" applyFill="1" applyAlignment="1" applyProtection="1">
      <alignment horizontal="right" vertical="top"/>
      <protection hidden="1"/>
    </xf>
    <xf numFmtId="3" fontId="3" fillId="0" borderId="0" xfId="0" applyNumberFormat="1" applyFont="1" applyFill="1" applyAlignment="1" applyProtection="1">
      <alignment horizontal="right"/>
      <protection hidden="1"/>
    </xf>
    <xf numFmtId="0" fontId="14" fillId="0" borderId="0" xfId="0" applyFont="1" applyFill="1" applyAlignment="1" applyProtection="1">
      <alignment horizontal="right" vertical="top"/>
      <protection hidden="1"/>
    </xf>
    <xf numFmtId="3" fontId="14" fillId="0" borderId="0" xfId="0" applyNumberFormat="1" applyFont="1" applyAlignment="1" applyProtection="1">
      <alignment horizontal="right"/>
      <protection hidden="1"/>
    </xf>
    <xf numFmtId="3" fontId="12" fillId="0" borderId="0" xfId="0" applyNumberFormat="1" applyFont="1" applyFill="1" applyAlignment="1" applyProtection="1">
      <alignment horizontal="right"/>
      <protection hidden="1"/>
    </xf>
    <xf numFmtId="0" fontId="5" fillId="0" borderId="0" xfId="0" applyFont="1" applyFill="1" applyAlignment="1" applyProtection="1">
      <alignment horizontal="right" vertical="center"/>
      <protection hidden="1"/>
    </xf>
    <xf numFmtId="0" fontId="3" fillId="0" borderId="0" xfId="0" applyNumberFormat="1" applyFont="1" applyFill="1" applyAlignment="1" applyProtection="1">
      <alignment vertical="top"/>
      <protection hidden="1"/>
    </xf>
    <xf numFmtId="0" fontId="3" fillId="0" borderId="0" xfId="0" applyNumberFormat="1" applyFont="1" applyFill="1" applyAlignment="1" applyProtection="1">
      <alignment horizontal="right" vertical="top"/>
      <protection hidden="1"/>
    </xf>
    <xf numFmtId="0" fontId="0" fillId="0" borderId="0" xfId="0" applyFont="1" applyFill="1" applyAlignment="1" applyProtection="1">
      <alignment horizontal="right" vertical="top"/>
      <protection hidden="1"/>
    </xf>
    <xf numFmtId="0" fontId="9" fillId="0" borderId="0" xfId="2" applyFont="1" applyFill="1" applyAlignment="1" applyProtection="1">
      <alignment horizontal="right" vertical="top"/>
      <protection hidden="1"/>
    </xf>
    <xf numFmtId="0" fontId="3" fillId="0" borderId="0" xfId="0" applyNumberFormat="1" applyFont="1" applyAlignment="1" applyProtection="1">
      <alignment vertical="top"/>
      <protection hidden="1"/>
    </xf>
    <xf numFmtId="0" fontId="39" fillId="0" borderId="0" xfId="2" applyFont="1" applyFill="1" applyAlignment="1" applyProtection="1">
      <alignment horizontal="right" vertical="top"/>
      <protection hidden="1"/>
    </xf>
    <xf numFmtId="0" fontId="12" fillId="3" borderId="0" xfId="0" applyNumberFormat="1" applyFont="1" applyFill="1" applyAlignment="1" applyProtection="1">
      <alignment horizontal="right" vertical="top"/>
      <protection hidden="1"/>
    </xf>
    <xf numFmtId="0" fontId="14" fillId="3" borderId="0" xfId="0" applyNumberFormat="1" applyFont="1" applyFill="1" applyAlignment="1" applyProtection="1">
      <alignment horizontal="right"/>
      <protection hidden="1"/>
    </xf>
    <xf numFmtId="0" fontId="14" fillId="3" borderId="0" xfId="0" applyNumberFormat="1" applyFont="1" applyFill="1" applyAlignment="1" applyProtection="1">
      <alignment horizontal="right" vertical="top"/>
      <protection hidden="1"/>
    </xf>
    <xf numFmtId="0" fontId="3" fillId="3" borderId="0" xfId="0" applyNumberFormat="1" applyFont="1" applyFill="1" applyAlignment="1" applyProtection="1">
      <alignment horizontal="right"/>
      <protection hidden="1"/>
    </xf>
    <xf numFmtId="0" fontId="5" fillId="0" borderId="0" xfId="0" applyNumberFormat="1" applyFont="1" applyFill="1" applyAlignment="1" applyProtection="1">
      <alignment horizontal="right" vertical="center"/>
      <protection hidden="1"/>
    </xf>
    <xf numFmtId="0" fontId="1" fillId="0" borderId="0" xfId="1" applyNumberFormat="1" applyFont="1" applyFill="1" applyAlignment="1" applyProtection="1">
      <alignment horizontal="right"/>
      <protection hidden="1"/>
    </xf>
    <xf numFmtId="0" fontId="14" fillId="0" borderId="0" xfId="0" quotePrefix="1" applyNumberFormat="1" applyFont="1" applyFill="1" applyAlignment="1" applyProtection="1">
      <alignment horizontal="right"/>
      <protection hidden="1"/>
    </xf>
    <xf numFmtId="0" fontId="0" fillId="3" borderId="0" xfId="0" applyNumberFormat="1" applyFont="1" applyFill="1" applyAlignment="1" applyProtection="1">
      <alignment horizontal="right"/>
      <protection hidden="1"/>
    </xf>
    <xf numFmtId="0" fontId="14" fillId="0" borderId="0" xfId="1" applyNumberFormat="1" applyFont="1" applyFill="1" applyAlignment="1" applyProtection="1">
      <alignment horizontal="right"/>
      <protection hidden="1"/>
    </xf>
    <xf numFmtId="0" fontId="3" fillId="0" borderId="0" xfId="1" applyNumberFormat="1" applyFont="1" applyFill="1" applyAlignment="1" applyProtection="1">
      <alignment horizontal="right"/>
      <protection hidden="1"/>
    </xf>
    <xf numFmtId="0" fontId="12" fillId="3" borderId="0" xfId="0" applyNumberFormat="1" applyFont="1" applyFill="1" applyAlignment="1" applyProtection="1">
      <alignment horizontal="right"/>
      <protection hidden="1"/>
    </xf>
    <xf numFmtId="0" fontId="0" fillId="0" borderId="0" xfId="0" applyNumberFormat="1" applyFont="1" applyFill="1" applyAlignment="1" applyProtection="1">
      <alignment horizontal="right" vertical="top"/>
      <protection hidden="1"/>
    </xf>
    <xf numFmtId="0" fontId="0" fillId="0" borderId="0" xfId="0" applyFont="1" applyAlignment="1" applyProtection="1">
      <alignment horizontal="left" indent="2"/>
      <protection hidden="1"/>
    </xf>
    <xf numFmtId="0" fontId="41" fillId="0" borderId="2" xfId="0" applyFont="1" applyFill="1" applyBorder="1" applyAlignment="1" applyProtection="1">
      <alignment horizontal="left" vertical="center" indent="1"/>
      <protection locked="0"/>
    </xf>
    <xf numFmtId="0" fontId="4" fillId="2" borderId="0" xfId="0" applyFont="1" applyFill="1" applyAlignment="1" applyProtection="1">
      <alignment vertical="top"/>
      <protection hidden="1"/>
    </xf>
    <xf numFmtId="0" fontId="38" fillId="0" borderId="0" xfId="0" applyFont="1" applyFill="1" applyAlignment="1" applyProtection="1">
      <alignment horizontal="right"/>
      <protection hidden="1"/>
    </xf>
    <xf numFmtId="0" fontId="18" fillId="0" borderId="0" xfId="2" applyFont="1" applyFill="1" applyProtection="1">
      <protection hidden="1"/>
    </xf>
    <xf numFmtId="0" fontId="12" fillId="0" borderId="0" xfId="0" applyFont="1" applyFill="1" applyAlignment="1" applyProtection="1">
      <alignment horizontal="left" indent="1"/>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6" fillId="0" borderId="0" xfId="0" applyNumberFormat="1" applyFont="1" applyAlignment="1" applyProtection="1">
      <alignment horizontal="right" vertical="center"/>
      <protection hidden="1"/>
    </xf>
    <xf numFmtId="0" fontId="3" fillId="0" borderId="0" xfId="0" applyNumberFormat="1" applyFont="1" applyAlignment="1" applyProtection="1">
      <alignment horizontal="right" vertical="top"/>
      <protection hidden="1"/>
    </xf>
    <xf numFmtId="0" fontId="0" fillId="0" borderId="0" xfId="0" applyNumberFormat="1" applyFont="1" applyAlignment="1" applyProtection="1">
      <alignment horizontal="right" vertical="top"/>
      <protection hidden="1"/>
    </xf>
    <xf numFmtId="0" fontId="0" fillId="0" borderId="0" xfId="1" applyNumberFormat="1" applyFont="1" applyFill="1" applyAlignment="1" applyProtection="1">
      <alignment horizontal="right"/>
      <protection hidden="1"/>
    </xf>
    <xf numFmtId="0" fontId="0" fillId="0" borderId="0" xfId="0" applyNumberFormat="1" applyFill="1" applyAlignment="1" applyProtection="1">
      <alignment horizontal="right"/>
      <protection hidden="1"/>
    </xf>
    <xf numFmtId="0" fontId="20" fillId="0" borderId="0" xfId="0" applyNumberFormat="1" applyFont="1" applyFill="1" applyAlignment="1" applyProtection="1">
      <alignment horizontal="left"/>
      <protection hidden="1"/>
    </xf>
    <xf numFmtId="0" fontId="0" fillId="0" borderId="0" xfId="0" applyNumberFormat="1" applyFont="1" applyAlignment="1" applyProtection="1">
      <alignment horizontal="left"/>
      <protection hidden="1"/>
    </xf>
    <xf numFmtId="0" fontId="14" fillId="0" borderId="0" xfId="1" applyNumberFormat="1" applyFont="1" applyFill="1" applyBorder="1" applyAlignment="1" applyProtection="1">
      <alignment horizontal="right"/>
      <protection hidden="1"/>
    </xf>
    <xf numFmtId="0" fontId="0" fillId="0" borderId="0" xfId="1" quotePrefix="1" applyNumberFormat="1" applyFont="1" applyFill="1" applyAlignment="1" applyProtection="1">
      <alignment horizontal="right"/>
      <protection hidden="1"/>
    </xf>
    <xf numFmtId="0" fontId="0" fillId="0" borderId="0" xfId="0" quotePrefix="1" applyNumberFormat="1" applyFont="1" applyAlignment="1" applyProtection="1">
      <alignment horizontal="right"/>
      <protection hidden="1"/>
    </xf>
    <xf numFmtId="0" fontId="0" fillId="0" borderId="0" xfId="0" quotePrefix="1" applyFont="1" applyAlignment="1" applyProtection="1">
      <alignment horizontal="right" indent="1"/>
      <protection hidden="1"/>
    </xf>
    <xf numFmtId="0" fontId="0" fillId="0" borderId="0" xfId="0" quotePrefix="1" applyNumberFormat="1" applyFill="1" applyAlignment="1" applyProtection="1">
      <alignment horizontal="right"/>
      <protection hidden="1"/>
    </xf>
    <xf numFmtId="0" fontId="41" fillId="0" borderId="0" xfId="0" applyFont="1" applyFill="1" applyBorder="1" applyAlignment="1" applyProtection="1">
      <alignment horizontal="left" vertical="center" indent="1"/>
      <protection hidden="1"/>
    </xf>
    <xf numFmtId="0" fontId="0" fillId="0" borderId="0" xfId="0" applyFill="1" applyAlignment="1" applyProtection="1">
      <alignment wrapText="1"/>
      <protection hidden="1"/>
    </xf>
    <xf numFmtId="0" fontId="0" fillId="0" borderId="0" xfId="0" applyNumberFormat="1" applyFill="1" applyProtection="1">
      <protection hidden="1"/>
    </xf>
    <xf numFmtId="0" fontId="16" fillId="0" borderId="0" xfId="0" applyNumberFormat="1" applyFont="1" applyFill="1" applyAlignment="1" applyProtection="1">
      <alignment wrapText="1"/>
      <protection hidden="1"/>
    </xf>
    <xf numFmtId="0" fontId="1" fillId="0" borderId="0" xfId="0" applyNumberFormat="1" applyFont="1" applyFill="1" applyBorder="1" applyAlignment="1" applyProtection="1">
      <alignment horizontal="right"/>
      <protection hidden="1"/>
    </xf>
    <xf numFmtId="0" fontId="14" fillId="0" borderId="0" xfId="1" quotePrefix="1" applyNumberFormat="1" applyFont="1" applyFill="1" applyAlignment="1" applyProtection="1">
      <alignment horizontal="right"/>
      <protection hidden="1"/>
    </xf>
    <xf numFmtId="0" fontId="1" fillId="0" borderId="0" xfId="0" quotePrefix="1" applyNumberFormat="1" applyFont="1" applyFill="1" applyBorder="1" applyAlignment="1" applyProtection="1">
      <alignment horizontal="right"/>
      <protection hidden="1"/>
    </xf>
    <xf numFmtId="0" fontId="0" fillId="0" borderId="0" xfId="0" applyFill="1" applyAlignment="1" applyProtection="1">
      <alignment horizontal="left"/>
      <protection hidden="1"/>
    </xf>
    <xf numFmtId="0" fontId="1" fillId="0" borderId="0" xfId="0" applyFont="1" applyFill="1" applyAlignment="1" applyProtection="1">
      <alignment horizontal="right"/>
      <protection hidden="1"/>
    </xf>
    <xf numFmtId="0" fontId="1" fillId="0" borderId="0" xfId="0" applyNumberFormat="1" applyFont="1" applyFill="1" applyBorder="1" applyProtection="1">
      <protection hidden="1"/>
    </xf>
    <xf numFmtId="0" fontId="0" fillId="0" borderId="0" xfId="0" quotePrefix="1" applyNumberFormat="1" applyFont="1" applyFill="1" applyAlignment="1" applyProtection="1">
      <alignment horizontal="right"/>
      <protection hidden="1"/>
    </xf>
    <xf numFmtId="0" fontId="14" fillId="0" borderId="0" xfId="0" applyNumberFormat="1" applyFont="1" applyFill="1" applyProtection="1">
      <protection hidden="1"/>
    </xf>
    <xf numFmtId="0" fontId="16" fillId="0" borderId="0" xfId="0" applyNumberFormat="1" applyFont="1" applyFill="1" applyAlignment="1" applyProtection="1">
      <alignment horizontal="right"/>
      <protection hidden="1"/>
    </xf>
    <xf numFmtId="0" fontId="1" fillId="0" borderId="0" xfId="1" applyNumberFormat="1" applyFont="1" applyFill="1" applyProtection="1">
      <protection hidden="1"/>
    </xf>
    <xf numFmtId="0" fontId="16" fillId="0" borderId="0" xfId="1" applyNumberFormat="1" applyFont="1" applyFill="1" applyProtection="1">
      <protection hidden="1"/>
    </xf>
    <xf numFmtId="0" fontId="20" fillId="0" borderId="0" xfId="0" applyNumberFormat="1" applyFont="1" applyFill="1" applyBorder="1" applyAlignment="1" applyProtection="1">
      <alignment horizontal="left" vertical="top" wrapText="1"/>
      <protection hidden="1"/>
    </xf>
    <xf numFmtId="0" fontId="20" fillId="0" borderId="0" xfId="0" applyNumberFormat="1" applyFont="1" applyFill="1" applyAlignment="1" applyProtection="1">
      <alignment horizontal="left" vertical="top" wrapText="1"/>
      <protection hidden="1"/>
    </xf>
    <xf numFmtId="0" fontId="14" fillId="0" borderId="0" xfId="1" applyNumberFormat="1" applyFont="1" applyFill="1" applyProtection="1">
      <protection hidden="1"/>
    </xf>
    <xf numFmtId="0" fontId="20" fillId="0" borderId="0" xfId="0" applyNumberFormat="1" applyFont="1" applyFill="1" applyAlignment="1" applyProtection="1">
      <alignment horizontal="left" vertical="top"/>
      <protection hidden="1"/>
    </xf>
    <xf numFmtId="0" fontId="14" fillId="0" borderId="0" xfId="0" applyNumberFormat="1" applyFont="1" applyProtection="1">
      <protection hidden="1"/>
    </xf>
    <xf numFmtId="0" fontId="0" fillId="0" borderId="0" xfId="1" applyNumberFormat="1" applyFont="1" applyAlignment="1" applyProtection="1">
      <alignment horizontal="right"/>
      <protection hidden="1"/>
    </xf>
    <xf numFmtId="0" fontId="28" fillId="0" borderId="0" xfId="2" applyFont="1" applyProtection="1">
      <protection hidden="1"/>
    </xf>
    <xf numFmtId="0" fontId="0" fillId="0" borderId="0" xfId="0" applyFill="1" applyAlignment="1" applyProtection="1">
      <alignment horizontal="left" wrapText="1"/>
      <protection hidden="1"/>
    </xf>
    <xf numFmtId="0" fontId="14" fillId="0" borderId="0" xfId="0" applyFont="1" applyFill="1" applyBorder="1" applyAlignment="1" applyProtection="1">
      <alignment horizontal="left"/>
      <protection hidden="1"/>
    </xf>
    <xf numFmtId="0" fontId="0" fillId="0" borderId="0" xfId="0" applyFill="1" applyBorder="1" applyProtection="1">
      <protection hidden="1"/>
    </xf>
    <xf numFmtId="0" fontId="14" fillId="0" borderId="0" xfId="0" applyFont="1" applyFill="1" applyBorder="1" applyProtection="1">
      <protection hidden="1"/>
    </xf>
    <xf numFmtId="0" fontId="14" fillId="0" borderId="0" xfId="0" applyFont="1" applyFill="1" applyBorder="1" applyAlignment="1" applyProtection="1">
      <alignment horizontal="right"/>
      <protection hidden="1"/>
    </xf>
    <xf numFmtId="0" fontId="0" fillId="0" borderId="0" xfId="0" applyNumberFormat="1" applyFont="1" applyAlignment="1" applyProtection="1">
      <alignment horizontal="right" vertical="center"/>
      <protection hidden="1"/>
    </xf>
    <xf numFmtId="0" fontId="14" fillId="0" borderId="0" xfId="0" applyNumberFormat="1" applyFont="1" applyFill="1" applyBorder="1" applyAlignment="1" applyProtection="1">
      <alignment horizontal="right" vertical="top" wrapText="1"/>
      <protection hidden="1"/>
    </xf>
    <xf numFmtId="0" fontId="14" fillId="0" borderId="0" xfId="0" applyNumberFormat="1" applyFont="1" applyFill="1" applyAlignment="1" applyProtection="1">
      <alignment horizontal="right" vertical="top" wrapText="1"/>
      <protection hidden="1"/>
    </xf>
    <xf numFmtId="0" fontId="18" fillId="0" borderId="0" xfId="2" applyNumberFormat="1" applyFont="1" applyProtection="1">
      <protection hidden="1"/>
    </xf>
    <xf numFmtId="0" fontId="28" fillId="0" borderId="0" xfId="2" applyNumberFormat="1" applyFont="1" applyAlignment="1" applyProtection="1">
      <alignment horizontal="right" vertical="top"/>
      <protection hidden="1"/>
    </xf>
    <xf numFmtId="0" fontId="12" fillId="0" borderId="0" xfId="0" applyNumberFormat="1" applyFont="1" applyFill="1" applyAlignment="1" applyProtection="1">
      <alignment horizontal="left"/>
      <protection hidden="1"/>
    </xf>
    <xf numFmtId="0" fontId="14" fillId="0" borderId="0" xfId="0" applyNumberFormat="1" applyFont="1" applyFill="1" applyAlignment="1" applyProtection="1">
      <alignment horizontal="left" indent="1"/>
      <protection hidden="1"/>
    </xf>
    <xf numFmtId="0" fontId="14" fillId="0" borderId="0" xfId="0" applyNumberFormat="1" applyFont="1" applyFill="1" applyBorder="1" applyAlignment="1" applyProtection="1">
      <alignment horizontal="left" indent="2"/>
      <protection hidden="1"/>
    </xf>
    <xf numFmtId="0" fontId="14" fillId="0" borderId="0" xfId="0" applyNumberFormat="1" applyFont="1" applyFill="1" applyAlignment="1" applyProtection="1">
      <alignment horizontal="left" indent="4"/>
      <protection hidden="1"/>
    </xf>
    <xf numFmtId="0" fontId="14" fillId="0" borderId="0" xfId="0" applyNumberFormat="1" applyFont="1" applyFill="1" applyAlignment="1" applyProtection="1">
      <alignment horizontal="left" indent="3"/>
      <protection hidden="1"/>
    </xf>
    <xf numFmtId="0" fontId="14" fillId="0" borderId="0" xfId="0" applyNumberFormat="1" applyFont="1" applyFill="1" applyBorder="1" applyAlignment="1" applyProtection="1">
      <alignment horizontal="left" indent="3"/>
      <protection hidden="1"/>
    </xf>
    <xf numFmtId="0" fontId="14" fillId="0" borderId="0" xfId="0" applyNumberFormat="1" applyFont="1" applyFill="1" applyBorder="1" applyAlignment="1" applyProtection="1">
      <alignment horizontal="left" indent="4"/>
      <protection hidden="1"/>
    </xf>
    <xf numFmtId="0" fontId="14" fillId="0" borderId="0" xfId="0" applyNumberFormat="1" applyFont="1" applyFill="1" applyBorder="1" applyProtection="1">
      <protection hidden="1"/>
    </xf>
    <xf numFmtId="0" fontId="14" fillId="0" borderId="0" xfId="0" applyNumberFormat="1" applyFont="1" applyFill="1" applyAlignment="1" applyProtection="1">
      <alignment horizontal="left" indent="2"/>
      <protection hidden="1"/>
    </xf>
    <xf numFmtId="0" fontId="23" fillId="0" borderId="0" xfId="0" applyNumberFormat="1" applyFont="1" applyFill="1" applyAlignment="1" applyProtection="1">
      <alignment horizontal="left"/>
      <protection hidden="1"/>
    </xf>
    <xf numFmtId="0" fontId="23" fillId="0" borderId="0" xfId="0" applyNumberFormat="1" applyFont="1" applyFill="1" applyProtection="1">
      <protection hidden="1"/>
    </xf>
    <xf numFmtId="0" fontId="24" fillId="0" borderId="0" xfId="0" applyNumberFormat="1" applyFont="1" applyFill="1" applyProtection="1">
      <protection hidden="1"/>
    </xf>
    <xf numFmtId="0" fontId="14" fillId="0" borderId="0" xfId="0" applyNumberFormat="1" applyFont="1" applyFill="1" applyBorder="1" applyAlignment="1" applyProtection="1">
      <alignment horizontal="left" indent="1"/>
      <protection hidden="1"/>
    </xf>
    <xf numFmtId="0" fontId="28" fillId="0" borderId="0" xfId="2" applyNumberFormat="1" applyFont="1" applyAlignment="1" applyProtection="1">
      <alignment horizontal="right"/>
      <protection hidden="1"/>
    </xf>
    <xf numFmtId="0" fontId="14" fillId="0" borderId="0" xfId="0" applyFont="1" applyFill="1" applyBorder="1" applyAlignment="1" applyProtection="1">
      <alignment horizontal="left" vertical="top" indent="1"/>
      <protection hidden="1"/>
    </xf>
    <xf numFmtId="0" fontId="14" fillId="0" borderId="0" xfId="0" applyFont="1" applyFill="1" applyBorder="1" applyAlignment="1" applyProtection="1">
      <alignment vertical="top" wrapText="1"/>
      <protection hidden="1"/>
    </xf>
    <xf numFmtId="0" fontId="14" fillId="0" borderId="0" xfId="0" applyFont="1" applyFill="1" applyBorder="1" applyAlignment="1" applyProtection="1">
      <alignment horizontal="left" vertical="top" indent="2"/>
      <protection hidden="1"/>
    </xf>
    <xf numFmtId="0" fontId="14" fillId="0" borderId="0" xfId="0" applyFont="1" applyFill="1" applyAlignment="1" applyProtection="1">
      <alignment horizontal="left" indent="2"/>
      <protection hidden="1"/>
    </xf>
    <xf numFmtId="0" fontId="0" fillId="0" borderId="0" xfId="0" applyFill="1" applyAlignment="1" applyProtection="1">
      <alignment horizontal="left" indent="2"/>
      <protection hidden="1"/>
    </xf>
    <xf numFmtId="0" fontId="0" fillId="0" borderId="0" xfId="0" applyFill="1" applyAlignment="1" applyProtection="1">
      <alignment horizontal="left" indent="3"/>
      <protection hidden="1"/>
    </xf>
    <xf numFmtId="165" fontId="1" fillId="0" borderId="0" xfId="0" applyNumberFormat="1" applyFont="1" applyFill="1" applyBorder="1" applyAlignment="1" applyProtection="1">
      <alignment horizontal="right"/>
      <protection hidden="1"/>
    </xf>
    <xf numFmtId="0" fontId="14" fillId="0" borderId="0" xfId="0" applyFont="1" applyFill="1" applyBorder="1" applyAlignment="1" applyProtection="1">
      <alignment vertical="top"/>
      <protection hidden="1"/>
    </xf>
    <xf numFmtId="165" fontId="0" fillId="0" borderId="0" xfId="0" applyNumberFormat="1" applyFill="1" applyAlignment="1" applyProtection="1">
      <alignment horizontal="right"/>
      <protection hidden="1"/>
    </xf>
    <xf numFmtId="1" fontId="1" fillId="0" borderId="0" xfId="0" applyNumberFormat="1" applyFont="1" applyFill="1" applyBorder="1" applyAlignment="1" applyProtection="1">
      <alignment horizontal="right"/>
      <protection hidden="1"/>
    </xf>
    <xf numFmtId="0" fontId="14" fillId="0" borderId="0" xfId="0" applyFont="1" applyFill="1" applyAlignment="1" applyProtection="1">
      <alignment horizontal="left" indent="3"/>
      <protection hidden="1"/>
    </xf>
    <xf numFmtId="0" fontId="0" fillId="0" borderId="0" xfId="0" applyNumberFormat="1" applyFill="1" applyAlignment="1" applyProtection="1">
      <alignment horizontal="left" indent="4"/>
      <protection hidden="1"/>
    </xf>
    <xf numFmtId="0" fontId="12" fillId="0" borderId="0" xfId="0" applyFont="1" applyFill="1" applyAlignment="1" applyProtection="1">
      <alignment horizontal="left"/>
      <protection hidden="1"/>
    </xf>
    <xf numFmtId="0" fontId="14" fillId="0" borderId="0" xfId="0" applyFont="1" applyFill="1" applyAlignment="1" applyProtection="1">
      <alignment horizontal="left" indent="4"/>
      <protection hidden="1"/>
    </xf>
    <xf numFmtId="0" fontId="14" fillId="0" borderId="0" xfId="0" applyFont="1" applyFill="1" applyBorder="1" applyAlignment="1" applyProtection="1">
      <alignment horizontal="left" indent="3"/>
      <protection hidden="1"/>
    </xf>
    <xf numFmtId="0" fontId="14" fillId="0" borderId="0" xfId="0" applyFont="1" applyFill="1" applyBorder="1" applyAlignment="1" applyProtection="1">
      <alignment horizontal="left" indent="4"/>
      <protection hidden="1"/>
    </xf>
    <xf numFmtId="0" fontId="14" fillId="0" borderId="0" xfId="0" applyFont="1" applyFill="1" applyBorder="1" applyAlignment="1" applyProtection="1">
      <alignment horizontal="left" indent="2"/>
      <protection hidden="1"/>
    </xf>
    <xf numFmtId="0" fontId="14" fillId="0" borderId="0" xfId="0" applyFont="1" applyFill="1" applyBorder="1" applyAlignment="1" applyProtection="1">
      <alignment horizontal="left" wrapText="1" indent="3"/>
      <protection hidden="1"/>
    </xf>
    <xf numFmtId="0" fontId="14" fillId="0" borderId="0" xfId="0" applyNumberFormat="1" applyFont="1" applyFill="1" applyBorder="1" applyAlignment="1" applyProtection="1">
      <alignment horizontal="right"/>
      <protection hidden="1"/>
    </xf>
    <xf numFmtId="0" fontId="1" fillId="0" borderId="0" xfId="0" applyNumberFormat="1" applyFont="1" applyFill="1" applyAlignment="1" applyProtection="1">
      <alignment horizontal="right"/>
      <protection hidden="1"/>
    </xf>
    <xf numFmtId="0" fontId="14" fillId="0" borderId="0" xfId="5" applyNumberFormat="1" applyFill="1" applyAlignment="1" applyProtection="1">
      <alignment horizontal="right"/>
      <protection hidden="1"/>
    </xf>
    <xf numFmtId="0" fontId="0" fillId="0" borderId="0" xfId="0" applyProtection="1">
      <protection hidden="1"/>
    </xf>
    <xf numFmtId="2" fontId="1" fillId="0" borderId="0" xfId="0" applyNumberFormat="1" applyFont="1" applyFill="1" applyBorder="1" applyProtection="1">
      <protection hidden="1"/>
    </xf>
    <xf numFmtId="0" fontId="1" fillId="0" borderId="0" xfId="0" applyFont="1" applyFill="1" applyBorder="1" applyProtection="1">
      <protection hidden="1"/>
    </xf>
    <xf numFmtId="2" fontId="1" fillId="0" borderId="0" xfId="0" applyNumberFormat="1" applyFont="1" applyFill="1" applyAlignment="1" applyProtection="1">
      <alignment horizontal="right"/>
      <protection hidden="1"/>
    </xf>
    <xf numFmtId="0" fontId="1" fillId="0" borderId="0" xfId="0" quotePrefix="1" applyFont="1" applyFill="1" applyBorder="1" applyAlignment="1" applyProtection="1">
      <alignment horizontal="right"/>
      <protection hidden="1"/>
    </xf>
    <xf numFmtId="165" fontId="1" fillId="0" borderId="0" xfId="0" applyNumberFormat="1" applyFont="1" applyFill="1" applyBorder="1" applyProtection="1">
      <protection hidden="1"/>
    </xf>
    <xf numFmtId="165" fontId="1" fillId="0" borderId="0" xfId="0" applyNumberFormat="1" applyFont="1" applyFill="1" applyAlignment="1" applyProtection="1">
      <alignment horizontal="right"/>
      <protection hidden="1"/>
    </xf>
    <xf numFmtId="3" fontId="1" fillId="0" borderId="0" xfId="0" applyNumberFormat="1" applyFont="1" applyFill="1" applyBorder="1" applyProtection="1">
      <protection hidden="1"/>
    </xf>
    <xf numFmtId="3" fontId="1" fillId="0" borderId="0" xfId="0" applyNumberFormat="1" applyFont="1" applyFill="1" applyAlignment="1" applyProtection="1">
      <alignment horizontal="right"/>
      <protection hidden="1"/>
    </xf>
    <xf numFmtId="0" fontId="12" fillId="4" borderId="0" xfId="0" applyNumberFormat="1" applyFont="1" applyFill="1" applyAlignment="1" applyProtection="1">
      <alignment horizontal="right"/>
      <protection hidden="1"/>
    </xf>
    <xf numFmtId="0" fontId="14" fillId="4" borderId="0" xfId="0" applyNumberFormat="1" applyFont="1" applyFill="1" applyAlignment="1" applyProtection="1">
      <alignment horizontal="right" vertical="top"/>
      <protection hidden="1"/>
    </xf>
    <xf numFmtId="0" fontId="14" fillId="4" borderId="0" xfId="0" applyNumberFormat="1" applyFont="1" applyFill="1" applyAlignment="1" applyProtection="1">
      <alignment horizontal="right"/>
      <protection hidden="1"/>
    </xf>
    <xf numFmtId="0" fontId="0" fillId="4" borderId="0" xfId="0" applyNumberFormat="1" applyFont="1" applyFill="1" applyAlignment="1" applyProtection="1">
      <alignment horizontal="right"/>
      <protection hidden="1"/>
    </xf>
    <xf numFmtId="0" fontId="3" fillId="4" borderId="0" xfId="0" applyNumberFormat="1" applyFont="1" applyFill="1" applyAlignment="1" applyProtection="1">
      <alignment horizontal="right"/>
      <protection hidden="1"/>
    </xf>
    <xf numFmtId="0" fontId="12"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protection hidden="1"/>
    </xf>
    <xf numFmtId="0" fontId="0" fillId="5" borderId="0" xfId="0" applyNumberFormat="1" applyFont="1" applyFill="1" applyAlignment="1" applyProtection="1">
      <alignment horizontal="right"/>
      <protection hidden="1"/>
    </xf>
    <xf numFmtId="0" fontId="0" fillId="5" borderId="0" xfId="0" quotePrefix="1" applyNumberFormat="1" applyFont="1" applyFill="1" applyAlignment="1" applyProtection="1">
      <alignment horizontal="right"/>
      <protection hidden="1"/>
    </xf>
    <xf numFmtId="0" fontId="0" fillId="5" borderId="0" xfId="0" applyNumberFormat="1" applyFill="1" applyAlignment="1" applyProtection="1">
      <alignment horizontal="right"/>
      <protection hidden="1"/>
    </xf>
    <xf numFmtId="0" fontId="0" fillId="5" borderId="0" xfId="0" quotePrefix="1" applyNumberFormat="1" applyFill="1" applyAlignment="1" applyProtection="1">
      <alignment horizontal="right"/>
      <protection hidden="1"/>
    </xf>
    <xf numFmtId="0" fontId="12" fillId="5" borderId="0" xfId="0" applyNumberFormat="1" applyFont="1" applyFill="1" applyAlignment="1" applyProtection="1">
      <alignment horizontal="right"/>
      <protection hidden="1"/>
    </xf>
    <xf numFmtId="0" fontId="14" fillId="5" borderId="0" xfId="1" applyNumberFormat="1" applyFont="1" applyFill="1" applyAlignment="1" applyProtection="1">
      <alignment horizontal="right"/>
      <protection hidden="1"/>
    </xf>
    <xf numFmtId="0" fontId="12"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vertical="top"/>
      <protection hidden="1"/>
    </xf>
    <xf numFmtId="0" fontId="0" fillId="6" borderId="0" xfId="0" applyNumberFormat="1" applyFont="1" applyFill="1" applyAlignment="1" applyProtection="1">
      <alignment horizontal="right"/>
      <protection hidden="1"/>
    </xf>
    <xf numFmtId="0" fontId="14" fillId="6" borderId="0" xfId="1" applyNumberFormat="1" applyFont="1" applyFill="1" applyAlignment="1" applyProtection="1">
      <alignment horizontal="right"/>
      <protection hidden="1"/>
    </xf>
    <xf numFmtId="0" fontId="0" fillId="6" borderId="0" xfId="1" applyNumberFormat="1" applyFont="1" applyFill="1" applyAlignment="1" applyProtection="1">
      <alignment horizontal="right"/>
      <protection hidden="1"/>
    </xf>
    <xf numFmtId="0" fontId="14" fillId="6" borderId="0" xfId="1" applyNumberFormat="1" applyFont="1" applyFill="1" applyAlignment="1" applyProtection="1">
      <alignment horizontal="right" vertical="top"/>
      <protection hidden="1"/>
    </xf>
    <xf numFmtId="0" fontId="1" fillId="0" borderId="0" xfId="0" applyFont="1" applyFill="1" applyProtection="1">
      <protection hidden="1"/>
    </xf>
    <xf numFmtId="0" fontId="1" fillId="0" borderId="0" xfId="0" applyFont="1" applyFill="1" applyAlignment="1" applyProtection="1">
      <alignment horizontal="left" indent="1"/>
      <protection hidden="1"/>
    </xf>
    <xf numFmtId="0" fontId="0" fillId="0" borderId="0" xfId="0" applyFill="1" applyBorder="1" applyAlignment="1" applyProtection="1">
      <alignment horizontal="right"/>
      <protection hidden="1"/>
    </xf>
    <xf numFmtId="0" fontId="43"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Fill="1" applyBorder="1" applyAlignment="1" applyProtection="1">
      <alignment horizontal="right"/>
      <protection hidden="1"/>
    </xf>
    <xf numFmtId="0" fontId="0" fillId="4" borderId="0" xfId="0" applyFill="1" applyBorder="1" applyAlignment="1" applyProtection="1">
      <alignment horizontal="right"/>
      <protection hidden="1"/>
    </xf>
    <xf numFmtId="0" fontId="0" fillId="0" borderId="0" xfId="0" applyFill="1" applyBorder="1" applyAlignment="1" applyProtection="1">
      <alignment horizontal="left" indent="1"/>
      <protection hidden="1"/>
    </xf>
    <xf numFmtId="0" fontId="0" fillId="0" borderId="0" xfId="0" applyFill="1" applyBorder="1" applyAlignment="1" applyProtection="1">
      <alignment horizontal="left"/>
      <protection hidden="1"/>
    </xf>
    <xf numFmtId="165" fontId="14" fillId="0" borderId="0" xfId="0" quotePrefix="1" applyNumberFormat="1" applyFont="1" applyFill="1" applyAlignment="1" applyProtection="1">
      <alignment horizontal="right"/>
      <protection hidden="1"/>
    </xf>
    <xf numFmtId="165" fontId="14" fillId="0" borderId="0" xfId="0" applyNumberFormat="1" applyFont="1" applyFill="1" applyProtection="1">
      <protection hidden="1"/>
    </xf>
    <xf numFmtId="0" fontId="14" fillId="0" borderId="0" xfId="0" applyFont="1" applyFill="1" applyAlignment="1" applyProtection="1">
      <alignment horizontal="left" wrapText="1"/>
      <protection hidden="1"/>
    </xf>
    <xf numFmtId="165" fontId="0" fillId="0" borderId="0" xfId="0" applyNumberFormat="1" applyFill="1" applyProtection="1">
      <protection hidden="1"/>
    </xf>
    <xf numFmtId="0" fontId="1" fillId="0" borderId="0" xfId="0" applyFont="1" applyFill="1" applyBorder="1" applyAlignment="1" applyProtection="1">
      <alignment horizontal="right"/>
      <protection hidden="1"/>
    </xf>
    <xf numFmtId="165" fontId="1" fillId="0" borderId="0" xfId="4" applyNumberFormat="1" applyFont="1" applyFill="1" applyBorder="1" applyAlignment="1" applyProtection="1">
      <alignment horizontal="right"/>
      <protection hidden="1"/>
    </xf>
    <xf numFmtId="165" fontId="1" fillId="0" borderId="0" xfId="4" applyNumberFormat="1" applyFont="1" applyFill="1" applyBorder="1" applyProtection="1">
      <protection hidden="1"/>
    </xf>
    <xf numFmtId="0" fontId="0" fillId="0" borderId="0" xfId="0" applyFill="1" applyAlignment="1" applyProtection="1">
      <alignment horizontal="left" wrapText="1" indent="1"/>
      <protection hidden="1"/>
    </xf>
    <xf numFmtId="1" fontId="1" fillId="0" borderId="0" xfId="0" applyNumberFormat="1" applyFont="1" applyFill="1" applyBorder="1" applyProtection="1">
      <protection hidden="1"/>
    </xf>
    <xf numFmtId="0" fontId="14" fillId="0" borderId="0" xfId="0" applyFont="1" applyAlignment="1" applyProtection="1">
      <alignment horizontal="left"/>
      <protection hidden="1"/>
    </xf>
    <xf numFmtId="49" fontId="5"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right"/>
      <protection hidden="1"/>
    </xf>
    <xf numFmtId="49" fontId="0" fillId="0" borderId="0" xfId="0" applyNumberFormat="1" applyFont="1" applyAlignment="1" applyProtection="1">
      <alignment horizontal="right"/>
      <protection hidden="1"/>
    </xf>
    <xf numFmtId="49" fontId="3" fillId="0" borderId="0" xfId="0" applyNumberFormat="1" applyFont="1" applyFill="1" applyAlignment="1" applyProtection="1">
      <alignment horizontal="right"/>
      <protection hidden="1"/>
    </xf>
    <xf numFmtId="49" fontId="0" fillId="0" borderId="0" xfId="0" applyNumberFormat="1" applyFont="1" applyFill="1" applyAlignment="1" applyProtection="1">
      <alignment horizontal="right"/>
      <protection hidden="1"/>
    </xf>
    <xf numFmtId="49" fontId="12" fillId="0" borderId="0" xfId="0" applyNumberFormat="1" applyFont="1" applyFill="1" applyAlignment="1" applyProtection="1">
      <alignment horizontal="right"/>
      <protection hidden="1"/>
    </xf>
    <xf numFmtId="49" fontId="14" fillId="0" borderId="0" xfId="0" applyNumberFormat="1" applyFont="1" applyFill="1" applyAlignment="1" applyProtection="1">
      <alignment horizontal="right"/>
      <protection hidden="1"/>
    </xf>
    <xf numFmtId="49" fontId="20" fillId="0" borderId="0" xfId="0" applyNumberFormat="1" applyFont="1" applyFill="1" applyAlignment="1" applyProtection="1">
      <alignment horizontal="right" vertical="top"/>
      <protection hidden="1"/>
    </xf>
    <xf numFmtId="49" fontId="1" fillId="0" borderId="0" xfId="0" applyNumberFormat="1" applyFont="1" applyFill="1" applyAlignment="1" applyProtection="1">
      <alignment horizontal="right"/>
      <protection hidden="1"/>
    </xf>
    <xf numFmtId="49" fontId="0" fillId="0" borderId="0" xfId="0" applyNumberFormat="1" applyFill="1" applyAlignment="1" applyProtection="1">
      <alignment horizontal="right"/>
      <protection hidden="1"/>
    </xf>
    <xf numFmtId="49" fontId="20" fillId="0" borderId="0" xfId="0" applyNumberFormat="1" applyFont="1" applyFill="1" applyAlignment="1" applyProtection="1">
      <alignment horizontal="right" vertical="top" wrapText="1"/>
      <protection hidden="1"/>
    </xf>
    <xf numFmtId="49" fontId="20" fillId="0" borderId="0" xfId="0" applyNumberFormat="1" applyFont="1" applyFill="1" applyAlignment="1" applyProtection="1">
      <alignment horizontal="right"/>
      <protection hidden="1"/>
    </xf>
    <xf numFmtId="0" fontId="21" fillId="0" borderId="0" xfId="0" applyNumberFormat="1" applyFont="1" applyFill="1" applyAlignment="1" applyProtection="1">
      <alignment horizontal="right" vertical="center"/>
      <protection hidden="1"/>
    </xf>
    <xf numFmtId="0" fontId="14" fillId="0" borderId="0" xfId="1" applyNumberFormat="1" applyFont="1" applyFill="1" applyAlignment="1" applyProtection="1">
      <alignment horizontal="right" vertical="top"/>
      <protection hidden="1"/>
    </xf>
    <xf numFmtId="0" fontId="11" fillId="2" borderId="0" xfId="0" applyFont="1" applyFill="1" applyAlignment="1" applyProtection="1">
      <alignment vertical="top" wrapText="1"/>
      <protection hidden="1"/>
    </xf>
    <xf numFmtId="0" fontId="4" fillId="2" borderId="0" xfId="2" applyFont="1" applyFill="1" applyAlignment="1" applyProtection="1">
      <alignment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left" vertical="top" wrapText="1"/>
      <protection hidden="1"/>
    </xf>
    <xf numFmtId="0" fontId="4" fillId="2" borderId="0" xfId="2" applyFont="1" applyFill="1" applyAlignment="1">
      <alignment vertical="top"/>
    </xf>
    <xf numFmtId="0" fontId="11" fillId="2" borderId="0" xfId="0" applyFont="1" applyFill="1" applyAlignment="1" applyProtection="1">
      <alignment vertical="center" wrapText="1"/>
      <protection hidden="1"/>
    </xf>
    <xf numFmtId="0" fontId="10" fillId="2" borderId="0" xfId="0" applyFont="1" applyFill="1" applyAlignment="1" applyProtection="1">
      <alignment vertical="top" wrapText="1"/>
      <protection hidden="1"/>
    </xf>
    <xf numFmtId="0" fontId="42" fillId="2" borderId="1" xfId="0" applyFont="1" applyFill="1" applyBorder="1" applyAlignment="1" applyProtection="1">
      <alignment horizontal="left" vertical="center" wrapText="1" indent="1"/>
      <protection locked="0"/>
    </xf>
    <xf numFmtId="0" fontId="11" fillId="2" borderId="0" xfId="0" applyFont="1" applyFill="1" applyAlignment="1" applyProtection="1">
      <alignment horizontal="left" vertical="center" indent="1"/>
      <protection hidden="1"/>
    </xf>
    <xf numFmtId="0" fontId="11" fillId="2" borderId="0" xfId="0" applyFont="1" applyFill="1" applyAlignment="1" applyProtection="1">
      <alignment horizontal="left" vertical="top" indent="1"/>
      <protection hidden="1"/>
    </xf>
    <xf numFmtId="0" fontId="10" fillId="2" borderId="0" xfId="2" applyFont="1" applyFill="1" applyAlignment="1" applyProtection="1">
      <alignment horizontal="left" vertical="top" indent="1"/>
      <protection hidden="1"/>
    </xf>
    <xf numFmtId="0" fontId="0" fillId="0" borderId="0" xfId="0" applyFill="1" applyAlignment="1" applyProtection="1">
      <alignment horizontal="left" wrapText="1" indent="2"/>
      <protection hidden="1"/>
    </xf>
    <xf numFmtId="0" fontId="14"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right" vertical="top" wrapText="1"/>
      <protection hidden="1"/>
    </xf>
    <xf numFmtId="0" fontId="43" fillId="0" borderId="0" xfId="0" applyFont="1" applyFill="1" applyBorder="1" applyAlignment="1" applyProtection="1">
      <alignment horizontal="right" vertical="top"/>
      <protection hidden="1"/>
    </xf>
    <xf numFmtId="0" fontId="11" fillId="2" borderId="0" xfId="0" applyFont="1" applyFill="1" applyAlignment="1" applyProtection="1">
      <alignment horizontal="left" vertical="top" wrapText="1" indent="1"/>
      <protection hidden="1"/>
    </xf>
    <xf numFmtId="0" fontId="7" fillId="2" borderId="0" xfId="0" applyFont="1" applyFill="1" applyAlignment="1" applyProtection="1">
      <alignment horizontal="left" vertical="center" wrapText="1" indent="1"/>
      <protection hidden="1"/>
    </xf>
    <xf numFmtId="0" fontId="11" fillId="2" borderId="0" xfId="0" applyFont="1" applyFill="1" applyAlignment="1" applyProtection="1">
      <alignment horizontal="left" vertical="center" wrapText="1" indent="1"/>
      <protection hidden="1"/>
    </xf>
    <xf numFmtId="0" fontId="10" fillId="2" borderId="0" xfId="2" applyFont="1" applyFill="1" applyAlignment="1" applyProtection="1">
      <alignment horizontal="left" vertical="top" wrapText="1" indent="1"/>
      <protection hidden="1"/>
    </xf>
    <xf numFmtId="0" fontId="3" fillId="0" borderId="0" xfId="0" applyFont="1" applyAlignment="1" applyProtection="1">
      <alignment horizontal="left" indent="1"/>
      <protection hidden="1"/>
    </xf>
    <xf numFmtId="0" fontId="44" fillId="0" borderId="0" xfId="0" applyFont="1" applyAlignment="1" applyProtection="1">
      <alignment horizontal="right"/>
      <protection hidden="1"/>
    </xf>
    <xf numFmtId="0" fontId="19" fillId="0" borderId="0" xfId="0" applyNumberFormat="1" applyFont="1" applyAlignment="1" applyProtection="1">
      <alignment horizontal="right"/>
      <protection hidden="1"/>
    </xf>
    <xf numFmtId="0" fontId="20" fillId="0" borderId="0" xfId="0" applyNumberFormat="1" applyFont="1" applyFill="1" applyAlignment="1" applyProtection="1">
      <alignment horizontal="right" vertical="top"/>
      <protection hidden="1"/>
    </xf>
    <xf numFmtId="0" fontId="19" fillId="0" borderId="0" xfId="0" applyFont="1" applyAlignment="1" applyProtection="1">
      <alignment horizontal="right"/>
      <protection hidden="1"/>
    </xf>
    <xf numFmtId="0" fontId="20" fillId="0" borderId="0" xfId="0" applyNumberFormat="1" applyFont="1" applyFill="1" applyAlignment="1" applyProtection="1">
      <alignment horizontal="right"/>
      <protection hidden="1"/>
    </xf>
    <xf numFmtId="0" fontId="20" fillId="0" borderId="0" xfId="1" applyNumberFormat="1" applyFont="1" applyFill="1" applyAlignment="1" applyProtection="1">
      <alignment horizontal="right"/>
      <protection hidden="1"/>
    </xf>
    <xf numFmtId="0" fontId="45" fillId="0" borderId="0" xfId="0" applyFont="1" applyAlignment="1" applyProtection="1">
      <alignment horizontal="right"/>
      <protection hidden="1"/>
    </xf>
    <xf numFmtId="0" fontId="45" fillId="0" borderId="0" xfId="0" applyFont="1" applyProtection="1">
      <protection hidden="1"/>
    </xf>
    <xf numFmtId="0" fontId="45" fillId="0" borderId="0" xfId="0" applyFont="1" applyAlignment="1" applyProtection="1">
      <alignment horizontal="right" indent="1"/>
      <protection hidden="1"/>
    </xf>
    <xf numFmtId="0" fontId="45" fillId="0" borderId="0" xfId="0" applyNumberFormat="1" applyFont="1" applyAlignment="1" applyProtection="1">
      <alignment horizontal="right"/>
      <protection hidden="1"/>
    </xf>
    <xf numFmtId="0" fontId="46" fillId="0" borderId="0" xfId="0" applyNumberFormat="1" applyFont="1" applyFill="1" applyAlignment="1" applyProtection="1">
      <alignment horizontal="right"/>
      <protection hidden="1"/>
    </xf>
    <xf numFmtId="0" fontId="19" fillId="0" borderId="0" xfId="0" applyFont="1" applyAlignment="1" applyProtection="1">
      <alignment horizontal="right" indent="1"/>
      <protection hidden="1"/>
    </xf>
    <xf numFmtId="0" fontId="3" fillId="6" borderId="0" xfId="0" applyNumberFormat="1" applyFont="1" applyFill="1" applyAlignment="1" applyProtection="1">
      <alignment horizontal="right"/>
      <protection hidden="1"/>
    </xf>
    <xf numFmtId="0" fontId="0" fillId="0" borderId="0" xfId="0" applyFill="1"/>
    <xf numFmtId="3" fontId="0" fillId="0" borderId="0" xfId="0" applyNumberFormat="1" applyFont="1" applyAlignment="1" applyProtection="1">
      <alignment horizontal="right"/>
      <protection hidden="1"/>
    </xf>
    <xf numFmtId="1" fontId="0" fillId="0" borderId="0" xfId="1" applyNumberFormat="1" applyFont="1" applyFill="1" applyAlignment="1" applyProtection="1">
      <alignment horizontal="right"/>
      <protection hidden="1"/>
    </xf>
    <xf numFmtId="1" fontId="0" fillId="0" borderId="0" xfId="0" applyNumberFormat="1" applyFill="1" applyAlignment="1" applyProtection="1">
      <alignment horizontal="right"/>
      <protection hidden="1"/>
    </xf>
    <xf numFmtId="1" fontId="0" fillId="5" borderId="0" xfId="0" applyNumberFormat="1" applyFill="1" applyAlignment="1" applyProtection="1">
      <alignment horizontal="right"/>
      <protection hidden="1"/>
    </xf>
    <xf numFmtId="165" fontId="14" fillId="0" borderId="0" xfId="1" applyNumberFormat="1" applyFont="1" applyFill="1" applyAlignment="1" applyProtection="1">
      <alignment horizontal="right"/>
      <protection hidden="1"/>
    </xf>
    <xf numFmtId="165" fontId="0" fillId="0" borderId="0" xfId="1" applyNumberFormat="1" applyFont="1" applyFill="1" applyAlignment="1" applyProtection="1">
      <alignment horizontal="right"/>
      <protection hidden="1"/>
    </xf>
    <xf numFmtId="165" fontId="0" fillId="5" borderId="0" xfId="0" applyNumberFormat="1" applyFill="1" applyAlignment="1" applyProtection="1">
      <alignment horizontal="right"/>
      <protection hidden="1"/>
    </xf>
    <xf numFmtId="1" fontId="0" fillId="0" borderId="0" xfId="0" applyNumberFormat="1" applyFont="1" applyAlignment="1" applyProtection="1">
      <alignment horizontal="right"/>
      <protection hidden="1"/>
    </xf>
    <xf numFmtId="165" fontId="1" fillId="0" borderId="0" xfId="0" applyNumberFormat="1" applyFont="1" applyFill="1" applyProtection="1">
      <protection hidden="1"/>
    </xf>
    <xf numFmtId="165" fontId="14" fillId="5" borderId="0" xfId="1" applyNumberFormat="1" applyFont="1" applyFill="1" applyAlignment="1" applyProtection="1">
      <alignment horizontal="right"/>
      <protection hidden="1"/>
    </xf>
    <xf numFmtId="165" fontId="1" fillId="0" borderId="0" xfId="0" quotePrefix="1" applyNumberFormat="1" applyFont="1" applyFill="1" applyAlignment="1" applyProtection="1">
      <alignment horizontal="right"/>
      <protection hidden="1"/>
    </xf>
    <xf numFmtId="165" fontId="0" fillId="0" borderId="0" xfId="0" quotePrefix="1" applyNumberFormat="1" applyFont="1" applyAlignment="1" applyProtection="1">
      <alignment horizontal="right"/>
      <protection hidden="1"/>
    </xf>
    <xf numFmtId="165" fontId="14" fillId="6" borderId="0" xfId="0" applyNumberFormat="1" applyFont="1" applyFill="1" applyAlignment="1" applyProtection="1">
      <alignment horizontal="right" vertical="top"/>
      <protection hidden="1"/>
    </xf>
    <xf numFmtId="165" fontId="0" fillId="0" borderId="0" xfId="0" applyNumberFormat="1" applyFont="1" applyProtection="1">
      <protection hidden="1"/>
    </xf>
    <xf numFmtId="165" fontId="0" fillId="0" borderId="0" xfId="0" quotePrefix="1" applyNumberFormat="1" applyFont="1" applyFill="1" applyAlignment="1" applyProtection="1">
      <alignment horizontal="right"/>
      <protection hidden="1"/>
    </xf>
    <xf numFmtId="1" fontId="12" fillId="6" borderId="0" xfId="0" applyNumberFormat="1" applyFont="1" applyFill="1" applyAlignment="1" applyProtection="1">
      <alignment horizontal="right"/>
      <protection hidden="1"/>
    </xf>
    <xf numFmtId="1" fontId="14" fillId="6" borderId="0" xfId="0" applyNumberFormat="1" applyFont="1" applyFill="1" applyAlignment="1" applyProtection="1">
      <alignment horizontal="right"/>
      <protection hidden="1"/>
    </xf>
    <xf numFmtId="1" fontId="14" fillId="6" borderId="0" xfId="0" applyNumberFormat="1" applyFont="1" applyFill="1" applyAlignment="1" applyProtection="1">
      <alignment horizontal="right" vertical="top"/>
      <protection hidden="1"/>
    </xf>
    <xf numFmtId="1" fontId="3" fillId="6" borderId="0" xfId="0" applyNumberFormat="1" applyFont="1" applyFill="1" applyAlignment="1" applyProtection="1">
      <alignment horizontal="right"/>
      <protection hidden="1"/>
    </xf>
    <xf numFmtId="1" fontId="3" fillId="6" borderId="0" xfId="0" applyNumberFormat="1" applyFont="1" applyFill="1" applyProtection="1">
      <protection hidden="1"/>
    </xf>
    <xf numFmtId="1" fontId="0" fillId="6" borderId="0" xfId="0" applyNumberFormat="1" applyFont="1" applyFill="1" applyProtection="1">
      <protection hidden="1"/>
    </xf>
    <xf numFmtId="1" fontId="0" fillId="6" borderId="0" xfId="0" quotePrefix="1" applyNumberFormat="1" applyFont="1" applyFill="1" applyAlignment="1" applyProtection="1">
      <alignment horizontal="right"/>
      <protection hidden="1"/>
    </xf>
    <xf numFmtId="0" fontId="3" fillId="6" borderId="0" xfId="0" applyFont="1" applyFill="1" applyAlignment="1" applyProtection="1">
      <alignment horizontal="right"/>
      <protection hidden="1"/>
    </xf>
    <xf numFmtId="0" fontId="3" fillId="6" borderId="0" xfId="0" applyFont="1" applyFill="1" applyProtection="1">
      <protection hidden="1"/>
    </xf>
    <xf numFmtId="0" fontId="0" fillId="6" borderId="0" xfId="0" applyFont="1" applyFill="1" applyProtection="1">
      <protection hidden="1"/>
    </xf>
    <xf numFmtId="0" fontId="0" fillId="6" borderId="0" xfId="0" quotePrefix="1" applyNumberFormat="1" applyFont="1" applyFill="1" applyAlignment="1" applyProtection="1">
      <alignment horizontal="right"/>
      <protection hidden="1"/>
    </xf>
    <xf numFmtId="165" fontId="14" fillId="0" borderId="0" xfId="0" applyNumberFormat="1" applyFont="1" applyFill="1" applyAlignment="1" applyProtection="1">
      <alignment horizontal="right" vertical="top"/>
      <protection hidden="1"/>
    </xf>
    <xf numFmtId="1" fontId="0" fillId="0" borderId="0" xfId="0" applyNumberFormat="1" applyFont="1" applyFill="1" applyAlignment="1" applyProtection="1">
      <alignment horizontal="right"/>
      <protection hidden="1"/>
    </xf>
    <xf numFmtId="4" fontId="0" fillId="0" borderId="0" xfId="0" applyNumberFormat="1" applyFont="1" applyFill="1" applyAlignment="1" applyProtection="1">
      <alignment horizontal="right"/>
      <protection hidden="1"/>
    </xf>
    <xf numFmtId="4" fontId="14" fillId="0" borderId="0" xfId="0" applyNumberFormat="1" applyFont="1" applyFill="1" applyAlignment="1" applyProtection="1">
      <alignment horizontal="right" vertical="top"/>
      <protection hidden="1"/>
    </xf>
    <xf numFmtId="4" fontId="14" fillId="3" borderId="0" xfId="0" applyNumberFormat="1" applyFont="1" applyFill="1" applyAlignment="1" applyProtection="1">
      <alignment horizontal="right" vertical="top"/>
      <protection hidden="1"/>
    </xf>
    <xf numFmtId="4" fontId="14" fillId="0" borderId="0" xfId="0" applyNumberFormat="1" applyFont="1" applyFill="1" applyAlignment="1" applyProtection="1">
      <alignment horizontal="right"/>
      <protection hidden="1"/>
    </xf>
    <xf numFmtId="4" fontId="14" fillId="3" borderId="0" xfId="0" applyNumberFormat="1" applyFont="1" applyFill="1" applyAlignment="1" applyProtection="1">
      <alignment horizontal="right"/>
      <protection hidden="1"/>
    </xf>
    <xf numFmtId="1" fontId="0" fillId="3" borderId="0" xfId="0" applyNumberFormat="1" applyFont="1" applyFill="1" applyAlignment="1" applyProtection="1">
      <alignment horizontal="right"/>
      <protection hidden="1"/>
    </xf>
    <xf numFmtId="1" fontId="14" fillId="0" borderId="0" xfId="0" applyNumberFormat="1" applyFont="1" applyFill="1" applyAlignment="1" applyProtection="1">
      <alignment horizontal="right"/>
      <protection hidden="1"/>
    </xf>
    <xf numFmtId="1" fontId="14" fillId="3" borderId="0" xfId="0" applyNumberFormat="1" applyFont="1" applyFill="1" applyAlignment="1" applyProtection="1">
      <alignment horizontal="right"/>
      <protection hidden="1"/>
    </xf>
    <xf numFmtId="3" fontId="1" fillId="0" borderId="0" xfId="1" applyNumberFormat="1" applyFont="1" applyFill="1" applyAlignment="1" applyProtection="1">
      <alignment horizontal="right"/>
      <protection hidden="1"/>
    </xf>
    <xf numFmtId="3" fontId="14" fillId="4" borderId="0" xfId="0" applyNumberFormat="1" applyFont="1" applyFill="1" applyAlignment="1" applyProtection="1">
      <alignment horizontal="right"/>
      <protection hidden="1"/>
    </xf>
    <xf numFmtId="3" fontId="14" fillId="0" borderId="0" xfId="0" applyNumberFormat="1" applyFont="1" applyFill="1" applyAlignment="1" applyProtection="1">
      <alignment horizontal="right" vertical="top"/>
      <protection hidden="1"/>
    </xf>
    <xf numFmtId="3" fontId="14" fillId="4" borderId="0" xfId="0" applyNumberFormat="1" applyFont="1" applyFill="1" applyAlignment="1" applyProtection="1">
      <alignment horizontal="right" vertical="top"/>
      <protection hidden="1"/>
    </xf>
    <xf numFmtId="3" fontId="14" fillId="0" borderId="0" xfId="0" quotePrefix="1" applyNumberFormat="1" applyFont="1" applyFill="1" applyAlignment="1" applyProtection="1">
      <alignment horizontal="right"/>
      <protection hidden="1"/>
    </xf>
    <xf numFmtId="3" fontId="0" fillId="4" borderId="0" xfId="0" applyNumberFormat="1" applyFont="1" applyFill="1" applyAlignment="1" applyProtection="1">
      <alignment horizontal="right"/>
      <protection hidden="1"/>
    </xf>
    <xf numFmtId="3" fontId="1" fillId="0" borderId="0" xfId="0" applyNumberFormat="1" applyFont="1" applyFill="1" applyBorder="1" applyAlignment="1" applyProtection="1">
      <alignment horizontal="right"/>
      <protection hidden="1"/>
    </xf>
    <xf numFmtId="165" fontId="47" fillId="6" borderId="0" xfId="0" applyNumberFormat="1" applyFont="1" applyFill="1" applyAlignment="1">
      <alignment horizontal="right"/>
    </xf>
    <xf numFmtId="165" fontId="0" fillId="6" borderId="0" xfId="0" applyNumberFormat="1" applyFont="1" applyFill="1" applyAlignment="1">
      <alignment horizontal="right"/>
    </xf>
    <xf numFmtId="167" fontId="0" fillId="0" borderId="0" xfId="0" applyNumberFormat="1" applyFont="1" applyFill="1" applyAlignment="1" applyProtection="1">
      <alignment horizontal="right"/>
      <protection hidden="1"/>
    </xf>
    <xf numFmtId="167" fontId="0" fillId="3" borderId="0" xfId="0" applyNumberFormat="1" applyFont="1" applyFill="1" applyAlignment="1" applyProtection="1">
      <alignment horizontal="right"/>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wrapText="1"/>
      <protection hidden="1"/>
    </xf>
    <xf numFmtId="0" fontId="40" fillId="0" borderId="0" xfId="2" applyFont="1" applyAlignment="1" applyProtection="1">
      <alignment horizontal="right" vertical="center" wrapText="1" indent="1"/>
      <protection hidden="1"/>
    </xf>
    <xf numFmtId="0" fontId="40" fillId="0" borderId="3" xfId="2" applyFont="1" applyBorder="1" applyAlignment="1" applyProtection="1">
      <alignment horizontal="right" vertical="center" wrapText="1" indent="1"/>
      <protection hidden="1"/>
    </xf>
    <xf numFmtId="0" fontId="12" fillId="0" borderId="0" xfId="0" applyFont="1" applyFill="1" applyAlignment="1" applyProtection="1">
      <alignment vertical="top"/>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3" fillId="0" borderId="0" xfId="0" applyFont="1" applyFill="1" applyAlignment="1" applyProtection="1">
      <alignment vertical="top" wrapText="1"/>
      <protection hidden="1"/>
    </xf>
    <xf numFmtId="0" fontId="43" fillId="0" borderId="0" xfId="0" applyFont="1" applyFill="1" applyAlignment="1" applyProtection="1">
      <alignment horizontal="left" vertical="top" wrapText="1"/>
      <protection hidden="1"/>
    </xf>
    <xf numFmtId="0" fontId="3" fillId="0" borderId="0" xfId="0" applyNumberFormat="1" applyFont="1" applyAlignment="1" applyProtection="1">
      <alignment vertical="top" wrapText="1"/>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Font="1" applyFill="1" applyAlignment="1" applyProtection="1">
      <alignment vertical="center"/>
      <protection hidden="1"/>
    </xf>
  </cellXfs>
  <cellStyles count="6">
    <cellStyle name="Komma" xfId="1" builtinId="3"/>
    <cellStyle name="Link" xfId="2" builtinId="8"/>
    <cellStyle name="Prozent" xfId="4" builtinId="5"/>
    <cellStyle name="Standard" xfId="0" builtinId="0"/>
    <cellStyle name="Standard 2 2" xfId="5"/>
    <cellStyle name="Standard 7" xfId="3"/>
  </cellStyles>
  <dxfs count="157">
    <dxf>
      <numFmt numFmtId="167" formatCode="#,##0.0"/>
    </dxf>
    <dxf>
      <numFmt numFmtId="167" formatCode="#,##0.0"/>
    </dxf>
    <dxf>
      <numFmt numFmtId="167" formatCode="#,##0.0"/>
    </dxf>
    <dxf>
      <numFmt numFmtId="167" formatCode="#,##0.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3" formatCode="#,##0"/>
    </dxf>
    <dxf>
      <numFmt numFmtId="3" formatCode="#,##0"/>
    </dxf>
    <dxf>
      <numFmt numFmtId="167" formatCode="#,##0.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167" formatCode="#,##0.0"/>
    </dxf>
    <dxf>
      <numFmt numFmtId="4" formatCode="#,##0.00"/>
    </dxf>
    <dxf>
      <numFmt numFmtId="4" formatCode="#,##0.00"/>
    </dxf>
    <dxf>
      <numFmt numFmtId="3" formatCode="#,##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numFmt numFmtId="3" formatCode="#,##0"/>
    </dxf>
    <dxf>
      <numFmt numFmtId="3" formatCode="#,##0"/>
    </dxf>
    <dxf>
      <numFmt numFmtId="167" formatCode="#,##0.0"/>
    </dxf>
    <dxf>
      <numFmt numFmtId="3" formatCode="#,##0"/>
    </dxf>
    <dxf>
      <numFmt numFmtId="3" formatCode="#,##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numFmt numFmtId="3" formatCode="#,##0"/>
    </dxf>
    <dxf>
      <numFmt numFmtId="167" formatCode="#,##0.0"/>
    </dxf>
    <dxf>
      <numFmt numFmtId="167" formatCode="#,##0.0"/>
    </dxf>
    <dxf>
      <numFmt numFmtId="167" formatCode="#,##0.0"/>
    </dxf>
    <dxf>
      <numFmt numFmtId="167" formatCode="#,##0.0"/>
    </dxf>
    <dxf>
      <numFmt numFmtId="3" formatCode="#,##0"/>
    </dxf>
    <dxf>
      <numFmt numFmtId="4" formatCode="#,##0.00"/>
    </dxf>
    <dxf>
      <numFmt numFmtId="167" formatCode="#,##0.0"/>
    </dxf>
    <dxf>
      <numFmt numFmtId="3" formatCode="#,##0"/>
    </dxf>
    <dxf>
      <fill>
        <patternFill>
          <bgColor theme="2" tint="0.59996337778862885"/>
        </patternFill>
      </fill>
    </dxf>
    <dxf>
      <fill>
        <patternFill>
          <bgColor theme="2" tint="0.59996337778862885"/>
        </patternFill>
      </fill>
    </dxf>
    <dxf>
      <numFmt numFmtId="3" formatCode="#,##0"/>
    </dxf>
    <dxf>
      <numFmt numFmtId="4" formatCode="#,##0.00"/>
    </dxf>
    <dxf>
      <numFmt numFmtId="167" formatCode="#,##0.0"/>
    </dxf>
    <dxf>
      <numFmt numFmtId="3" formatCode="#,##0"/>
    </dxf>
    <dxf>
      <fill>
        <patternFill>
          <bgColor theme="2" tint="0.59996337778862885"/>
        </patternFill>
      </fill>
    </dxf>
    <dxf>
      <numFmt numFmtId="4" formatCode="#,##0.00"/>
    </dxf>
    <dxf>
      <numFmt numFmtId="3" formatCode="#,##0"/>
    </dxf>
    <dxf>
      <numFmt numFmtId="3" formatCode="#,##0"/>
    </dxf>
    <dxf>
      <numFmt numFmtId="3" formatCode="#,##0"/>
    </dxf>
    <dxf>
      <numFmt numFmtId="3" formatCode="#,##0"/>
    </dxf>
    <dxf>
      <numFmt numFmtId="3" formatCode="#,##0"/>
    </dxf>
    <dxf>
      <numFmt numFmtId="167" formatCode="#,##0.0"/>
    </dxf>
    <dxf>
      <numFmt numFmtId="167" formatCode="#,##0.0"/>
    </dxf>
    <dxf>
      <numFmt numFmtId="3" formatCode="#,##0"/>
    </dxf>
    <dxf>
      <numFmt numFmtId="167" formatCode="#,##0.0"/>
    </dxf>
    <dxf>
      <numFmt numFmtId="4" formatCode="#,##0.00"/>
    </dxf>
    <dxf>
      <numFmt numFmtId="3" formatCode="#,##0"/>
    </dxf>
    <dxf>
      <fill>
        <patternFill>
          <bgColor theme="2" tint="0.59996337778862885"/>
        </patternFill>
      </fill>
    </dxf>
    <dxf>
      <fill>
        <patternFill>
          <bgColor theme="2" tint="0.59996337778862885"/>
        </patternFill>
      </fill>
    </dxf>
    <dxf>
      <numFmt numFmtId="167" formatCode="#,##0.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7" formatCode="#,##0.0"/>
    </dxf>
    <dxf>
      <numFmt numFmtId="3" formatCode="#,##0"/>
    </dxf>
    <dxf>
      <fill>
        <patternFill>
          <bgColor theme="2" tint="0.59996337778862885"/>
        </patternFill>
      </fill>
    </dxf>
    <dxf>
      <fill>
        <patternFill>
          <bgColor theme="2" tint="0.59996337778862885"/>
        </patternFill>
      </fill>
    </dxf>
    <dxf>
      <numFmt numFmtId="167" formatCode="#,##0.0"/>
    </dxf>
    <dxf>
      <numFmt numFmtId="167" formatCode="#,##0.0"/>
    </dxf>
    <dxf>
      <numFmt numFmtId="167" formatCode="#,##0.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numFmt numFmtId="3" formatCode="#,##0"/>
    </dxf>
    <dxf>
      <numFmt numFmtId="3" formatCode="#,##0"/>
    </dxf>
    <dxf>
      <numFmt numFmtId="167" formatCode="#,##0.0"/>
    </dxf>
    <dxf>
      <numFmt numFmtId="3" formatCode="#,##0"/>
    </dxf>
    <dxf>
      <numFmt numFmtId="167" formatCode="#,##0.0"/>
    </dxf>
    <dxf>
      <numFmt numFmtId="167" formatCode="#,##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s>
  <tableStyles count="0" defaultTableStyle="TableStyleMedium2" defaultPivotStyle="PivotStyleLight16"/>
  <colors>
    <mruColors>
      <color rgb="FF99D5D2"/>
      <color rgb="FF66C0BC"/>
      <color rgb="FFBAADC9"/>
      <color rgb="FF004976"/>
      <color rgb="FF006D68"/>
      <color rgb="FF523178"/>
      <color rgb="FF9E2A2F"/>
      <color rgb="FF99C8D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Sprachen" displayName="Sprachen" ref="A1:B5" totalsRowShown="0">
  <autoFilter ref="A1:B5"/>
  <tableColumns count="2">
    <tableColumn id="1" name="Sprache"/>
    <tableColumn id="2" name="Sprache ID"/>
  </tableColumns>
  <tableStyleInfo name="TableStyleMedium4" showFirstColumn="0" showLastColumn="0" showRowStripes="1" showColumnStripes="0"/>
</table>
</file>

<file path=xl/tables/table10.xml><?xml version="1.0" encoding="utf-8"?>
<table xmlns="http://schemas.openxmlformats.org/spreadsheetml/2006/main" id="11" name="Textbausteine_102" displayName="Textbausteine_102" ref="M1:Q316" totalsRowShown="0">
  <autoFilter ref="M1:Q316"/>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1.xml><?xml version="1.0" encoding="utf-8"?>
<table xmlns="http://schemas.openxmlformats.org/spreadsheetml/2006/main" id="13" name="Textbausteine_401" displayName="Textbausteine_401" ref="AW1:BA156" totalsRowShown="0">
  <autoFilter ref="AW1:BA156"/>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2.xml><?xml version="1.0" encoding="utf-8"?>
<table xmlns="http://schemas.openxmlformats.org/spreadsheetml/2006/main" id="14" name="Textbausteine_403" displayName="Textbausteine_403" ref="BC1:BG151" totalsRowShown="0">
  <autoFilter ref="BC1:BG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3.xml><?xml version="1.0" encoding="utf-8"?>
<table xmlns="http://schemas.openxmlformats.org/spreadsheetml/2006/main" id="15" name="Textbausteine_405" displayName="Textbausteine_405" ref="BO1:BS151" totalsRowShown="0">
  <autoFilter ref="BO1:BS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4.xml><?xml version="1.0" encoding="utf-8"?>
<table xmlns="http://schemas.openxmlformats.org/spreadsheetml/2006/main" id="8" name="Textbausteine_404_" displayName="Textbausteine_404_" ref="BI1:BM151" totalsRowShown="0">
  <autoFilter ref="BI1:BM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2.xml><?xml version="1.0" encoding="utf-8"?>
<table xmlns="http://schemas.openxmlformats.org/spreadsheetml/2006/main" id="4" name="Gewählte_Sprache" displayName="Gewählte_Sprache" ref="D1:D2" totalsRowShown="0">
  <autoFilter ref="D1:D2"/>
  <tableColumns count="1">
    <tableColumn id="1" name="Gewählte_Sprache">
      <calculatedColumnFormula>VLOOKUP('Table des matières'!$F$2,Sprachen[],2,FALSE)</calculatedColumnFormula>
    </tableColumn>
  </tableColumns>
  <tableStyleInfo name="TableStyleMedium4" showFirstColumn="0" showLastColumn="0" showRowStripes="1" showColumnStripes="0"/>
</table>
</file>

<file path=xl/tables/table3.xml><?xml version="1.0" encoding="utf-8"?>
<table xmlns="http://schemas.openxmlformats.org/spreadsheetml/2006/main" id="1" name="Textbausteine_Menu" displayName="Textbausteine_Menu" ref="A1:E67" totalsRowShown="0">
  <autoFilter ref="A1:E67"/>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4.xml><?xml version="1.0" encoding="utf-8"?>
<table xmlns="http://schemas.openxmlformats.org/spreadsheetml/2006/main" id="2" name="Textbausteine_Inhalt" displayName="Textbausteine_Inhalt" ref="G1:K20" totalsRowShown="0">
  <autoFilter ref="G1:K20"/>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5.xml><?xml version="1.0" encoding="utf-8"?>
<table xmlns="http://schemas.openxmlformats.org/spreadsheetml/2006/main" id="5" name="Textbausteine_201" displayName="Textbausteine_201" ref="S1:W159" totalsRowShown="0">
  <autoFilter ref="S1:W159"/>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6.xml><?xml version="1.0" encoding="utf-8"?>
<table xmlns="http://schemas.openxmlformats.org/spreadsheetml/2006/main" id="6" name="Textbausteine_202" displayName="Textbausteine_202" ref="Y1:AC151" totalsRowShown="0">
  <autoFilter ref="Y1:AC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7.xml><?xml version="1.0" encoding="utf-8"?>
<table xmlns="http://schemas.openxmlformats.org/spreadsheetml/2006/main" id="7" name="Textbausteine_203" displayName="Textbausteine_203" ref="AE1:AI254" totalsRowShown="0">
  <autoFilter ref="AE1:AI254"/>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8.xml><?xml version="1.0" encoding="utf-8"?>
<table xmlns="http://schemas.openxmlformats.org/spreadsheetml/2006/main" id="9" name="Textbausteine_302" displayName="Textbausteine_302" ref="AK1:AO151" totalsRowShown="0">
  <autoFilter ref="AK1:AO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9.xml><?xml version="1.0" encoding="utf-8"?>
<table xmlns="http://schemas.openxmlformats.org/spreadsheetml/2006/main" id="10" name="Textbausteine_305" displayName="Textbausteine_305" ref="AQ1:AU151" totalsRowShown="0">
  <autoFilter ref="AQ1:AU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Post-Farben DM hell">
      <a:dk1>
        <a:sysClr val="windowText" lastClr="000000"/>
      </a:dk1>
      <a:lt1>
        <a:srgbClr val="FFFFFF"/>
      </a:lt1>
      <a:dk2>
        <a:srgbClr val="EBE4D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Post-Schrift">
      <a:majorFont>
        <a:latin typeface="Frutiger 45 Light"/>
        <a:ea typeface=""/>
        <a:cs typeface=""/>
      </a:majorFont>
      <a:minorFont>
        <a:latin typeface="Frutiger 45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globalcompact.org/" TargetMode="External"/><Relationship Id="rId3" Type="http://schemas.openxmlformats.org/officeDocument/2006/relationships/hyperlink" Target="https://sustainabledevelopment.un.org/?menu=1300" TargetMode="External"/><Relationship Id="rId7" Type="http://schemas.openxmlformats.org/officeDocument/2006/relationships/hyperlink" Target="https://sustainabledevelopment.un.org/?menu=1300" TargetMode="External"/><Relationship Id="rId2" Type="http://schemas.openxmlformats.org/officeDocument/2006/relationships/hyperlink" Target="https://www.unglobalcompact.org/" TargetMode="External"/><Relationship Id="rId1" Type="http://schemas.openxmlformats.org/officeDocument/2006/relationships/hyperlink" Target="https://sustainabledevelopment.un.org/?menu=1300" TargetMode="External"/><Relationship Id="rId6" Type="http://schemas.openxmlformats.org/officeDocument/2006/relationships/hyperlink" Target="https://www.unglobalcompact.org/" TargetMode="External"/><Relationship Id="rId5" Type="http://schemas.openxmlformats.org/officeDocument/2006/relationships/hyperlink" Target="https://sustainabledevelopment.un.org/?menu=1300" TargetMode="External"/><Relationship Id="rId4" Type="http://schemas.openxmlformats.org/officeDocument/2006/relationships/hyperlink" Target="https://www.unglobalcompact.org/"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12.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F40"/>
  <sheetViews>
    <sheetView showGridLines="0" showRowColHeaders="0" tabSelected="1" zoomScale="90" zoomScaleNormal="90" workbookViewId="0">
      <selection activeCell="B2" sqref="B2:D2"/>
    </sheetView>
  </sheetViews>
  <sheetFormatPr baseColWidth="10" defaultColWidth="10.81640625" defaultRowHeight="13" customHeight="1" x14ac:dyDescent="0.3"/>
  <cols>
    <col min="1" max="2" width="2.453125" style="146" customWidth="1"/>
    <col min="3" max="3" width="43.453125" style="146" customWidth="1"/>
    <col min="4" max="4" width="73.26953125" style="301" customWidth="1"/>
    <col min="5" max="5" width="25.54296875" style="316" customWidth="1"/>
    <col min="6" max="6" width="14.1796875" style="310" customWidth="1"/>
    <col min="7" max="16384" width="10.81640625" style="146"/>
  </cols>
  <sheetData>
    <row r="2" spans="1:6" s="150" customFormat="1" ht="26.15" customHeight="1" x14ac:dyDescent="0.3">
      <c r="A2" s="157"/>
      <c r="B2" s="382" t="str">
        <f>UPPER(VLOOKUP(1,Textbausteine_Menu[],Hilfsgrössen!$D$2,FALSE))</f>
        <v>CHIFFRES CLÉS DU RAPPORT ANNUEL 2017</v>
      </c>
      <c r="C2" s="382"/>
      <c r="D2" s="382"/>
      <c r="E2" s="317"/>
      <c r="F2" s="308" t="s">
        <v>88</v>
      </c>
    </row>
    <row r="3" spans="1:6" s="151" customFormat="1" ht="26.15" customHeight="1" x14ac:dyDescent="0.3">
      <c r="A3" s="158"/>
      <c r="B3" s="384" t="str">
        <f>UPPER(VLOOKUP(2,Textbausteine_Menu[],Hilfsgrössen!$D$2,FALSE))</f>
        <v>LA POSTE</v>
      </c>
      <c r="C3" s="384"/>
      <c r="D3" s="306"/>
      <c r="E3" s="318"/>
      <c r="F3" s="309"/>
    </row>
    <row r="6" spans="1:6" s="303" customFormat="1" ht="13" customHeight="1" x14ac:dyDescent="0.3">
      <c r="B6" s="383" t="str">
        <f>VLOOKUP(3,Textbausteine_Menu[],Hilfsgrössen!$D$2,FALSE)</f>
        <v>Informations générales</v>
      </c>
      <c r="C6" s="383"/>
      <c r="D6" s="307" t="str">
        <f>VLOOKUP(31,Textbausteine_Menu[],Hilfsgrössen!$D$2,FALSE)</f>
        <v>Divulgations</v>
      </c>
      <c r="E6" s="319" t="s">
        <v>22</v>
      </c>
      <c r="F6" s="311" t="s">
        <v>25</v>
      </c>
    </row>
    <row r="7" spans="1:6" ht="36" x14ac:dyDescent="0.3">
      <c r="C7" s="146" t="str">
        <f>VLOOKUP(7,Textbausteine_Menu[],Hilfsgrössen!$D$2,FALSE)</f>
        <v>102 – Divulgations généraux</v>
      </c>
      <c r="D7" s="304" t="str">
        <f>VLOOKUP(1,Textbausteine_102[],Hilfsgrössen!$D$2,FALSE)&amp;", "&amp;VLOOKUP(2,Textbausteine_102[],Hilfsgrössen!$D$2,FALSE)&amp;", "&amp;VLOOKUP(3,Textbausteine_102[],Hilfsgrössen!$D$2,FALSE)&amp;", "&amp;VLOOKUP(4,Textbausteine_102[],Hilfsgrössen!$D$2,FALSE)&amp;", "&amp;VLOOKUP(5,Textbausteine_102[],Hilfsgrössen!$D$2,FALSE)&amp;", "&amp;VLOOKUP(6,Textbausteine_102[],Hilfsgrössen!$D$2,FALSE)&amp;", "&amp;VLOOKUP(7,Textbausteine_102[],Hilfsgrössen!$D$2,FALSE)&amp;", "&amp;VLOOKUP(8,Textbausteine_102[],Hilfsgrössen!$D$2,FALSE)&amp;", "&amp;VLOOKUP(9,Textbausteine_102[],Hilfsgrössen!$D$2,FALSE)&amp;", "&amp;VLOOKUP(10,Textbausteine_102[],Hilfsgrössen!$D$2,FALSE)&amp;", "&amp;VLOOKUP(11,Textbausteine_102[],Hilfsgrössen!$D$2,FALSE)</f>
        <v>Parts de marché, Financement, Cash-flow et investissements, Evolution des volumes, Volume trafic des paiements, Effectif, Répartition des sexes, Temps partiel, Rapports de travail, Chaîne de livraison, Satisfaction des clients</v>
      </c>
      <c r="E7" s="316" t="s">
        <v>739</v>
      </c>
      <c r="F7" s="310" t="s">
        <v>23</v>
      </c>
    </row>
    <row r="8" spans="1:6" ht="13" hidden="1" customHeight="1" x14ac:dyDescent="0.3">
      <c r="C8" s="146" t="str">
        <f>VLOOKUP(52,Textbausteine_Menu[],Hilfsgrössen!$D$2,FALSE)</f>
        <v>103 – Approche managériale</v>
      </c>
      <c r="E8" s="316" t="s">
        <v>754</v>
      </c>
      <c r="F8" s="310" t="s">
        <v>28</v>
      </c>
    </row>
    <row r="11" spans="1:6" s="303" customFormat="1" ht="13" customHeight="1" x14ac:dyDescent="0.3">
      <c r="B11" s="383" t="str">
        <f>VLOOKUP(4,Textbausteine_Menu[],Hilfsgrössen!$D$2,FALSE)</f>
        <v>Sujets économiques</v>
      </c>
      <c r="C11" s="383"/>
      <c r="D11" s="307" t="str">
        <f>VLOOKUP(31,Textbausteine_Menu[],Hilfsgrössen!$D$2,FALSE)</f>
        <v>Divulgations</v>
      </c>
      <c r="E11" s="319" t="s">
        <v>22</v>
      </c>
      <c r="F11" s="311" t="s">
        <v>25</v>
      </c>
    </row>
    <row r="12" spans="1:6" ht="26.15" customHeight="1" x14ac:dyDescent="0.3">
      <c r="C12" s="305" t="str">
        <f>VLOOKUP(8,Textbausteine_Menu[],Hilfsgrössen!$D$2,FALSE)</f>
        <v>201 – Performance économique</v>
      </c>
      <c r="D12" s="304" t="str">
        <f>VLOOKUP(1,Textbausteine_201[],Hilfsgrössen!$D$2,FALSE)&amp;", "&amp;VLOOKUP(2,Textbausteine_201[],Hilfsgrössen!$D$2,FALSE)&amp;", "&amp;VLOOKUP(3,Textbausteine_201[],Hilfsgrössen!$D$2,FALSE)</f>
        <v>Résultat financier, Caisse de pensions, Répartition de la valeur ajoutée</v>
      </c>
      <c r="E12" s="316" t="s">
        <v>740</v>
      </c>
      <c r="F12" s="310" t="s">
        <v>24</v>
      </c>
    </row>
    <row r="13" spans="1:6" ht="26.15" customHeight="1" x14ac:dyDescent="0.3">
      <c r="C13" s="305" t="str">
        <f>VLOOKUP(9,Textbausteine_Menu[],Hilfsgrössen!$D$2,FALSE)</f>
        <v>202 – Présence sur le marché</v>
      </c>
      <c r="D13" s="304" t="str">
        <f>VLOOKUP(1,Textbausteine_202[],Hilfsgrössen!$D$2,FALSE)</f>
        <v>Indemnités</v>
      </c>
      <c r="E13" s="316" t="s">
        <v>739</v>
      </c>
      <c r="F13" s="310" t="s">
        <v>26</v>
      </c>
    </row>
    <row r="14" spans="1:6" ht="36" x14ac:dyDescent="0.3">
      <c r="C14" s="305" t="str">
        <f>VLOOKUP(10,Textbausteine_Menu[],Hilfsgrössen!$D$2,FALSE)</f>
        <v>203 – Impacts économiques indirects</v>
      </c>
      <c r="D14" s="304" t="str">
        <f>VLOOKUP(1,Textbausteine_203[],Hilfsgrössen!$D$2,FALSE)&amp;", "&amp;VLOOKUP(2,Textbausteine_203[],Hilfsgrössen!$D$2,FALSE)&amp;", "&amp;VLOOKUP(3,Textbausteine_203[],Hilfsgrössen!$D$2,FALSE)&amp;", "&amp;VLOOKUP(4,Textbausteine_203[],Hilfsgrössen!$D$2,FALSE)&amp;", "&amp;VLOOKUP(5,Textbausteine_203[],Hilfsgrössen!$D$2,FALSE)&amp;", "&amp;VLOOKUP(6,Textbausteine_203[],Hilfsgrössen!$D$2,FALSE)&amp;", "&amp;VLOOKUP(7,Textbausteine_203[],Hilfsgrössen!$D$2,FALSE)</f>
        <v>Actions de bienfaisance et sponsoring, Points d'accès, Emplois dans les régions, Comparaison des prix des services postaux, Délais d'acheminement des services postaux, Temps d'attente dans les filiales, Délais de traitement des services financiers</v>
      </c>
      <c r="F14" s="310" t="s">
        <v>27</v>
      </c>
    </row>
    <row r="15" spans="1:6" ht="13" hidden="1" customHeight="1" x14ac:dyDescent="0.3">
      <c r="C15" s="146" t="str">
        <f>VLOOKUP(11,Textbausteine_Menu[],Hilfsgrössen!$D$2,FALSE)</f>
        <v>205 – Lutte contre la corruption</v>
      </c>
      <c r="E15" s="316" t="s">
        <v>741</v>
      </c>
      <c r="F15" s="310" t="s">
        <v>28</v>
      </c>
    </row>
    <row r="16" spans="1:6" ht="13" hidden="1" customHeight="1" x14ac:dyDescent="0.3">
      <c r="C16" s="146" t="str">
        <f>VLOOKUP(12,Textbausteine_Menu[],Hilfsgrössen!$D$2,FALSE)</f>
        <v>206 – Comportement anticoncurrentiel</v>
      </c>
      <c r="F16" s="310" t="s">
        <v>28</v>
      </c>
    </row>
    <row r="19" spans="2:6" s="303" customFormat="1" ht="13" customHeight="1" x14ac:dyDescent="0.3">
      <c r="B19" s="383" t="str">
        <f>VLOOKUP(5,Textbausteine_Menu[],Hilfsgrössen!$D$2,FALSE)</f>
        <v>Sujets environnementaux</v>
      </c>
      <c r="C19" s="383"/>
      <c r="D19" s="307" t="str">
        <f>VLOOKUP(31,Textbausteine_Menu[],Hilfsgrössen!$D$2,FALSE)</f>
        <v>Divulgations</v>
      </c>
      <c r="E19" s="319" t="s">
        <v>22</v>
      </c>
      <c r="F19" s="311" t="s">
        <v>25</v>
      </c>
    </row>
    <row r="20" spans="2:6" ht="13" hidden="1" customHeight="1" x14ac:dyDescent="0.3">
      <c r="C20" s="146" t="str">
        <f>VLOOKUP(13,Textbausteine_Menu[],Hilfsgrössen!$D$2,FALSE)</f>
        <v>301 – Matières</v>
      </c>
      <c r="E20" s="316" t="s">
        <v>742</v>
      </c>
      <c r="F20" s="310" t="s">
        <v>29</v>
      </c>
    </row>
    <row r="21" spans="2:6" ht="26.15" customHeight="1" x14ac:dyDescent="0.3">
      <c r="C21" s="305" t="str">
        <f>VLOOKUP(14,Textbausteine_Menu[],Hilfsgrössen!$D$2,FALSE)</f>
        <v>302 – Energie</v>
      </c>
      <c r="D21" s="301" t="str">
        <f>VLOOKUP(1,Textbausteine_302[],Hilfsgrössen!$D$2,FALSE)&amp;", "&amp;VLOOKUP(2,Textbausteine_302[],Hilfsgrössen!$D$2,FALSE)</f>
        <v>Consommation énergétique au sein et en dehors de l'organisation, Autres indicateurs énergétiques</v>
      </c>
      <c r="E21" s="316" t="s">
        <v>743</v>
      </c>
      <c r="F21" s="310" t="s">
        <v>30</v>
      </c>
    </row>
    <row r="22" spans="2:6" ht="26.15" customHeight="1" x14ac:dyDescent="0.3">
      <c r="C22" s="302" t="str">
        <f>VLOOKUP(15,Textbausteine_Menu[],Hilfsgrössen!$D$2,FALSE)</f>
        <v>305 – Emissions</v>
      </c>
      <c r="D22" s="301" t="str">
        <f>VLOOKUP(1,Textbausteine_305[],Hilfsgrössen!$D$2,FALSE)&amp;", "&amp;VLOOKUP(2,Textbausteine_305[],Hilfsgrössen!$D$2,FALSE)&amp;", "&amp;VLOOKUP(3,Textbausteine_305[],Hilfsgrössen!$D$2,FALSE)&amp;", "&amp;VLOOKUP(4,Textbausteine_305[],Hilfsgrössen!$D$2,FALSE)&amp;", "&amp;VLOOKUP(5,Textbausteine_305[],Hilfsgrössen!$D$2,FALSE)</f>
        <v>Emissions de gaz à effet de serre, Intensité de gaz à effet de serre, Emissions de gaz à effet de serre compensées, Autres indicateurs des gaz à effet de serre, Emissions de polluants atmosphériques</v>
      </c>
      <c r="E22" s="316" t="s">
        <v>743</v>
      </c>
      <c r="F22" s="310" t="s">
        <v>31</v>
      </c>
    </row>
    <row r="23" spans="2:6" ht="13" hidden="1" customHeight="1" x14ac:dyDescent="0.3">
      <c r="C23" s="146" t="str">
        <f>VLOOKUP(16,Textbausteine_Menu[],Hilfsgrössen!$D$2,FALSE)</f>
        <v>308 – Evaluation environnementale des fournisseurs</v>
      </c>
      <c r="E23" s="316" t="s">
        <v>742</v>
      </c>
    </row>
    <row r="26" spans="2:6" s="303" customFormat="1" ht="13" customHeight="1" x14ac:dyDescent="0.3">
      <c r="B26" s="383" t="str">
        <f>VLOOKUP(6,Textbausteine_Menu[],Hilfsgrössen!$D$2,FALSE)</f>
        <v>Sujets sociaux</v>
      </c>
      <c r="C26" s="383"/>
      <c r="D26" s="307" t="str">
        <f>VLOOKUP(31,Textbausteine_Menu[],Hilfsgrössen!$D$2,FALSE)</f>
        <v>Divulgations</v>
      </c>
      <c r="E26" s="319" t="s">
        <v>22</v>
      </c>
      <c r="F26" s="311" t="s">
        <v>25</v>
      </c>
    </row>
    <row r="27" spans="2:6" ht="26.15" customHeight="1" x14ac:dyDescent="0.3">
      <c r="C27" s="302" t="str">
        <f>VLOOKUP(17,Textbausteine_Menu[],Hilfsgrössen!$D$2,FALSE)</f>
        <v>401 – Emploi</v>
      </c>
      <c r="D27" s="301" t="str">
        <f>VLOOKUP(1,Textbausteine_401[],Hilfsgrössen!$D$2,FALSE)&amp;", "&amp;VLOOKUP(2,Textbausteine_401[],Hilfsgrössen!$D$2,FALSE)&amp;", "&amp;VLOOKUP(3,Textbausteine_401[],Hilfsgrössen!$D$2,FALSE)</f>
        <v>Fluctuation du personnel et départs, Congé parental, Satisfaction du personnel, motivation et engagement</v>
      </c>
      <c r="E27" s="316" t="s">
        <v>739</v>
      </c>
    </row>
    <row r="28" spans="2:6" ht="13" hidden="1" customHeight="1" x14ac:dyDescent="0.3">
      <c r="C28" s="146" t="str">
        <f>VLOOKUP(18,Textbausteine_Menu[],Hilfsgrössen!$D$2,FALSE)</f>
        <v>402 – Relations employeur/employés</v>
      </c>
      <c r="E28" s="316" t="s">
        <v>744</v>
      </c>
    </row>
    <row r="29" spans="2:6" ht="26.15" customHeight="1" x14ac:dyDescent="0.3">
      <c r="C29" s="302" t="str">
        <f>VLOOKUP(19,Textbausteine_Menu[],Hilfsgrössen!$D$2,FALSE)</f>
        <v>403 – Santé et sécurité au travail</v>
      </c>
      <c r="D29" s="301" t="str">
        <f>VLOOKUP(1,Textbausteine_403[],Hilfsgrössen!$D$2,FALSE)</f>
        <v>Gestion de la santé</v>
      </c>
    </row>
    <row r="30" spans="2:6" ht="26.15" customHeight="1" x14ac:dyDescent="0.3">
      <c r="C30" s="302" t="str">
        <f>VLOOKUP(20,Textbausteine_Menu[],Hilfsgrössen!$D$2,FALSE)</f>
        <v>404 – Formation et éducation</v>
      </c>
      <c r="D30" s="301" t="str">
        <f>VLOOKUP(1,Textbausteine_404_[],Hilfsgrössen!$D$2,FALSE)&amp;", "&amp;VLOOKUP(2,Textbausteine_404_[],Hilfsgrössen!$D$2,FALSE)&amp;", "&amp;VLOOKUP(3,Textbausteine_404_[],Hilfsgrössen!$D$2,FALSE)</f>
        <v>Apprentis, Relève, Centre de carrière</v>
      </c>
      <c r="E30" s="316" t="s">
        <v>739</v>
      </c>
      <c r="F30" s="310" t="s">
        <v>32</v>
      </c>
    </row>
    <row r="31" spans="2:6" ht="26.15" customHeight="1" x14ac:dyDescent="0.3">
      <c r="C31" s="302" t="str">
        <f>VLOOKUP(21,Textbausteine_Menu[],Hilfsgrössen!$D$2,FALSE)</f>
        <v>405 – Diversité et égalité des chances</v>
      </c>
      <c r="D31" s="301" t="str">
        <f>VLOOKUP(1,Textbausteine_405[],Hilfsgrössen!$D$2,FALSE)&amp;", "&amp;VLOOKUP(2,Textbausteine_405[],Hilfsgrössen!$D$2,FALSE)&amp;", "&amp;VLOOKUP(3,Textbausteine_405[],Hilfsgrössen!$D$2,FALSE)&amp;", "&amp;VLOOKUP(4,Textbausteine_405[],Hilfsgrössen!$D$2,FALSE)</f>
        <v>Femmes au sein du management, Diversité linguistique, Nationalité, Démographie (pyramide des âges)</v>
      </c>
      <c r="E31" s="316" t="s">
        <v>739</v>
      </c>
      <c r="F31" s="310" t="s">
        <v>33</v>
      </c>
    </row>
    <row r="32" spans="2:6" ht="13" hidden="1" customHeight="1" x14ac:dyDescent="0.3">
      <c r="C32" s="146" t="str">
        <f>VLOOKUP(22,Textbausteine_Menu[],Hilfsgrössen!$D$2,FALSE)</f>
        <v>406 – Non-discrimination</v>
      </c>
      <c r="E32" s="316" t="s">
        <v>739</v>
      </c>
      <c r="F32" s="310" t="s">
        <v>34</v>
      </c>
    </row>
    <row r="33" spans="3:6" ht="13" hidden="1" customHeight="1" x14ac:dyDescent="0.3">
      <c r="C33" s="146" t="str">
        <f>VLOOKUP(23,Textbausteine_Menu[],Hilfsgrössen!$D$2,FALSE)</f>
        <v>407 – Liberté syndicale et droit de négociation collective</v>
      </c>
      <c r="E33" s="316" t="s">
        <v>744</v>
      </c>
      <c r="F33" s="310" t="s">
        <v>23</v>
      </c>
    </row>
    <row r="34" spans="3:6" ht="13" hidden="1" customHeight="1" x14ac:dyDescent="0.3">
      <c r="C34" s="146" t="str">
        <f>VLOOKUP(24,Textbausteine_Menu[],Hilfsgrössen!$D$2,FALSE)</f>
        <v>408 – Travail des enfants</v>
      </c>
      <c r="E34" s="316" t="s">
        <v>745</v>
      </c>
      <c r="F34" s="310" t="s">
        <v>35</v>
      </c>
    </row>
    <row r="35" spans="3:6" ht="13" hidden="1" customHeight="1" x14ac:dyDescent="0.3">
      <c r="C35" s="146" t="str">
        <f>VLOOKUP(25,Textbausteine_Menu[],Hilfsgrössen!$D$2,FALSE)</f>
        <v>409 – Travail forcé ou obligatoire</v>
      </c>
      <c r="E35" s="316" t="s">
        <v>746</v>
      </c>
      <c r="F35" s="310" t="s">
        <v>23</v>
      </c>
    </row>
    <row r="36" spans="3:6" ht="13" hidden="1" customHeight="1" x14ac:dyDescent="0.3">
      <c r="C36" s="146" t="str">
        <f>VLOOKUP(26,Textbausteine_Menu[],Hilfsgrössen!$D$2,FALSE)</f>
        <v>412 – Evaluation des droits de l'homme</v>
      </c>
      <c r="E36" s="316" t="s">
        <v>747</v>
      </c>
    </row>
    <row r="37" spans="3:6" ht="13" hidden="1" customHeight="1" x14ac:dyDescent="0.3">
      <c r="C37" s="146" t="str">
        <f>VLOOKUP(27,Textbausteine_Menu[],Hilfsgrössen!$D$2,FALSE)</f>
        <v>413 – Communautés locales</v>
      </c>
      <c r="E37" s="316" t="s">
        <v>747</v>
      </c>
      <c r="F37" s="310" t="s">
        <v>36</v>
      </c>
    </row>
    <row r="38" spans="3:6" ht="13" hidden="1" customHeight="1" x14ac:dyDescent="0.3">
      <c r="C38" s="146" t="str">
        <f>VLOOKUP(28,Textbausteine_Menu[],Hilfsgrössen!$D$2,FALSE)</f>
        <v>414 – Evaluation sociale des fournisseurs</v>
      </c>
      <c r="E38" s="316" t="s">
        <v>748</v>
      </c>
      <c r="F38" s="310" t="s">
        <v>34</v>
      </c>
    </row>
    <row r="39" spans="3:6" ht="13" hidden="1" customHeight="1" x14ac:dyDescent="0.3">
      <c r="C39" s="146" t="str">
        <f>VLOOKUP(29,Textbausteine_Menu[],Hilfsgrössen!$D$2,FALSE)</f>
        <v>418 – Vie privée des clients</v>
      </c>
      <c r="F39" s="310" t="s">
        <v>28</v>
      </c>
    </row>
    <row r="40" spans="3:6" ht="13" hidden="1" customHeight="1" x14ac:dyDescent="0.3">
      <c r="C40" s="146" t="str">
        <f>VLOOKUP(30,Textbausteine_Menu[],Hilfsgrössen!$D$2,FALSE)</f>
        <v>419 – Conformité socioéconomique</v>
      </c>
      <c r="F40" s="310" t="s">
        <v>28</v>
      </c>
    </row>
  </sheetData>
  <sheetProtection algorithmName="SHA-512" hashValue="bcFhrbnsyDyUfvRpdpwd4R7G8fIgzkQgFbhHSuWgRLvFA/NlcQ13x7Zg+1pn1S6AnYrSdiyoxSugzd1MGY9QVw==" saltValue="KXXaYkCafQqr06ojQuJy2Q==" spinCount="100000" sheet="1" objects="1" scenarios="1"/>
  <mergeCells count="6">
    <mergeCell ref="B2:D2"/>
    <mergeCell ref="B26:C26"/>
    <mergeCell ref="B3:C3"/>
    <mergeCell ref="B6:C6"/>
    <mergeCell ref="B11:C11"/>
    <mergeCell ref="B19:C19"/>
  </mergeCells>
  <dataValidations count="1">
    <dataValidation allowBlank="1" showInputMessage="1" showErrorMessage="1" sqref="F2"/>
  </dataValidations>
  <hyperlinks>
    <hyperlink ref="F6" r:id="rId1" display="SDG"/>
    <hyperlink ref="E6" r:id="rId2" display="UNGC"/>
    <hyperlink ref="F11" r:id="rId3" display="SDG"/>
    <hyperlink ref="E11" r:id="rId4" display="UNGC"/>
    <hyperlink ref="F19" r:id="rId5" display="SDG"/>
    <hyperlink ref="E19" r:id="rId6" display="UNGC"/>
    <hyperlink ref="F26" r:id="rId7" display="SDG"/>
    <hyperlink ref="E26" r:id="rId8" display="UNGC"/>
    <hyperlink ref="C7" location="GRI_102" display="GRI_102"/>
    <hyperlink ref="C12" location="GRI_201" display="GRI_201"/>
    <hyperlink ref="C13" location="GRI_202" display="GRI_202"/>
    <hyperlink ref="C14" location="GRI_203" display="GRI_203"/>
    <hyperlink ref="C21" location="GRI_302" display="GRI_302"/>
    <hyperlink ref="C22" location="GRI_305" display="GRI_305"/>
    <hyperlink ref="C27" location="GRI_401" display="GRI_401"/>
    <hyperlink ref="C29" location="GRI_403" display="GRI_403"/>
    <hyperlink ref="C31" location="GRI_405" display="GRI_405"/>
    <hyperlink ref="C30" location="GRI_404" display="GRI_404"/>
  </hyperlinks>
  <pageMargins left="0.7" right="0.7" top="0.78740157499999996" bottom="0.78740157499999996"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E2A2F"/>
  </sheetPr>
  <dimension ref="A2:CB139"/>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9" customWidth="1"/>
    <col min="4" max="4" width="23.54296875" style="1" customWidth="1"/>
    <col min="5" max="5" width="9.453125" style="37" customWidth="1"/>
    <col min="6" max="6" width="14.1796875" style="37" customWidth="1"/>
    <col min="7" max="7" width="2.453125" style="47" customWidth="1"/>
    <col min="8" max="13" width="11.7265625" style="107" customWidth="1"/>
    <col min="14" max="14" width="11.7265625" style="20" customWidth="1"/>
    <col min="15" max="15" width="11.7265625" style="107" customWidth="1"/>
    <col min="16" max="79" width="11.7265625" style="11" customWidth="1"/>
    <col min="80" max="16384" width="10.81640625" style="1"/>
  </cols>
  <sheetData>
    <row r="2" spans="1:80" s="153" customFormat="1" ht="26.15" customHeight="1" x14ac:dyDescent="0.3">
      <c r="A2" s="88"/>
      <c r="B2" s="397" t="str">
        <f>UPPER(RIGHT('Table des matières'!$C$30,LEN('Table des matières'!$C$30)-FIND(" – ",'Table des matières'!$C$30,1)-2))</f>
        <v>FORMATION ET ÉDUCATION</v>
      </c>
      <c r="C2" s="397"/>
      <c r="D2" s="386" t="str">
        <f>VLOOKUP(35,Textbausteine_Menu[],Hilfsgrössen!$D$2,FALSE)</f>
        <v>retour à la table des matières</v>
      </c>
      <c r="E2" s="387"/>
      <c r="F2" s="145" t="s">
        <v>88</v>
      </c>
      <c r="G2" s="171"/>
      <c r="H2" s="136"/>
      <c r="I2" s="136"/>
      <c r="J2" s="136"/>
      <c r="K2" s="136"/>
      <c r="L2" s="136"/>
      <c r="M2" s="136"/>
      <c r="N2" s="116"/>
      <c r="O2" s="136"/>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row>
    <row r="3" spans="1:80" s="154" customFormat="1" ht="26.15" customHeight="1" x14ac:dyDescent="0.3">
      <c r="A3" s="89"/>
      <c r="B3" s="391" t="str">
        <f>UPPER("GRI "&amp;LEFT('Table des matières'!$C$30,3))</f>
        <v>GRI 404</v>
      </c>
      <c r="C3" s="391"/>
      <c r="E3" s="38"/>
      <c r="F3" s="38"/>
      <c r="G3" s="45"/>
      <c r="H3" s="136"/>
      <c r="I3" s="136"/>
      <c r="J3" s="136"/>
      <c r="K3" s="136"/>
      <c r="L3" s="136"/>
      <c r="M3" s="136"/>
      <c r="N3" s="116"/>
      <c r="O3" s="136"/>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row>
    <row r="6" spans="1:80" s="31" customFormat="1" ht="13" customHeight="1" x14ac:dyDescent="0.3">
      <c r="A6" s="90"/>
      <c r="B6" s="31" t="str">
        <f>VLOOKUP(31,Textbausteine_Menu[],Hilfsgrössen!$D$2,FALSE)</f>
        <v>Divulgations</v>
      </c>
      <c r="C6" s="6"/>
      <c r="E6" s="39"/>
      <c r="F6" s="39"/>
      <c r="G6" s="46"/>
      <c r="H6" s="107"/>
      <c r="I6" s="107"/>
      <c r="J6" s="107"/>
      <c r="K6" s="107"/>
      <c r="L6" s="107"/>
      <c r="M6" s="107"/>
      <c r="N6" s="20"/>
      <c r="O6" s="107"/>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row>
    <row r="7" spans="1:80" ht="13" customHeight="1" x14ac:dyDescent="0.3">
      <c r="B7" s="2"/>
      <c r="C7" s="148" t="str">
        <f>VLOOKUP(1,Textbausteine_404_[],Hilfsgrössen!$D$2,FALSE)</f>
        <v>Apprentis</v>
      </c>
      <c r="D7" s="4"/>
    </row>
    <row r="8" spans="1:80" ht="13" customHeight="1" x14ac:dyDescent="0.3">
      <c r="B8" s="2"/>
      <c r="C8" s="148" t="str">
        <f>VLOOKUP(2,Textbausteine_404_[],Hilfsgrössen!$D$2,FALSE)</f>
        <v>Relève</v>
      </c>
      <c r="D8" s="4"/>
    </row>
    <row r="9" spans="1:80" ht="13" customHeight="1" x14ac:dyDescent="0.3">
      <c r="B9" s="2"/>
      <c r="C9" s="148" t="str">
        <f>VLOOKUP(3,Textbausteine_404_[],Hilfsgrössen!$D$2,FALSE)</f>
        <v>Centre de carrière</v>
      </c>
    </row>
    <row r="10" spans="1:80" ht="13" customHeight="1" x14ac:dyDescent="0.3">
      <c r="B10" s="2"/>
    </row>
    <row r="11" spans="1:80" ht="13" customHeight="1" x14ac:dyDescent="0.3">
      <c r="B11" s="2"/>
    </row>
    <row r="12" spans="1:80" s="31" customFormat="1" ht="13" customHeight="1" x14ac:dyDescent="0.3">
      <c r="A12" s="56" t="s">
        <v>900</v>
      </c>
      <c r="B12" s="385" t="str">
        <f>$C$7</f>
        <v>Apprentis</v>
      </c>
      <c r="C12" s="385"/>
      <c r="D12" s="6" t="str">
        <f>VLOOKUP(32,Textbausteine_Menu[],Hilfsgrössen!$D$2,FALSE)</f>
        <v>Unité</v>
      </c>
      <c r="E12" s="39" t="str">
        <f>VLOOKUP(33,Textbausteine_Menu[],Hilfsgrössen!$D$2,FALSE)</f>
        <v>Notes</v>
      </c>
      <c r="F12" s="39" t="str">
        <f>VLOOKUP(34,Textbausteine_Menu[],Hilfsgrössen!$D$2,FALSE)</f>
        <v>GRI</v>
      </c>
      <c r="G12" s="47"/>
      <c r="H12" s="31">
        <v>2004</v>
      </c>
      <c r="I12" s="117">
        <v>2005</v>
      </c>
      <c r="J12" s="117">
        <v>2006</v>
      </c>
      <c r="K12" s="117">
        <v>2007</v>
      </c>
      <c r="L12" s="117">
        <v>2008</v>
      </c>
      <c r="M12" s="117">
        <v>2009</v>
      </c>
      <c r="N12" s="117">
        <v>2010</v>
      </c>
      <c r="O12" s="117">
        <v>2011</v>
      </c>
      <c r="P12" s="117">
        <v>2012</v>
      </c>
      <c r="Q12" s="117">
        <v>2013</v>
      </c>
      <c r="R12" s="117">
        <v>2014</v>
      </c>
      <c r="S12" s="117">
        <v>2015</v>
      </c>
      <c r="T12" s="117">
        <v>2016</v>
      </c>
      <c r="U12" s="247">
        <v>2017</v>
      </c>
      <c r="V12" s="7"/>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row>
    <row r="13" spans="1:80" s="31" customFormat="1" ht="13" customHeight="1" x14ac:dyDescent="0.3">
      <c r="A13" s="90"/>
      <c r="B13" s="385"/>
      <c r="C13" s="385"/>
      <c r="D13" s="6"/>
      <c r="E13" s="40"/>
      <c r="F13" s="40"/>
      <c r="G13" s="47"/>
      <c r="I13" s="143"/>
      <c r="J13" s="143"/>
      <c r="K13" s="143"/>
      <c r="L13" s="143"/>
      <c r="M13" s="143"/>
      <c r="N13" s="143"/>
      <c r="O13" s="143"/>
      <c r="P13" s="143"/>
      <c r="Q13" s="143"/>
      <c r="R13" s="143"/>
      <c r="S13" s="143"/>
      <c r="T13" s="119"/>
      <c r="U13" s="248"/>
      <c r="V13" s="122"/>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row>
    <row r="14" spans="1:80" ht="13" customHeight="1" x14ac:dyDescent="0.3">
      <c r="B14" s="8"/>
      <c r="D14" s="9"/>
      <c r="E14" s="40"/>
      <c r="F14" s="40"/>
      <c r="G14" s="48"/>
      <c r="H14" s="1"/>
      <c r="N14" s="107"/>
      <c r="P14" s="107"/>
      <c r="Q14" s="107"/>
      <c r="R14" s="107"/>
      <c r="S14" s="107"/>
      <c r="T14" s="20"/>
      <c r="U14" s="249"/>
      <c r="V14" s="13"/>
      <c r="CB14" s="11"/>
    </row>
    <row r="15" spans="1:80" ht="13" customHeight="1" x14ac:dyDescent="0.3">
      <c r="B15" s="8" t="str">
        <f>VLOOKUP(37,Textbausteine_Menu[],Hilfsgrössen!$D$2,FALSE)</f>
        <v>Groupe Suisse</v>
      </c>
      <c r="C15" s="8"/>
      <c r="D15" s="67"/>
      <c r="E15" s="12"/>
      <c r="F15" s="11"/>
      <c r="G15" s="48"/>
      <c r="H15" s="1"/>
      <c r="N15" s="107"/>
      <c r="P15" s="107"/>
      <c r="Q15" s="107"/>
      <c r="R15" s="107"/>
      <c r="S15" s="107"/>
      <c r="T15" s="20"/>
      <c r="U15" s="249"/>
      <c r="CB15" s="11"/>
    </row>
    <row r="16" spans="1:80" ht="13" customHeight="1" x14ac:dyDescent="0.3">
      <c r="C16" s="9" t="str">
        <f>VLOOKUP(31,Textbausteine_404_[],Hilfsgrössen!$D$2,FALSE)</f>
        <v>Apprentis</v>
      </c>
      <c r="D16" s="268" t="str">
        <f>VLOOKUP(11,Textbausteine_404_[],Hilfsgrössen!$D$2,FALSE)</f>
        <v>Personnes</v>
      </c>
      <c r="E16" s="72"/>
      <c r="F16" s="11" t="s">
        <v>1423</v>
      </c>
      <c r="G16" s="49"/>
      <c r="H16" s="20">
        <v>1556</v>
      </c>
      <c r="I16" s="20">
        <v>1465</v>
      </c>
      <c r="J16" s="107">
        <v>1429</v>
      </c>
      <c r="K16" s="107">
        <v>1473</v>
      </c>
      <c r="L16" s="137">
        <v>1571</v>
      </c>
      <c r="M16" s="137">
        <v>1690</v>
      </c>
      <c r="N16" s="20">
        <v>1824</v>
      </c>
      <c r="O16" s="20">
        <v>1942</v>
      </c>
      <c r="P16" s="14">
        <v>2015</v>
      </c>
      <c r="Q16" s="17">
        <v>2024</v>
      </c>
      <c r="R16" s="17">
        <v>2035</v>
      </c>
      <c r="S16" s="17">
        <v>2077.1603333333333</v>
      </c>
      <c r="T16" s="20">
        <v>2118</v>
      </c>
      <c r="U16" s="249">
        <v>2115</v>
      </c>
    </row>
    <row r="17" spans="1:21" ht="13" customHeight="1" x14ac:dyDescent="0.3">
      <c r="C17" s="19" t="str">
        <f>VLOOKUP(32,Textbausteine_404_[],Hilfsgrössen!$D$2,FALSE)</f>
        <v>Gestionnaire de commerce de détail</v>
      </c>
      <c r="D17" s="268" t="str">
        <f>VLOOKUP(11,Textbausteine_404_[],Hilfsgrössen!$D$2,FALSE)</f>
        <v>Personnes</v>
      </c>
      <c r="E17" s="72"/>
      <c r="F17" s="11" t="s">
        <v>1423</v>
      </c>
      <c r="G17" s="49"/>
      <c r="H17" s="20">
        <v>236</v>
      </c>
      <c r="I17" s="20">
        <v>377</v>
      </c>
      <c r="J17" s="107">
        <v>469</v>
      </c>
      <c r="K17" s="107">
        <v>514</v>
      </c>
      <c r="L17" s="137">
        <v>572</v>
      </c>
      <c r="M17" s="137">
        <v>645</v>
      </c>
      <c r="N17" s="20">
        <v>734</v>
      </c>
      <c r="O17" s="20">
        <v>814</v>
      </c>
      <c r="P17" s="14">
        <v>858</v>
      </c>
      <c r="Q17" s="17">
        <v>854</v>
      </c>
      <c r="R17" s="17">
        <v>827</v>
      </c>
      <c r="S17" s="17">
        <v>792.56275000000005</v>
      </c>
      <c r="T17" s="20">
        <v>730</v>
      </c>
      <c r="U17" s="249">
        <v>651</v>
      </c>
    </row>
    <row r="18" spans="1:21" ht="13" customHeight="1" x14ac:dyDescent="0.3">
      <c r="C18" s="269" t="str">
        <f>VLOOKUP(33,Textbausteine_404_[],Hilfsgrössen!$D$2,FALSE)</f>
        <v>Agent(e) relation client</v>
      </c>
      <c r="D18" s="268" t="str">
        <f>VLOOKUP(11,Textbausteine_404_[],Hilfsgrössen!$D$2,FALSE)</f>
        <v>Personnes</v>
      </c>
      <c r="E18" s="72"/>
      <c r="F18" s="11" t="s">
        <v>1423</v>
      </c>
      <c r="G18" s="49"/>
      <c r="H18" s="20" t="s">
        <v>1595</v>
      </c>
      <c r="I18" s="20" t="s">
        <v>1595</v>
      </c>
      <c r="J18" s="107" t="s">
        <v>1595</v>
      </c>
      <c r="K18" s="107" t="s">
        <v>1595</v>
      </c>
      <c r="L18" s="137" t="s">
        <v>1595</v>
      </c>
      <c r="M18" s="137" t="s">
        <v>1595</v>
      </c>
      <c r="N18" s="20" t="s">
        <v>1595</v>
      </c>
      <c r="O18" s="20" t="s">
        <v>1595</v>
      </c>
      <c r="P18" s="14" t="s">
        <v>1595</v>
      </c>
      <c r="Q18" s="14">
        <v>4</v>
      </c>
      <c r="R18" s="14">
        <v>9</v>
      </c>
      <c r="S18" s="14">
        <v>20</v>
      </c>
      <c r="T18" s="119">
        <v>33</v>
      </c>
      <c r="U18" s="248">
        <v>44</v>
      </c>
    </row>
    <row r="19" spans="1:21" s="11" customFormat="1" ht="13" customHeight="1" x14ac:dyDescent="0.3">
      <c r="A19" s="91"/>
      <c r="B19" s="1"/>
      <c r="C19" s="19" t="str">
        <f>VLOOKUP(34,Textbausteine_404_[],Hilfsgrössen!$D$2,FALSE)</f>
        <v>Employé(e) de commerce</v>
      </c>
      <c r="D19" s="268" t="str">
        <f>VLOOKUP(11,Textbausteine_404_[],Hilfsgrössen!$D$2,FALSE)</f>
        <v>Personnes</v>
      </c>
      <c r="E19" s="72"/>
      <c r="F19" s="11" t="s">
        <v>1423</v>
      </c>
      <c r="G19" s="49"/>
      <c r="H19" s="20">
        <v>329</v>
      </c>
      <c r="I19" s="20">
        <v>212</v>
      </c>
      <c r="J19" s="107">
        <v>170</v>
      </c>
      <c r="K19" s="107">
        <v>196</v>
      </c>
      <c r="L19" s="137">
        <v>213</v>
      </c>
      <c r="M19" s="137">
        <v>219</v>
      </c>
      <c r="N19" s="20">
        <v>227</v>
      </c>
      <c r="O19" s="20">
        <v>240</v>
      </c>
      <c r="P19" s="14">
        <v>251</v>
      </c>
      <c r="Q19" s="17">
        <v>257</v>
      </c>
      <c r="R19" s="17">
        <v>255</v>
      </c>
      <c r="S19" s="17">
        <v>268.50883333333331</v>
      </c>
      <c r="T19" s="119">
        <v>286</v>
      </c>
      <c r="U19" s="248">
        <v>287</v>
      </c>
    </row>
    <row r="20" spans="1:21" s="11" customFormat="1" ht="13" customHeight="1" x14ac:dyDescent="0.3">
      <c r="A20" s="91"/>
      <c r="B20" s="1"/>
      <c r="C20" s="19" t="str">
        <f>VLOOKUP(35,Textbausteine_404_[],Hilfsgrössen!$D$2,FALSE)</f>
        <v>Stagiaire commerce</v>
      </c>
      <c r="D20" s="268" t="str">
        <f>VLOOKUP(11,Textbausteine_404_[],Hilfsgrössen!$D$2,FALSE)</f>
        <v>Personnes</v>
      </c>
      <c r="E20" s="72"/>
      <c r="F20" s="11" t="s">
        <v>1423</v>
      </c>
      <c r="G20" s="49"/>
      <c r="H20" s="20">
        <v>50</v>
      </c>
      <c r="I20" s="20">
        <v>42</v>
      </c>
      <c r="J20" s="138">
        <v>34</v>
      </c>
      <c r="K20" s="107">
        <v>34</v>
      </c>
      <c r="L20" s="137">
        <v>35</v>
      </c>
      <c r="M20" s="137">
        <v>35</v>
      </c>
      <c r="N20" s="20">
        <v>36</v>
      </c>
      <c r="O20" s="20">
        <v>37</v>
      </c>
      <c r="P20" s="14">
        <v>43</v>
      </c>
      <c r="Q20" s="17">
        <v>46</v>
      </c>
      <c r="R20" s="17">
        <v>49</v>
      </c>
      <c r="S20" s="17">
        <v>53.676416666666242</v>
      </c>
      <c r="T20" s="20">
        <v>69</v>
      </c>
      <c r="U20" s="249">
        <v>82</v>
      </c>
    </row>
    <row r="21" spans="1:21" s="11" customFormat="1" ht="13" customHeight="1" x14ac:dyDescent="0.3">
      <c r="A21" s="91"/>
      <c r="B21" s="1"/>
      <c r="C21" s="19" t="str">
        <f>VLOOKUP(36,Textbausteine_404_[],Hilfsgrössen!$D$2,FALSE)</f>
        <v>Logisticien/ne CFC distribution</v>
      </c>
      <c r="D21" s="268" t="str">
        <f>VLOOKUP(11,Textbausteine_404_[],Hilfsgrössen!$D$2,FALSE)</f>
        <v>Personnes</v>
      </c>
      <c r="E21" s="72"/>
      <c r="F21" s="11" t="s">
        <v>1423</v>
      </c>
      <c r="G21" s="49"/>
      <c r="H21" s="20">
        <v>611</v>
      </c>
      <c r="I21" s="20">
        <v>568</v>
      </c>
      <c r="J21" s="107">
        <v>541</v>
      </c>
      <c r="K21" s="107">
        <v>506</v>
      </c>
      <c r="L21" s="137">
        <v>514</v>
      </c>
      <c r="M21" s="137">
        <v>539</v>
      </c>
      <c r="N21" s="20">
        <v>564</v>
      </c>
      <c r="O21" s="20">
        <v>580</v>
      </c>
      <c r="P21" s="14">
        <v>578</v>
      </c>
      <c r="Q21" s="17">
        <v>574</v>
      </c>
      <c r="R21" s="17">
        <v>608</v>
      </c>
      <c r="S21" s="17">
        <v>657.55058333333329</v>
      </c>
      <c r="T21" s="107">
        <v>705</v>
      </c>
      <c r="U21" s="250">
        <v>741</v>
      </c>
    </row>
    <row r="22" spans="1:21" s="11" customFormat="1" ht="13" customHeight="1" x14ac:dyDescent="0.3">
      <c r="A22" s="91"/>
      <c r="B22" s="1"/>
      <c r="C22" s="19" t="str">
        <f>VLOOKUP(37,Textbausteine_404_[],Hilfsgrössen!$D$2,FALSE)</f>
        <v>Logisticien/ne AFP distribution</v>
      </c>
      <c r="D22" s="268" t="str">
        <f>VLOOKUP(11,Textbausteine_404_[],Hilfsgrössen!$D$2,FALSE)</f>
        <v>Personnes</v>
      </c>
      <c r="E22" s="72"/>
      <c r="F22" s="11" t="s">
        <v>1423</v>
      </c>
      <c r="G22" s="49"/>
      <c r="H22" s="20">
        <v>110</v>
      </c>
      <c r="I22" s="20">
        <v>90</v>
      </c>
      <c r="J22" s="107">
        <v>74</v>
      </c>
      <c r="K22" s="107">
        <v>74</v>
      </c>
      <c r="L22" s="107">
        <v>78</v>
      </c>
      <c r="M22" s="137">
        <v>83</v>
      </c>
      <c r="N22" s="20">
        <v>92</v>
      </c>
      <c r="O22" s="20">
        <v>102</v>
      </c>
      <c r="P22" s="13">
        <v>116</v>
      </c>
      <c r="Q22" s="11">
        <v>122</v>
      </c>
      <c r="R22" s="11">
        <v>119</v>
      </c>
      <c r="S22" s="11">
        <v>112.87958333333333</v>
      </c>
      <c r="T22" s="107">
        <v>119</v>
      </c>
      <c r="U22" s="250">
        <v>119</v>
      </c>
    </row>
    <row r="23" spans="1:21" s="11" customFormat="1" ht="13" customHeight="1" x14ac:dyDescent="0.3">
      <c r="A23" s="91"/>
      <c r="B23" s="1"/>
      <c r="C23" s="19" t="str">
        <f>VLOOKUP(38,Textbausteine_404_[],Hilfsgrössen!$D$2,FALSE)</f>
        <v>Logisticien/ne CFC stockage</v>
      </c>
      <c r="D23" s="268" t="str">
        <f>VLOOKUP(11,Textbausteine_404_[],Hilfsgrössen!$D$2,FALSE)</f>
        <v>Personnes</v>
      </c>
      <c r="E23" s="72"/>
      <c r="F23" s="11" t="s">
        <v>1423</v>
      </c>
      <c r="G23" s="49"/>
      <c r="H23" s="107">
        <v>6</v>
      </c>
      <c r="I23" s="107">
        <v>8</v>
      </c>
      <c r="J23" s="107">
        <v>11</v>
      </c>
      <c r="K23" s="107">
        <v>12</v>
      </c>
      <c r="L23" s="107">
        <v>14</v>
      </c>
      <c r="M23" s="107">
        <v>17</v>
      </c>
      <c r="N23" s="107">
        <v>15</v>
      </c>
      <c r="O23" s="107">
        <v>16</v>
      </c>
      <c r="P23" s="11">
        <v>17</v>
      </c>
      <c r="Q23" s="11">
        <v>11</v>
      </c>
      <c r="R23" s="11">
        <v>7</v>
      </c>
      <c r="S23" s="11">
        <v>4.583333333333333</v>
      </c>
      <c r="T23" s="107">
        <v>5</v>
      </c>
      <c r="U23" s="250">
        <v>8</v>
      </c>
    </row>
    <row r="24" spans="1:21" s="11" customFormat="1" ht="13" customHeight="1" x14ac:dyDescent="0.3">
      <c r="A24" s="91"/>
      <c r="B24" s="1"/>
      <c r="C24" s="19" t="str">
        <f>VLOOKUP(39,Textbausteine_404_[],Hilfsgrössen!$D$2,FALSE)</f>
        <v>Conducteur/trice de véhicules lourds</v>
      </c>
      <c r="D24" s="268" t="str">
        <f>VLOOKUP(11,Textbausteine_404_[],Hilfsgrössen!$D$2,FALSE)</f>
        <v>Personnes</v>
      </c>
      <c r="E24" s="72"/>
      <c r="F24" s="11" t="s">
        <v>1423</v>
      </c>
      <c r="G24" s="49"/>
      <c r="H24" s="107">
        <v>33</v>
      </c>
      <c r="I24" s="107">
        <v>32</v>
      </c>
      <c r="J24" s="107">
        <v>32</v>
      </c>
      <c r="K24" s="107">
        <v>30</v>
      </c>
      <c r="L24" s="107">
        <v>33</v>
      </c>
      <c r="M24" s="107">
        <v>37</v>
      </c>
      <c r="N24" s="107">
        <v>36</v>
      </c>
      <c r="O24" s="107">
        <v>32</v>
      </c>
      <c r="P24" s="11">
        <v>28</v>
      </c>
      <c r="Q24" s="11">
        <v>28</v>
      </c>
      <c r="R24" s="11">
        <v>24</v>
      </c>
      <c r="S24" s="11">
        <v>18.002666666666666</v>
      </c>
      <c r="T24" s="107">
        <v>8</v>
      </c>
      <c r="U24" s="250">
        <v>3</v>
      </c>
    </row>
    <row r="25" spans="1:21" s="11" customFormat="1" ht="13" customHeight="1" x14ac:dyDescent="0.3">
      <c r="A25" s="91"/>
      <c r="B25" s="1"/>
      <c r="C25" s="19" t="str">
        <f>VLOOKUP(40,Textbausteine_404_[],Hilfsgrössen!$D$2,FALSE)</f>
        <v>Informaticien/ne</v>
      </c>
      <c r="D25" s="268" t="str">
        <f>VLOOKUP(11,Textbausteine_404_[],Hilfsgrössen!$D$2,FALSE)</f>
        <v>Personnes</v>
      </c>
      <c r="E25" s="72"/>
      <c r="F25" s="11" t="s">
        <v>1423</v>
      </c>
      <c r="G25" s="49"/>
      <c r="H25" s="107">
        <v>89</v>
      </c>
      <c r="I25" s="107">
        <v>74</v>
      </c>
      <c r="J25" s="107">
        <v>72</v>
      </c>
      <c r="K25" s="107">
        <v>80</v>
      </c>
      <c r="L25" s="107">
        <v>84</v>
      </c>
      <c r="M25" s="107">
        <v>80</v>
      </c>
      <c r="N25" s="107">
        <v>80</v>
      </c>
      <c r="O25" s="107">
        <v>79</v>
      </c>
      <c r="P25" s="11">
        <v>82</v>
      </c>
      <c r="Q25" s="11">
        <v>85</v>
      </c>
      <c r="R25" s="11">
        <v>89</v>
      </c>
      <c r="S25" s="11">
        <v>98.014750000000006</v>
      </c>
      <c r="T25" s="107">
        <v>105</v>
      </c>
      <c r="U25" s="250">
        <v>116</v>
      </c>
    </row>
    <row r="26" spans="1:21" s="11" customFormat="1" ht="13" customHeight="1" x14ac:dyDescent="0.3">
      <c r="A26" s="91"/>
      <c r="B26" s="1"/>
      <c r="C26" s="19" t="str">
        <f>VLOOKUP(41,Textbausteine_404_[],Hilfsgrössen!$D$2,FALSE)</f>
        <v>Médiamaticien/ne</v>
      </c>
      <c r="D26" s="268" t="str">
        <f>VLOOKUP(11,Textbausteine_404_[],Hilfsgrössen!$D$2,FALSE)</f>
        <v>Personnes</v>
      </c>
      <c r="E26" s="72"/>
      <c r="F26" s="11" t="s">
        <v>1423</v>
      </c>
      <c r="G26" s="49"/>
      <c r="H26" s="107" t="s">
        <v>1595</v>
      </c>
      <c r="I26" s="107" t="s">
        <v>1595</v>
      </c>
      <c r="J26" s="107" t="s">
        <v>1595</v>
      </c>
      <c r="K26" s="107" t="s">
        <v>1595</v>
      </c>
      <c r="L26" s="107" t="s">
        <v>1595</v>
      </c>
      <c r="M26" s="107">
        <v>8</v>
      </c>
      <c r="N26" s="107">
        <v>14</v>
      </c>
      <c r="O26" s="107">
        <v>16</v>
      </c>
      <c r="P26" s="11">
        <v>16</v>
      </c>
      <c r="Q26" s="11">
        <v>17</v>
      </c>
      <c r="R26" s="11">
        <v>19</v>
      </c>
      <c r="S26" s="11">
        <v>22.75</v>
      </c>
      <c r="T26" s="107">
        <v>26</v>
      </c>
      <c r="U26" s="250">
        <v>32</v>
      </c>
    </row>
    <row r="27" spans="1:21" s="11" customFormat="1" ht="13" customHeight="1" x14ac:dyDescent="0.3">
      <c r="A27" s="91"/>
      <c r="B27" s="1"/>
      <c r="C27" s="19" t="str">
        <f>VLOOKUP(42,Textbausteine_404_[],Hilfsgrössen!$D$2,FALSE)</f>
        <v>Automaticien/ne</v>
      </c>
      <c r="D27" s="268" t="str">
        <f>VLOOKUP(11,Textbausteine_404_[],Hilfsgrössen!$D$2,FALSE)</f>
        <v>Personnes</v>
      </c>
      <c r="E27" s="72"/>
      <c r="F27" s="11" t="s">
        <v>1423</v>
      </c>
      <c r="G27" s="49"/>
      <c r="H27" s="107">
        <v>20</v>
      </c>
      <c r="I27" s="107">
        <v>20</v>
      </c>
      <c r="J27" s="107">
        <v>18</v>
      </c>
      <c r="K27" s="107">
        <v>17</v>
      </c>
      <c r="L27" s="107">
        <v>17</v>
      </c>
      <c r="M27" s="107">
        <v>15</v>
      </c>
      <c r="N27" s="107">
        <v>13</v>
      </c>
      <c r="O27" s="107">
        <v>13</v>
      </c>
      <c r="P27" s="11">
        <v>14</v>
      </c>
      <c r="Q27" s="11">
        <v>16</v>
      </c>
      <c r="R27" s="11">
        <v>18</v>
      </c>
      <c r="S27" s="11">
        <v>17.569916666666668</v>
      </c>
      <c r="T27" s="107">
        <v>19</v>
      </c>
      <c r="U27" s="250">
        <v>21</v>
      </c>
    </row>
    <row r="28" spans="1:21" s="11" customFormat="1" ht="13" customHeight="1" x14ac:dyDescent="0.3">
      <c r="A28" s="91"/>
      <c r="B28" s="1"/>
      <c r="C28" s="19" t="str">
        <f>VLOOKUP(43,Textbausteine_404_[],Hilfsgrössen!$D$2,FALSE)</f>
        <v>Spécialiste de l'entretien CFC</v>
      </c>
      <c r="D28" s="268" t="str">
        <f>VLOOKUP(11,Textbausteine_404_[],Hilfsgrössen!$D$2,FALSE)</f>
        <v>Personnes</v>
      </c>
      <c r="E28" s="72"/>
      <c r="F28" s="11" t="s">
        <v>1423</v>
      </c>
      <c r="G28" s="49"/>
      <c r="H28" s="107">
        <v>1</v>
      </c>
      <c r="I28" s="107">
        <v>4</v>
      </c>
      <c r="J28" s="107">
        <v>8</v>
      </c>
      <c r="K28" s="107">
        <v>10</v>
      </c>
      <c r="L28" s="107">
        <v>9</v>
      </c>
      <c r="M28" s="107">
        <v>9</v>
      </c>
      <c r="N28" s="107">
        <v>10</v>
      </c>
      <c r="O28" s="107">
        <v>10</v>
      </c>
      <c r="P28" s="11">
        <v>10</v>
      </c>
      <c r="Q28" s="11">
        <v>10</v>
      </c>
      <c r="R28" s="11">
        <v>11</v>
      </c>
      <c r="S28" s="11">
        <v>11.061500000000001</v>
      </c>
      <c r="T28" s="107">
        <v>12</v>
      </c>
      <c r="U28" s="250">
        <v>11</v>
      </c>
    </row>
    <row r="29" spans="1:21" s="11" customFormat="1" ht="13" customHeight="1" x14ac:dyDescent="0.3">
      <c r="A29" s="91"/>
      <c r="B29" s="1"/>
      <c r="C29" s="19" t="str">
        <f>VLOOKUP(44,Textbausteine_404_[],Hilfsgrössen!$D$2,FALSE)</f>
        <v>Spécialiste petite enfance</v>
      </c>
      <c r="D29" s="268" t="str">
        <f>VLOOKUP(11,Textbausteine_404_[],Hilfsgrössen!$D$2,FALSE)</f>
        <v>Personnes</v>
      </c>
      <c r="E29" s="72"/>
      <c r="F29" s="11" t="s">
        <v>1423</v>
      </c>
      <c r="G29" s="49"/>
      <c r="H29" s="107" t="s">
        <v>1595</v>
      </c>
      <c r="I29" s="107" t="s">
        <v>1595</v>
      </c>
      <c r="J29" s="107" t="s">
        <v>1595</v>
      </c>
      <c r="K29" s="107" t="s">
        <v>1595</v>
      </c>
      <c r="L29" s="107">
        <v>2</v>
      </c>
      <c r="M29" s="107">
        <v>3</v>
      </c>
      <c r="N29" s="107">
        <v>3</v>
      </c>
      <c r="O29" s="107">
        <v>3</v>
      </c>
      <c r="P29" s="11">
        <v>2</v>
      </c>
      <c r="Q29" s="11" t="s">
        <v>1595</v>
      </c>
      <c r="R29" s="11" t="s">
        <v>1595</v>
      </c>
      <c r="S29" s="11" t="s">
        <v>1595</v>
      </c>
      <c r="T29" s="107" t="s">
        <v>1595</v>
      </c>
      <c r="U29" s="250" t="s">
        <v>1595</v>
      </c>
    </row>
    <row r="30" spans="1:21" s="11" customFormat="1" ht="13" customHeight="1" x14ac:dyDescent="0.3">
      <c r="A30" s="91"/>
      <c r="B30" s="1"/>
      <c r="C30" s="195"/>
      <c r="D30" s="195"/>
      <c r="E30" s="270"/>
      <c r="G30" s="49"/>
      <c r="H30" s="107"/>
      <c r="I30" s="107"/>
      <c r="J30" s="107"/>
      <c r="K30" s="107"/>
      <c r="L30" s="107"/>
      <c r="M30" s="107"/>
      <c r="N30" s="107"/>
      <c r="O30" s="107"/>
      <c r="T30" s="107"/>
      <c r="U30" s="250"/>
    </row>
    <row r="31" spans="1:21" s="11" customFormat="1" ht="13" customHeight="1" x14ac:dyDescent="0.3">
      <c r="A31" s="91"/>
      <c r="B31" s="1"/>
      <c r="C31" s="67" t="str">
        <f>VLOOKUP(45,Textbausteine_404_[],Hilfsgrössen!$D$2,FALSE)</f>
        <v>Taux de formation</v>
      </c>
      <c r="D31" s="67" t="str">
        <f>VLOOKUP(12,Textbausteine_404_[],Hilfsgrössen!$D$2,FALSE)</f>
        <v>% des unités de personnel</v>
      </c>
      <c r="E31" s="72">
        <v>1</v>
      </c>
      <c r="F31" s="11" t="s">
        <v>1423</v>
      </c>
      <c r="G31" s="49"/>
      <c r="H31" s="107">
        <v>3.8</v>
      </c>
      <c r="I31" s="107">
        <v>3.7</v>
      </c>
      <c r="J31" s="107">
        <v>3.7</v>
      </c>
      <c r="K31" s="107">
        <v>3.9</v>
      </c>
      <c r="L31" s="107">
        <v>4.0999999999999996</v>
      </c>
      <c r="M31" s="107">
        <v>4.5</v>
      </c>
      <c r="N31" s="107">
        <v>4.8</v>
      </c>
      <c r="O31" s="107">
        <v>5.1515088307931398</v>
      </c>
      <c r="P31" s="11">
        <v>5.3</v>
      </c>
      <c r="Q31" s="11">
        <v>5.4</v>
      </c>
      <c r="R31" s="11">
        <v>5.5</v>
      </c>
      <c r="S31" s="11">
        <v>5.7</v>
      </c>
      <c r="T31" s="107">
        <v>5.8</v>
      </c>
      <c r="U31" s="250">
        <v>6</v>
      </c>
    </row>
    <row r="32" spans="1:21" s="11" customFormat="1" ht="13" customHeight="1" x14ac:dyDescent="0.3">
      <c r="A32" s="91"/>
      <c r="B32" s="1"/>
      <c r="C32" s="67" t="str">
        <f>VLOOKUP(46,Textbausteine_404_[],Hilfsgrössen!$D$2,FALSE)</f>
        <v>Embauche de personnes en formation</v>
      </c>
      <c r="D32" s="67" t="str">
        <f>VLOOKUP(11,Textbausteine_404_[],Hilfsgrössen!$D$2,FALSE)</f>
        <v>Personnes</v>
      </c>
      <c r="E32" s="72">
        <v>2</v>
      </c>
      <c r="F32" s="11" t="s">
        <v>1423</v>
      </c>
      <c r="G32" s="49"/>
      <c r="H32" s="107">
        <v>479</v>
      </c>
      <c r="I32" s="107">
        <v>512</v>
      </c>
      <c r="J32" s="107">
        <v>566</v>
      </c>
      <c r="K32" s="107">
        <v>606</v>
      </c>
      <c r="L32" s="107">
        <v>633</v>
      </c>
      <c r="M32" s="107">
        <v>720</v>
      </c>
      <c r="N32" s="107">
        <v>748</v>
      </c>
      <c r="O32" s="107">
        <v>755</v>
      </c>
      <c r="P32" s="11">
        <v>775</v>
      </c>
      <c r="Q32" s="11">
        <v>778</v>
      </c>
      <c r="R32" s="11">
        <v>803</v>
      </c>
      <c r="S32" s="11">
        <v>837</v>
      </c>
      <c r="T32" s="107">
        <v>836</v>
      </c>
      <c r="U32" s="250">
        <v>756</v>
      </c>
    </row>
    <row r="33" spans="1:80" s="11" customFormat="1" ht="13" customHeight="1" x14ac:dyDescent="0.3">
      <c r="A33" s="91"/>
      <c r="B33" s="1"/>
      <c r="C33" s="67" t="str">
        <f>VLOOKUP(47,Textbausteine_404_[],Hilfsgrössen!$D$2,FALSE)</f>
        <v>Part des personnes en formation embauchées</v>
      </c>
      <c r="D33" s="67" t="str">
        <f>VLOOKUP(13,Textbausteine_404_[],Hilfsgrössen!$D$2,FALSE)</f>
        <v>% des personnes</v>
      </c>
      <c r="E33" s="72" t="s">
        <v>389</v>
      </c>
      <c r="F33" s="11" t="s">
        <v>1423</v>
      </c>
      <c r="G33" s="50"/>
      <c r="H33" s="107">
        <v>83</v>
      </c>
      <c r="I33" s="107">
        <v>81</v>
      </c>
      <c r="J33" s="107">
        <v>92</v>
      </c>
      <c r="K33" s="107">
        <v>91</v>
      </c>
      <c r="L33" s="107">
        <v>91</v>
      </c>
      <c r="M33" s="107">
        <v>82</v>
      </c>
      <c r="N33" s="107">
        <v>90</v>
      </c>
      <c r="O33" s="107">
        <v>90</v>
      </c>
      <c r="P33" s="11">
        <v>83</v>
      </c>
      <c r="Q33" s="11">
        <v>83</v>
      </c>
      <c r="R33" s="11">
        <v>87</v>
      </c>
      <c r="S33" s="11">
        <v>84</v>
      </c>
      <c r="T33" s="107">
        <v>68</v>
      </c>
      <c r="U33" s="250">
        <v>62</v>
      </c>
    </row>
    <row r="34" spans="1:80" s="11" customFormat="1" ht="13" customHeight="1" x14ac:dyDescent="0.3">
      <c r="A34" s="147"/>
      <c r="B34" s="9"/>
      <c r="C34" s="77"/>
      <c r="D34" s="67"/>
      <c r="G34" s="49"/>
      <c r="H34" s="107"/>
      <c r="I34" s="107"/>
      <c r="J34" s="107"/>
      <c r="K34" s="107"/>
      <c r="L34" s="107"/>
      <c r="M34" s="107"/>
      <c r="N34" s="107"/>
      <c r="O34" s="107"/>
      <c r="T34" s="107"/>
      <c r="U34" s="107"/>
    </row>
    <row r="35" spans="1:80" s="107" customFormat="1" ht="13" customHeight="1" x14ac:dyDescent="0.3">
      <c r="A35" s="91"/>
      <c r="B35" s="271" t="str">
        <f>VLOOKUP(131,Textbausteine_404_[],Hilfsgrössen!$D$2,FALSE)</f>
        <v>1) Sans les apprentis</v>
      </c>
      <c r="C35" s="271"/>
      <c r="D35" s="271"/>
      <c r="E35" s="271"/>
      <c r="F35" s="315"/>
      <c r="G35" s="271"/>
      <c r="H35" s="271"/>
      <c r="I35" s="271"/>
      <c r="J35" s="271"/>
      <c r="K35" s="271"/>
      <c r="L35" s="271"/>
      <c r="M35" s="271"/>
      <c r="N35" s="271"/>
      <c r="O35" s="271"/>
      <c r="P35" s="271"/>
      <c r="Q35" s="271"/>
      <c r="R35" s="27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row>
    <row r="36" spans="1:80" s="107" customFormat="1" ht="13" customHeight="1" x14ac:dyDescent="0.3">
      <c r="A36" s="91"/>
      <c r="B36" s="271" t="str">
        <f>VLOOKUP(132,Textbausteine_404_[],Hilfsgrössen!$D$2,FALSE)</f>
        <v>2) Groupe Suisse avec contrat d'apprentissage formation professionnelle Poste.</v>
      </c>
      <c r="C36" s="271"/>
      <c r="D36" s="271"/>
      <c r="E36" s="271"/>
      <c r="F36" s="315"/>
      <c r="G36" s="271"/>
      <c r="H36" s="271"/>
      <c r="I36" s="271"/>
      <c r="J36" s="271"/>
      <c r="K36" s="271"/>
      <c r="L36" s="271"/>
      <c r="M36" s="271"/>
      <c r="N36" s="271"/>
      <c r="O36" s="271"/>
      <c r="P36" s="271"/>
      <c r="Q36" s="271"/>
      <c r="R36" s="27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row>
    <row r="37" spans="1:80" s="107" customFormat="1" ht="13" customHeight="1" x14ac:dyDescent="0.3">
      <c r="A37" s="91"/>
      <c r="B37" s="271" t="str">
        <f>VLOOKUP(133,Textbausteine_404_[],Hilfsgrössen!$D$2,FALSE)</f>
        <v>3) Part des apprentis repris qui souhaitent être embauchés</v>
      </c>
      <c r="C37" s="271"/>
      <c r="D37" s="271"/>
      <c r="E37" s="271"/>
      <c r="F37" s="315"/>
      <c r="G37" s="271"/>
      <c r="H37" s="271"/>
      <c r="I37" s="271"/>
      <c r="J37" s="271"/>
      <c r="K37" s="271"/>
      <c r="L37" s="271"/>
      <c r="M37" s="271"/>
      <c r="N37" s="271"/>
      <c r="O37" s="271"/>
      <c r="P37" s="271"/>
      <c r="Q37" s="271"/>
      <c r="R37" s="27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row>
    <row r="38" spans="1:80" s="107" customFormat="1" ht="13" customHeight="1" x14ac:dyDescent="0.3">
      <c r="A38" s="91"/>
      <c r="B38" s="271"/>
      <c r="C38" s="271"/>
      <c r="D38" s="271"/>
      <c r="E38" s="271"/>
      <c r="F38" s="315"/>
      <c r="G38" s="271"/>
      <c r="H38" s="271"/>
      <c r="I38" s="271"/>
      <c r="J38" s="271"/>
      <c r="K38" s="271"/>
      <c r="L38" s="271"/>
      <c r="M38" s="271"/>
      <c r="N38" s="271"/>
      <c r="O38" s="271"/>
      <c r="P38" s="271"/>
      <c r="Q38" s="271"/>
      <c r="R38" s="27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row>
    <row r="39" spans="1:80" s="107" customFormat="1" ht="13" customHeight="1" x14ac:dyDescent="0.3">
      <c r="A39" s="91"/>
      <c r="B39" s="271"/>
      <c r="C39" s="271"/>
      <c r="D39" s="271"/>
      <c r="E39" s="271"/>
      <c r="F39" s="315"/>
      <c r="G39" s="271"/>
      <c r="H39" s="271"/>
      <c r="I39" s="271"/>
      <c r="J39" s="271"/>
      <c r="K39" s="271"/>
      <c r="L39" s="271"/>
      <c r="M39" s="271"/>
      <c r="N39" s="271"/>
      <c r="O39" s="271"/>
      <c r="P39" s="271"/>
      <c r="Q39" s="271"/>
      <c r="R39" s="27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row>
    <row r="40" spans="1:80" s="107" customFormat="1" ht="13" customHeight="1" x14ac:dyDescent="0.3">
      <c r="A40" s="91"/>
      <c r="B40" s="271"/>
      <c r="C40" s="271"/>
      <c r="D40" s="271"/>
      <c r="E40" s="271"/>
      <c r="F40" s="315"/>
      <c r="G40" s="271"/>
      <c r="H40" s="271"/>
      <c r="I40" s="271"/>
      <c r="J40" s="271"/>
      <c r="K40" s="271"/>
      <c r="L40" s="271"/>
      <c r="M40" s="271"/>
      <c r="N40" s="271"/>
      <c r="O40" s="271"/>
      <c r="P40" s="271"/>
      <c r="Q40" s="271"/>
      <c r="R40" s="27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row>
    <row r="41" spans="1:80" s="31" customFormat="1" ht="13" customHeight="1" x14ac:dyDescent="0.3">
      <c r="A41" s="56" t="s">
        <v>900</v>
      </c>
      <c r="B41" s="385" t="str">
        <f>$C$8</f>
        <v>Relève</v>
      </c>
      <c r="C41" s="385"/>
      <c r="D41" s="6" t="str">
        <f>VLOOKUP(32,Textbausteine_Menu[],Hilfsgrössen!$D$2,FALSE)</f>
        <v>Unité</v>
      </c>
      <c r="E41" s="39" t="str">
        <f>VLOOKUP(33,Textbausteine_Menu[],Hilfsgrössen!$D$2,FALSE)</f>
        <v>Notes</v>
      </c>
      <c r="F41" s="39" t="str">
        <f>VLOOKUP(34,Textbausteine_Menu[],Hilfsgrössen!$D$2,FALSE)</f>
        <v>GRI</v>
      </c>
      <c r="G41" s="47"/>
      <c r="H41" s="31">
        <v>2004</v>
      </c>
      <c r="I41" s="117">
        <v>2005</v>
      </c>
      <c r="J41" s="117">
        <v>2006</v>
      </c>
      <c r="K41" s="117">
        <v>2007</v>
      </c>
      <c r="L41" s="117">
        <v>2008</v>
      </c>
      <c r="M41" s="117">
        <v>2009</v>
      </c>
      <c r="N41" s="117">
        <v>2010</v>
      </c>
      <c r="O41" s="117">
        <v>2011</v>
      </c>
      <c r="P41" s="117">
        <v>2012</v>
      </c>
      <c r="Q41" s="117">
        <v>2013</v>
      </c>
      <c r="R41" s="117">
        <v>2014</v>
      </c>
      <c r="S41" s="117">
        <v>2015</v>
      </c>
      <c r="T41" s="117">
        <v>2016</v>
      </c>
      <c r="U41" s="247">
        <v>2017</v>
      </c>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row>
    <row r="42" spans="1:80" s="31" customFormat="1" ht="13" customHeight="1" x14ac:dyDescent="0.3">
      <c r="A42" s="90"/>
      <c r="B42" s="385"/>
      <c r="C42" s="385"/>
      <c r="D42" s="6"/>
      <c r="E42" s="40"/>
      <c r="F42" s="40"/>
      <c r="G42" s="47"/>
      <c r="I42" s="143"/>
      <c r="J42" s="143"/>
      <c r="K42" s="143"/>
      <c r="L42" s="143"/>
      <c r="M42" s="143"/>
      <c r="N42" s="143"/>
      <c r="O42" s="143"/>
      <c r="P42" s="143"/>
      <c r="Q42" s="143"/>
      <c r="R42" s="143"/>
      <c r="S42" s="143"/>
      <c r="T42" s="119"/>
      <c r="U42" s="24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row>
    <row r="43" spans="1:80" ht="13" customHeight="1" x14ac:dyDescent="0.3">
      <c r="B43" s="8"/>
      <c r="D43" s="9"/>
      <c r="E43" s="40"/>
      <c r="F43" s="40"/>
      <c r="G43" s="48"/>
      <c r="H43" s="1"/>
      <c r="N43" s="107"/>
      <c r="P43" s="107"/>
      <c r="Q43" s="107"/>
      <c r="R43" s="107"/>
      <c r="S43" s="107"/>
      <c r="T43" s="20"/>
      <c r="U43" s="249"/>
    </row>
    <row r="44" spans="1:80" ht="13" customHeight="1" x14ac:dyDescent="0.3">
      <c r="B44" s="8" t="str">
        <f>VLOOKUP(37,Textbausteine_Menu[],Hilfsgrössen!$D$2,FALSE)</f>
        <v>Groupe Suisse</v>
      </c>
      <c r="C44" s="8"/>
      <c r="D44" s="67"/>
      <c r="E44" s="12"/>
      <c r="F44" s="11"/>
      <c r="G44" s="48"/>
      <c r="N44" s="107"/>
      <c r="T44" s="20"/>
      <c r="U44" s="249"/>
    </row>
    <row r="45" spans="1:80" s="107" customFormat="1" ht="13" customHeight="1" x14ac:dyDescent="0.3">
      <c r="A45" s="91"/>
      <c r="B45" s="1"/>
      <c r="C45" s="272" t="str">
        <f>VLOOKUP(61,Textbausteine_404_[],Hilfsgrössen!$D$2,FALSE)</f>
        <v>Relève</v>
      </c>
      <c r="D45" s="268" t="str">
        <f>VLOOKUP(11,Textbausteine_404_[],Hilfsgrössen!$D$2,FALSE)</f>
        <v>Personnes</v>
      </c>
      <c r="E45" s="273">
        <v>1</v>
      </c>
      <c r="F45" s="11" t="s">
        <v>1423</v>
      </c>
      <c r="G45" s="270"/>
      <c r="H45" s="273">
        <v>50</v>
      </c>
      <c r="I45" s="273">
        <v>53</v>
      </c>
      <c r="J45" s="273">
        <v>62</v>
      </c>
      <c r="K45" s="273">
        <v>63</v>
      </c>
      <c r="L45" s="273">
        <v>89</v>
      </c>
      <c r="M45" s="273">
        <v>105</v>
      </c>
      <c r="N45" s="273">
        <v>101</v>
      </c>
      <c r="O45" s="197">
        <v>98</v>
      </c>
      <c r="P45" s="11">
        <v>82</v>
      </c>
      <c r="Q45" s="11">
        <v>89</v>
      </c>
      <c r="R45" s="270">
        <v>93</v>
      </c>
      <c r="S45" s="270">
        <v>87</v>
      </c>
      <c r="T45" s="270">
        <v>92</v>
      </c>
      <c r="U45" s="274">
        <v>69</v>
      </c>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row>
    <row r="46" spans="1:80" s="107" customFormat="1" ht="13" customHeight="1" x14ac:dyDescent="0.3">
      <c r="A46" s="91"/>
      <c r="B46" s="1"/>
      <c r="C46" s="275" t="str">
        <f>VLOOKUP(62,Textbausteine_404_[],Hilfsgrössen!$D$2,FALSE)</f>
        <v>Programme Trainee</v>
      </c>
      <c r="D46" s="268" t="str">
        <f>VLOOKUP(11,Textbausteine_404_[],Hilfsgrössen!$D$2,FALSE)</f>
        <v>Personnes</v>
      </c>
      <c r="E46" s="270"/>
      <c r="F46" s="11" t="s">
        <v>1423</v>
      </c>
      <c r="G46" s="270"/>
      <c r="H46" s="270">
        <v>20</v>
      </c>
      <c r="I46" s="270">
        <v>18</v>
      </c>
      <c r="J46" s="270">
        <v>22</v>
      </c>
      <c r="K46" s="270">
        <v>19</v>
      </c>
      <c r="L46" s="270">
        <v>23</v>
      </c>
      <c r="M46" s="197">
        <v>40</v>
      </c>
      <c r="N46" s="197">
        <v>46</v>
      </c>
      <c r="O46" s="197">
        <v>53</v>
      </c>
      <c r="P46" s="11">
        <v>68</v>
      </c>
      <c r="Q46" s="11">
        <v>71</v>
      </c>
      <c r="R46" s="270">
        <v>74</v>
      </c>
      <c r="S46" s="270">
        <v>71</v>
      </c>
      <c r="T46" s="270">
        <v>59</v>
      </c>
      <c r="U46" s="274">
        <v>32</v>
      </c>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row>
    <row r="47" spans="1:80" s="107" customFormat="1" ht="13" customHeight="1" x14ac:dyDescent="0.3">
      <c r="A47" s="91"/>
      <c r="B47" s="26"/>
      <c r="C47" s="275" t="str">
        <f>VLOOKUP(63,Textbausteine_404_[],Hilfsgrössen!$D$2,FALSE)</f>
        <v>Stagiaires</v>
      </c>
      <c r="D47" s="268" t="str">
        <f>VLOOKUP(11,Textbausteine_404_[],Hilfsgrössen!$D$2,FALSE)</f>
        <v>Personnes</v>
      </c>
      <c r="E47" s="270"/>
      <c r="F47" s="11" t="s">
        <v>1423</v>
      </c>
      <c r="G47" s="270"/>
      <c r="H47" s="270">
        <v>30</v>
      </c>
      <c r="I47" s="270">
        <v>35</v>
      </c>
      <c r="J47" s="270">
        <v>40</v>
      </c>
      <c r="K47" s="270">
        <v>44</v>
      </c>
      <c r="L47" s="270">
        <v>66</v>
      </c>
      <c r="M47" s="197">
        <v>65</v>
      </c>
      <c r="N47" s="197">
        <v>55</v>
      </c>
      <c r="O47" s="197">
        <v>45</v>
      </c>
      <c r="P47" s="11">
        <v>14</v>
      </c>
      <c r="Q47" s="11">
        <v>18</v>
      </c>
      <c r="R47" s="270">
        <v>19</v>
      </c>
      <c r="S47" s="270">
        <v>16</v>
      </c>
      <c r="T47" s="270">
        <v>33</v>
      </c>
      <c r="U47" s="274">
        <v>37</v>
      </c>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row>
    <row r="48" spans="1:80" s="11" customFormat="1" ht="13" customHeight="1" x14ac:dyDescent="0.3">
      <c r="A48" s="147"/>
      <c r="B48" s="9"/>
      <c r="C48" s="77"/>
      <c r="D48" s="67"/>
      <c r="G48" s="49"/>
      <c r="H48" s="107"/>
      <c r="I48" s="107"/>
      <c r="J48" s="107"/>
      <c r="K48" s="107"/>
      <c r="L48" s="107"/>
      <c r="M48" s="107"/>
      <c r="N48" s="107"/>
      <c r="O48" s="107"/>
      <c r="T48" s="107"/>
      <c r="U48" s="107"/>
    </row>
    <row r="49" spans="1:80" s="107" customFormat="1" ht="13" customHeight="1" x14ac:dyDescent="0.3">
      <c r="A49" s="91"/>
      <c r="B49" s="271" t="str">
        <f>VLOOKUP(141,Textbausteine_404_[],Hilfsgrössen!$D$2,FALSE)</f>
        <v>1)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v>
      </c>
      <c r="C49" s="271"/>
      <c r="D49" s="271"/>
      <c r="E49" s="271"/>
      <c r="F49" s="315"/>
      <c r="G49" s="271"/>
      <c r="H49" s="271"/>
      <c r="I49" s="271"/>
      <c r="J49" s="271"/>
      <c r="K49" s="271"/>
      <c r="L49" s="271"/>
      <c r="M49" s="271"/>
      <c r="N49" s="271"/>
      <c r="O49" s="271"/>
      <c r="P49" s="271"/>
      <c r="Q49" s="271"/>
      <c r="R49" s="27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row>
    <row r="50" spans="1:80" s="107" customFormat="1" ht="13" customHeight="1" x14ac:dyDescent="0.3">
      <c r="A50" s="91"/>
      <c r="B50" s="271"/>
      <c r="C50" s="271"/>
      <c r="D50" s="271"/>
      <c r="E50" s="271"/>
      <c r="F50" s="315"/>
      <c r="G50" s="271"/>
      <c r="H50" s="271"/>
      <c r="I50" s="271"/>
      <c r="J50" s="271"/>
      <c r="K50" s="271"/>
      <c r="L50" s="271"/>
      <c r="M50" s="271"/>
      <c r="N50" s="271"/>
      <c r="O50" s="271"/>
      <c r="P50" s="271"/>
      <c r="Q50" s="271"/>
      <c r="R50" s="27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row>
    <row r="51" spans="1:80" s="107" customFormat="1" ht="13" customHeight="1" x14ac:dyDescent="0.3">
      <c r="A51" s="91"/>
      <c r="B51" s="271"/>
      <c r="C51" s="271"/>
      <c r="D51" s="271"/>
      <c r="E51" s="271"/>
      <c r="F51" s="315"/>
      <c r="G51" s="271"/>
      <c r="H51" s="271"/>
      <c r="I51" s="271"/>
      <c r="J51" s="271"/>
      <c r="K51" s="271"/>
      <c r="L51" s="271"/>
      <c r="M51" s="271"/>
      <c r="N51" s="271"/>
      <c r="O51" s="271"/>
      <c r="P51" s="271"/>
      <c r="Q51" s="271"/>
      <c r="R51" s="27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row>
    <row r="52" spans="1:80" s="107" customFormat="1" ht="13" customHeight="1" x14ac:dyDescent="0.3">
      <c r="A52" s="91"/>
      <c r="B52" s="271"/>
      <c r="C52" s="271"/>
      <c r="D52" s="271"/>
      <c r="E52" s="271"/>
      <c r="F52" s="315"/>
      <c r="G52" s="271"/>
      <c r="H52" s="271"/>
      <c r="I52" s="271"/>
      <c r="J52" s="271"/>
      <c r="K52" s="271"/>
      <c r="L52" s="271"/>
      <c r="M52" s="271"/>
      <c r="N52" s="271"/>
      <c r="O52" s="271"/>
      <c r="P52" s="271"/>
      <c r="Q52" s="271"/>
      <c r="R52" s="27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row>
    <row r="53" spans="1:80" s="31" customFormat="1" ht="13" customHeight="1" x14ac:dyDescent="0.3">
      <c r="A53" s="56" t="s">
        <v>900</v>
      </c>
      <c r="B53" s="385" t="str">
        <f>$C$9</f>
        <v>Centre de carrière</v>
      </c>
      <c r="C53" s="385"/>
      <c r="D53" s="6" t="str">
        <f>VLOOKUP(32,Textbausteine_Menu[],Hilfsgrössen!$D$2,FALSE)</f>
        <v>Unité</v>
      </c>
      <c r="E53" s="39" t="str">
        <f>VLOOKUP(33,Textbausteine_Menu[],Hilfsgrössen!$D$2,FALSE)</f>
        <v>Notes</v>
      </c>
      <c r="F53" s="39" t="str">
        <f>VLOOKUP(34,Textbausteine_Menu[],Hilfsgrössen!$D$2,FALSE)</f>
        <v>GRI</v>
      </c>
      <c r="G53" s="47"/>
      <c r="H53" s="31">
        <v>2004</v>
      </c>
      <c r="I53" s="117">
        <v>2005</v>
      </c>
      <c r="J53" s="117">
        <v>2006</v>
      </c>
      <c r="K53" s="117">
        <v>2007</v>
      </c>
      <c r="L53" s="117">
        <v>2008</v>
      </c>
      <c r="M53" s="117">
        <v>2009</v>
      </c>
      <c r="N53" s="117">
        <v>2010</v>
      </c>
      <c r="O53" s="117">
        <v>2011</v>
      </c>
      <c r="P53" s="117">
        <v>2012</v>
      </c>
      <c r="Q53" s="117">
        <v>2013</v>
      </c>
      <c r="R53" s="117">
        <v>2014</v>
      </c>
      <c r="S53" s="117">
        <v>2015</v>
      </c>
      <c r="T53" s="117">
        <v>2016</v>
      </c>
      <c r="U53" s="247">
        <v>2017</v>
      </c>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row>
    <row r="54" spans="1:80" s="31" customFormat="1" ht="13" customHeight="1" x14ac:dyDescent="0.3">
      <c r="A54" s="90"/>
      <c r="B54" s="385"/>
      <c r="C54" s="385"/>
      <c r="D54" s="6"/>
      <c r="E54" s="40"/>
      <c r="F54" s="40"/>
      <c r="G54" s="47"/>
      <c r="I54" s="143"/>
      <c r="J54" s="143"/>
      <c r="K54" s="143"/>
      <c r="L54" s="143"/>
      <c r="M54" s="143"/>
      <c r="N54" s="143"/>
      <c r="O54" s="143"/>
      <c r="P54" s="143"/>
      <c r="Q54" s="143"/>
      <c r="R54" s="143"/>
      <c r="S54" s="143"/>
      <c r="T54" s="119"/>
      <c r="U54" s="24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row>
    <row r="55" spans="1:80" ht="13" customHeight="1" x14ac:dyDescent="0.3">
      <c r="B55" s="8"/>
      <c r="D55" s="9"/>
      <c r="E55" s="40"/>
      <c r="F55" s="40"/>
      <c r="G55" s="48"/>
      <c r="H55" s="1"/>
      <c r="N55" s="107"/>
      <c r="P55" s="107"/>
      <c r="Q55" s="107"/>
      <c r="R55" s="107"/>
      <c r="S55" s="107"/>
      <c r="T55" s="20"/>
      <c r="U55" s="249"/>
    </row>
    <row r="56" spans="1:80" ht="13" customHeight="1" x14ac:dyDescent="0.3">
      <c r="B56" s="8" t="str">
        <f>VLOOKUP(37,Textbausteine_Menu[],Hilfsgrössen!$D$2,FALSE)</f>
        <v>Groupe Suisse</v>
      </c>
      <c r="C56" s="8"/>
      <c r="D56" s="67"/>
      <c r="E56" s="12"/>
      <c r="F56" s="11"/>
      <c r="G56" s="48"/>
      <c r="N56" s="107"/>
      <c r="T56" s="20"/>
      <c r="U56" s="249"/>
    </row>
    <row r="57" spans="1:80" s="107" customFormat="1" ht="13" customHeight="1" x14ac:dyDescent="0.3">
      <c r="A57" s="91"/>
      <c r="B57" s="1"/>
      <c r="C57" s="272" t="str">
        <f>VLOOKUP(81,Textbausteine_404_[],Hilfsgrössen!$D$2,FALSE)</f>
        <v>Conseils individuels par le Centre de carrière</v>
      </c>
      <c r="D57" s="268" t="str">
        <f>VLOOKUP(14,Textbausteine_404_[],Hilfsgrössen!$D$2,FALSE)</f>
        <v>Nombre</v>
      </c>
      <c r="E57" s="273"/>
      <c r="F57" s="11" t="s">
        <v>1423</v>
      </c>
      <c r="G57" s="270"/>
      <c r="H57" s="273">
        <v>1475</v>
      </c>
      <c r="I57" s="273">
        <v>1337</v>
      </c>
      <c r="J57" s="273">
        <v>1362</v>
      </c>
      <c r="K57" s="273">
        <v>1436</v>
      </c>
      <c r="L57" s="273">
        <v>716</v>
      </c>
      <c r="M57" s="273">
        <v>582</v>
      </c>
      <c r="N57" s="273">
        <v>562</v>
      </c>
      <c r="O57" s="197">
        <v>590</v>
      </c>
      <c r="P57" s="11">
        <v>687</v>
      </c>
      <c r="Q57" s="11">
        <v>772</v>
      </c>
      <c r="R57" s="270">
        <v>822</v>
      </c>
      <c r="S57" s="270">
        <v>751</v>
      </c>
      <c r="T57" s="270">
        <v>825</v>
      </c>
      <c r="U57" s="274">
        <v>1161</v>
      </c>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row>
    <row r="58" spans="1:80" s="107" customFormat="1" ht="13" customHeight="1" x14ac:dyDescent="0.3">
      <c r="A58" s="91"/>
      <c r="B58" s="1"/>
      <c r="C58" s="276" t="str">
        <f>VLOOKUP(82,Textbausteine_404_[],Hilfsgrössen!$D$2,FALSE)</f>
        <v>Séminaires de la Bourse de l'emploi</v>
      </c>
      <c r="D58" s="268" t="str">
        <f>VLOOKUP(14,Textbausteine_404_[],Hilfsgrössen!$D$2,FALSE)</f>
        <v>Nombre</v>
      </c>
      <c r="E58" s="270"/>
      <c r="F58" s="11" t="s">
        <v>1423</v>
      </c>
      <c r="G58" s="270"/>
      <c r="H58" s="270">
        <v>177</v>
      </c>
      <c r="I58" s="270">
        <v>126</v>
      </c>
      <c r="J58" s="270">
        <v>99</v>
      </c>
      <c r="K58" s="270">
        <v>102</v>
      </c>
      <c r="L58" s="270">
        <v>46</v>
      </c>
      <c r="M58" s="197">
        <v>54</v>
      </c>
      <c r="N58" s="197">
        <v>83</v>
      </c>
      <c r="O58" s="197">
        <v>50</v>
      </c>
      <c r="P58" s="11">
        <v>70</v>
      </c>
      <c r="Q58" s="11">
        <v>74</v>
      </c>
      <c r="R58" s="270">
        <v>71</v>
      </c>
      <c r="S58" s="270">
        <v>71</v>
      </c>
      <c r="T58" s="270">
        <v>70</v>
      </c>
      <c r="U58" s="274">
        <v>69</v>
      </c>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s="107" customFormat="1" ht="13" customHeight="1" x14ac:dyDescent="0.3">
      <c r="A59" s="91"/>
      <c r="B59" s="26"/>
      <c r="C59" s="276" t="str">
        <f>VLOOKUP(83,Textbausteine_404_[],Hilfsgrössen!$D$2,FALSE)</f>
        <v>Séminaires de la Bourse de l'emploi</v>
      </c>
      <c r="D59" s="268" t="str">
        <f>VLOOKUP(15,Textbausteine_404_[],Hilfsgrössen!$D$2,FALSE)</f>
        <v>Participants</v>
      </c>
      <c r="E59" s="270"/>
      <c r="F59" s="11" t="s">
        <v>1423</v>
      </c>
      <c r="G59" s="270"/>
      <c r="H59" s="270">
        <v>2388</v>
      </c>
      <c r="I59" s="270">
        <v>1762</v>
      </c>
      <c r="J59" s="270">
        <v>1497</v>
      </c>
      <c r="K59" s="270">
        <v>1309</v>
      </c>
      <c r="L59" s="270">
        <v>792</v>
      </c>
      <c r="M59" s="197">
        <v>834</v>
      </c>
      <c r="N59" s="197">
        <v>1393</v>
      </c>
      <c r="O59" s="197">
        <v>870</v>
      </c>
      <c r="P59" s="11">
        <v>1230</v>
      </c>
      <c r="Q59" s="11">
        <v>1188</v>
      </c>
      <c r="R59" s="270">
        <v>1173</v>
      </c>
      <c r="S59" s="270">
        <v>1208</v>
      </c>
      <c r="T59" s="270">
        <v>1248</v>
      </c>
      <c r="U59" s="274">
        <v>1208</v>
      </c>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s="107" customFormat="1" ht="13" customHeight="1" x14ac:dyDescent="0.3">
      <c r="A60" s="147"/>
      <c r="B60" s="26"/>
      <c r="C60" s="275"/>
      <c r="D60" s="195"/>
      <c r="E60" s="270"/>
      <c r="F60" s="11"/>
      <c r="G60" s="270"/>
      <c r="H60" s="270"/>
      <c r="I60" s="270"/>
      <c r="J60" s="270"/>
      <c r="K60" s="270"/>
      <c r="L60" s="270"/>
      <c r="M60" s="197"/>
      <c r="N60" s="197"/>
      <c r="O60" s="197"/>
      <c r="P60" s="11"/>
      <c r="Q60" s="11"/>
      <c r="R60" s="270"/>
      <c r="S60" s="270"/>
      <c r="T60" s="270"/>
      <c r="U60" s="270"/>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s="107" customFormat="1" ht="13" customHeight="1" x14ac:dyDescent="0.3">
      <c r="A61" s="91"/>
      <c r="B61" s="26"/>
      <c r="C61" s="9"/>
      <c r="D61" s="1"/>
      <c r="E61" s="11"/>
      <c r="F61" s="13"/>
      <c r="G61" s="49"/>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row>
    <row r="62" spans="1:80" s="107" customFormat="1" ht="13" customHeight="1" x14ac:dyDescent="0.3">
      <c r="A62" s="91"/>
      <c r="B62" s="26"/>
      <c r="C62" s="9"/>
      <c r="D62" s="1"/>
      <c r="E62" s="11"/>
      <c r="F62" s="11"/>
      <c r="G62" s="50"/>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row>
    <row r="63" spans="1:80" s="107" customFormat="1" ht="13" customHeight="1" x14ac:dyDescent="0.3">
      <c r="A63" s="91"/>
      <c r="B63" s="26"/>
      <c r="C63" s="9"/>
      <c r="D63" s="1"/>
      <c r="E63" s="11"/>
      <c r="F63" s="11"/>
      <c r="G63" s="49"/>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row>
    <row r="64" spans="1:80" s="107" customFormat="1" ht="13" customHeight="1" x14ac:dyDescent="0.3">
      <c r="A64" s="91"/>
      <c r="B64" s="26"/>
      <c r="C64" s="9"/>
      <c r="D64" s="1"/>
      <c r="E64" s="11"/>
      <c r="F64" s="11"/>
      <c r="G64" s="49"/>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row>
    <row r="65" spans="1:79" s="107" customFormat="1" ht="13" customHeight="1" x14ac:dyDescent="0.3">
      <c r="A65" s="91"/>
      <c r="B65" s="1"/>
      <c r="C65" s="9"/>
      <c r="D65" s="1"/>
      <c r="E65" s="11"/>
      <c r="F65" s="11"/>
      <c r="G65" s="49"/>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row>
    <row r="66" spans="1:79" s="107" customFormat="1" ht="13" customHeight="1" x14ac:dyDescent="0.3">
      <c r="A66" s="91"/>
      <c r="B66" s="1"/>
      <c r="C66" s="9"/>
      <c r="D66" s="1"/>
      <c r="E66" s="11"/>
      <c r="F66" s="11"/>
      <c r="G66" s="49"/>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row>
    <row r="67" spans="1:79" s="107" customFormat="1" ht="13" customHeight="1" x14ac:dyDescent="0.3">
      <c r="A67" s="91"/>
      <c r="B67" s="1"/>
      <c r="C67" s="9"/>
      <c r="D67" s="1"/>
      <c r="E67" s="11"/>
      <c r="F67" s="11"/>
      <c r="G67" s="49"/>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row>
    <row r="68" spans="1:79" s="107" customFormat="1" ht="13" customHeight="1" x14ac:dyDescent="0.3">
      <c r="A68" s="91"/>
      <c r="B68" s="1"/>
      <c r="C68" s="9"/>
      <c r="D68" s="1"/>
      <c r="E68" s="11"/>
      <c r="F68" s="11"/>
      <c r="G68" s="49"/>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row>
    <row r="69" spans="1:79" s="107" customFormat="1" ht="13" customHeight="1" x14ac:dyDescent="0.3">
      <c r="A69" s="91"/>
      <c r="B69" s="1"/>
      <c r="C69" s="9"/>
      <c r="D69" s="1"/>
      <c r="E69" s="11"/>
      <c r="F69" s="11"/>
      <c r="G69" s="49"/>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row>
    <row r="70" spans="1:79" s="107" customFormat="1" ht="13" customHeight="1" x14ac:dyDescent="0.3">
      <c r="A70" s="91"/>
      <c r="B70" s="1"/>
      <c r="C70" s="9"/>
      <c r="D70" s="1"/>
      <c r="E70" s="11"/>
      <c r="F70" s="11"/>
      <c r="G70" s="49"/>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row>
    <row r="71" spans="1:79" s="107" customFormat="1" ht="13" customHeight="1" x14ac:dyDescent="0.3">
      <c r="A71" s="91"/>
      <c r="B71" s="1"/>
      <c r="C71" s="9"/>
      <c r="D71" s="1"/>
      <c r="E71" s="13"/>
      <c r="F71" s="11"/>
      <c r="G71" s="49"/>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row>
    <row r="72" spans="1:79" s="107" customFormat="1" ht="13" customHeight="1" x14ac:dyDescent="0.3">
      <c r="A72" s="91"/>
      <c r="B72" s="1"/>
      <c r="C72" s="9"/>
      <c r="D72" s="1"/>
      <c r="E72" s="13"/>
      <c r="F72" s="11"/>
      <c r="G72" s="49"/>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row>
    <row r="73" spans="1:79" s="107" customFormat="1" ht="13" customHeight="1" x14ac:dyDescent="0.3">
      <c r="A73" s="91"/>
      <c r="B73" s="1"/>
      <c r="C73" s="9"/>
      <c r="D73" s="1"/>
      <c r="E73" s="13"/>
      <c r="F73" s="11"/>
      <c r="G73" s="49"/>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row>
    <row r="74" spans="1:79" s="107" customFormat="1" ht="13" customHeight="1" x14ac:dyDescent="0.3">
      <c r="A74" s="91"/>
      <c r="B74" s="1"/>
      <c r="C74" s="9"/>
      <c r="D74" s="1"/>
      <c r="E74" s="11"/>
      <c r="F74" s="11"/>
      <c r="G74" s="49"/>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row>
    <row r="75" spans="1:79" s="107" customFormat="1" ht="13" customHeight="1" x14ac:dyDescent="0.3">
      <c r="A75" s="91"/>
      <c r="B75" s="1"/>
      <c r="C75" s="9"/>
      <c r="D75" s="1"/>
      <c r="E75" s="11"/>
      <c r="F75" s="11"/>
      <c r="G75" s="49"/>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row>
    <row r="76" spans="1:79" s="107" customFormat="1" ht="13" customHeight="1" x14ac:dyDescent="0.3">
      <c r="A76" s="91"/>
      <c r="B76" s="1"/>
      <c r="C76" s="9"/>
      <c r="D76" s="1"/>
      <c r="E76" s="41"/>
      <c r="F76" s="41"/>
      <c r="G76" s="49"/>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row>
    <row r="77" spans="1:79" s="107" customFormat="1" ht="13" customHeight="1" x14ac:dyDescent="0.3">
      <c r="A77" s="91"/>
      <c r="B77" s="1"/>
      <c r="C77" s="9"/>
      <c r="D77" s="1"/>
      <c r="E77" s="41"/>
      <c r="F77" s="41"/>
      <c r="G77" s="5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row>
    <row r="78" spans="1:79" s="107" customFormat="1" ht="13" customHeight="1" x14ac:dyDescent="0.3">
      <c r="A78" s="91"/>
      <c r="B78" s="1"/>
      <c r="C78" s="9"/>
      <c r="D78" s="1"/>
      <c r="E78" s="41"/>
      <c r="F78" s="41"/>
      <c r="G78" s="5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row>
    <row r="79" spans="1:79" s="107" customFormat="1" ht="13" customHeight="1" x14ac:dyDescent="0.3">
      <c r="A79" s="91"/>
      <c r="B79" s="1"/>
      <c r="C79" s="9"/>
      <c r="D79" s="1"/>
      <c r="E79" s="42"/>
      <c r="F79" s="42"/>
      <c r="G79" s="51"/>
      <c r="N79" s="20"/>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row>
    <row r="80" spans="1:79" s="107" customFormat="1" ht="13" customHeight="1" x14ac:dyDescent="0.3">
      <c r="A80" s="91"/>
      <c r="B80" s="1"/>
      <c r="C80" s="9"/>
      <c r="D80" s="1"/>
      <c r="E80" s="42"/>
      <c r="F80" s="42"/>
      <c r="G80" s="52"/>
      <c r="N80" s="20"/>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row>
    <row r="81" spans="1:79" s="107" customFormat="1" ht="13" customHeight="1" x14ac:dyDescent="0.3">
      <c r="A81" s="91"/>
      <c r="B81" s="1"/>
      <c r="C81" s="9"/>
      <c r="D81" s="1"/>
      <c r="E81" s="43"/>
      <c r="F81" s="43"/>
      <c r="G81" s="52"/>
      <c r="N81" s="20"/>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row>
    <row r="82" spans="1:79" s="107" customFormat="1" ht="13" customHeight="1" x14ac:dyDescent="0.3">
      <c r="A82" s="91"/>
      <c r="B82" s="1"/>
      <c r="C82" s="9"/>
      <c r="D82" s="1"/>
      <c r="E82" s="37"/>
      <c r="F82" s="37"/>
      <c r="G82" s="53"/>
      <c r="N82" s="20"/>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row>
    <row r="85" spans="1:79" s="107" customFormat="1" ht="13" customHeight="1" x14ac:dyDescent="0.3">
      <c r="A85" s="91"/>
      <c r="B85" s="1"/>
      <c r="C85" s="9"/>
      <c r="D85" s="1"/>
      <c r="E85" s="40"/>
      <c r="F85" s="40"/>
      <c r="G85" s="47"/>
      <c r="N85" s="20"/>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row>
    <row r="86" spans="1:79" s="107" customFormat="1" ht="13" customHeight="1" x14ac:dyDescent="0.3">
      <c r="A86" s="91"/>
      <c r="B86" s="1"/>
      <c r="C86" s="9"/>
      <c r="D86" s="1"/>
      <c r="E86" s="40"/>
      <c r="F86" s="40"/>
      <c r="G86" s="48"/>
      <c r="N86" s="20"/>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row>
    <row r="87" spans="1:79" s="107" customFormat="1" ht="13" customHeight="1" x14ac:dyDescent="0.3">
      <c r="A87" s="91"/>
      <c r="B87" s="1"/>
      <c r="C87" s="9"/>
      <c r="D87" s="1"/>
      <c r="E87" s="13"/>
      <c r="F87" s="11"/>
      <c r="G87" s="48"/>
      <c r="N87" s="119"/>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row>
    <row r="88" spans="1:79" s="107" customFormat="1" ht="13" customHeight="1" x14ac:dyDescent="0.3">
      <c r="A88" s="91"/>
      <c r="B88" s="1"/>
      <c r="C88" s="9"/>
      <c r="D88" s="1"/>
      <c r="E88" s="39"/>
      <c r="F88" s="39"/>
      <c r="G88" s="49"/>
      <c r="N88" s="119"/>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row>
    <row r="89" spans="1:79" s="107" customFormat="1" ht="13" customHeight="1" x14ac:dyDescent="0.3">
      <c r="A89" s="91"/>
      <c r="B89" s="1"/>
      <c r="C89" s="9"/>
      <c r="D89" s="1"/>
      <c r="E89" s="13"/>
      <c r="F89" s="11"/>
      <c r="G89" s="46"/>
      <c r="N89" s="20"/>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row>
    <row r="90" spans="1:79" s="107" customFormat="1" ht="13" customHeight="1" x14ac:dyDescent="0.3">
      <c r="A90" s="91"/>
      <c r="B90" s="1"/>
      <c r="C90" s="9"/>
      <c r="D90" s="1"/>
      <c r="E90" s="13"/>
      <c r="F90" s="11"/>
      <c r="G90" s="47"/>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row>
    <row r="91" spans="1:79" s="107" customFormat="1" ht="13" customHeight="1" x14ac:dyDescent="0.3">
      <c r="A91" s="91"/>
      <c r="B91" s="1"/>
      <c r="C91" s="9"/>
      <c r="D91" s="1"/>
      <c r="E91" s="13"/>
      <c r="F91" s="11"/>
      <c r="G91" s="47"/>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row>
    <row r="92" spans="1:79" s="107" customFormat="1" ht="13" customHeight="1" x14ac:dyDescent="0.3">
      <c r="A92" s="91"/>
      <c r="B92" s="1"/>
      <c r="C92" s="9"/>
      <c r="D92" s="1"/>
      <c r="E92" s="13"/>
      <c r="F92" s="11"/>
      <c r="G92" s="47"/>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row>
    <row r="93" spans="1:79" s="107" customFormat="1" ht="13" customHeight="1" x14ac:dyDescent="0.3">
      <c r="A93" s="91"/>
      <c r="B93" s="1"/>
      <c r="C93" s="9"/>
      <c r="D93" s="1"/>
      <c r="E93" s="44"/>
      <c r="F93" s="44"/>
      <c r="G93" s="47"/>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row>
    <row r="94" spans="1:79" s="107" customFormat="1" ht="13" customHeight="1" x14ac:dyDescent="0.3">
      <c r="A94" s="91"/>
      <c r="B94" s="1"/>
      <c r="C94" s="9"/>
      <c r="D94" s="1"/>
      <c r="E94" s="44"/>
      <c r="F94" s="44"/>
      <c r="G94" s="47"/>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row>
    <row r="95" spans="1:79" s="107" customFormat="1" ht="13" customHeight="1" x14ac:dyDescent="0.3">
      <c r="A95" s="91"/>
      <c r="B95" s="1"/>
      <c r="C95" s="9"/>
      <c r="D95" s="1"/>
      <c r="E95" s="44"/>
      <c r="F95" s="44"/>
      <c r="G95" s="47"/>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row>
    <row r="96" spans="1:79" s="107" customFormat="1" ht="13" customHeight="1" x14ac:dyDescent="0.3">
      <c r="A96" s="91"/>
      <c r="B96" s="1"/>
      <c r="C96" s="9"/>
      <c r="D96" s="1"/>
      <c r="E96" s="37"/>
      <c r="F96" s="37"/>
      <c r="G96" s="47"/>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row>
    <row r="97" spans="1:79" s="107" customFormat="1" ht="13" customHeight="1" x14ac:dyDescent="0.3">
      <c r="A97" s="91"/>
      <c r="B97" s="1"/>
      <c r="C97" s="9"/>
      <c r="D97" s="1"/>
      <c r="E97" s="37"/>
      <c r="F97" s="37"/>
      <c r="G97" s="47"/>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row>
    <row r="98" spans="1:79" s="107" customFormat="1" ht="13" customHeight="1" x14ac:dyDescent="0.3">
      <c r="A98" s="91"/>
      <c r="B98" s="1"/>
      <c r="C98" s="9"/>
      <c r="D98" s="1"/>
      <c r="E98" s="37"/>
      <c r="F98" s="37"/>
      <c r="G98" s="47"/>
      <c r="N98" s="119"/>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row>
    <row r="99" spans="1:79" s="107" customFormat="1" ht="13" customHeight="1" x14ac:dyDescent="0.3">
      <c r="A99" s="91"/>
      <c r="B99" s="1"/>
      <c r="C99" s="9"/>
      <c r="D99" s="1"/>
      <c r="E99" s="37"/>
      <c r="F99" s="37"/>
      <c r="G99" s="47"/>
      <c r="N99" s="119"/>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row>
    <row r="103" spans="1:79" s="107" customFormat="1" ht="13" customHeight="1" x14ac:dyDescent="0.3">
      <c r="A103" s="91"/>
      <c r="B103" s="1"/>
      <c r="C103" s="9"/>
      <c r="D103" s="1"/>
      <c r="E103" s="37"/>
      <c r="F103" s="37"/>
      <c r="G103" s="47"/>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row>
    <row r="104" spans="1:79" s="107" customFormat="1" ht="13" customHeight="1" x14ac:dyDescent="0.3">
      <c r="A104" s="91"/>
      <c r="B104" s="1"/>
      <c r="C104" s="9"/>
      <c r="D104" s="1"/>
      <c r="E104" s="37"/>
      <c r="F104" s="37"/>
      <c r="G104" s="47"/>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row>
    <row r="105" spans="1:79" s="107" customFormat="1" ht="13" customHeight="1" x14ac:dyDescent="0.3">
      <c r="A105" s="91"/>
      <c r="B105" s="1"/>
      <c r="C105" s="9"/>
      <c r="D105" s="1"/>
      <c r="E105" s="37"/>
      <c r="F105" s="37"/>
      <c r="G105" s="47"/>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row>
    <row r="106" spans="1:79" s="107" customFormat="1" ht="13" customHeight="1" x14ac:dyDescent="0.3">
      <c r="A106" s="91"/>
      <c r="B106" s="1"/>
      <c r="C106" s="9"/>
      <c r="D106" s="1"/>
      <c r="E106" s="37"/>
      <c r="F106" s="37"/>
      <c r="G106" s="47"/>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row>
    <row r="107" spans="1:79" s="107" customFormat="1" ht="13" customHeight="1" x14ac:dyDescent="0.3">
      <c r="A107" s="91"/>
      <c r="B107" s="1"/>
      <c r="C107" s="9"/>
      <c r="D107" s="1"/>
      <c r="E107" s="37"/>
      <c r="F107" s="37"/>
      <c r="G107" s="47"/>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row>
    <row r="108" spans="1:79" s="107" customFormat="1" ht="13" customHeight="1" x14ac:dyDescent="0.3">
      <c r="A108" s="91"/>
      <c r="B108" s="1"/>
      <c r="C108" s="9"/>
      <c r="D108" s="1"/>
      <c r="E108" s="37"/>
      <c r="F108" s="37"/>
      <c r="G108" s="47"/>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row>
    <row r="109" spans="1:79" s="107" customFormat="1" ht="13" customHeight="1" x14ac:dyDescent="0.3">
      <c r="A109" s="91"/>
      <c r="B109" s="1"/>
      <c r="C109" s="9"/>
      <c r="D109" s="1"/>
      <c r="E109" s="37"/>
      <c r="F109" s="37"/>
      <c r="G109" s="47"/>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row>
    <row r="110" spans="1:79" s="107" customFormat="1" ht="13" customHeight="1" x14ac:dyDescent="0.3">
      <c r="A110" s="91"/>
      <c r="B110" s="1"/>
      <c r="C110" s="9"/>
      <c r="D110" s="1"/>
      <c r="E110" s="37"/>
      <c r="F110" s="37"/>
      <c r="G110" s="47"/>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row>
    <row r="111" spans="1:79" s="107" customFormat="1" ht="13" customHeight="1" x14ac:dyDescent="0.3">
      <c r="A111" s="91"/>
      <c r="B111" s="1"/>
      <c r="C111" s="9"/>
      <c r="D111" s="1"/>
      <c r="E111" s="37"/>
      <c r="F111" s="37"/>
      <c r="G111" s="47"/>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row>
    <row r="112" spans="1:79" s="107" customFormat="1" ht="13" customHeight="1" x14ac:dyDescent="0.3">
      <c r="A112" s="91"/>
      <c r="B112" s="1"/>
      <c r="C112" s="9"/>
      <c r="D112" s="1"/>
      <c r="E112" s="37"/>
      <c r="F112" s="37"/>
      <c r="G112" s="49"/>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row>
    <row r="113" spans="1:79" s="107" customFormat="1" ht="13" customHeight="1" x14ac:dyDescent="0.3">
      <c r="A113" s="91"/>
      <c r="B113" s="1"/>
      <c r="C113" s="9"/>
      <c r="D113" s="1"/>
      <c r="E113" s="37"/>
      <c r="F113" s="37"/>
      <c r="G113" s="49"/>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row>
    <row r="114" spans="1:79" s="107" customFormat="1" ht="13" customHeight="1" x14ac:dyDescent="0.3">
      <c r="A114" s="91"/>
      <c r="B114" s="1"/>
      <c r="C114" s="9"/>
      <c r="D114" s="1"/>
      <c r="E114" s="37"/>
      <c r="F114" s="37"/>
      <c r="G114" s="49"/>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row>
    <row r="115" spans="1:79" s="107" customFormat="1" ht="13" customHeight="1" x14ac:dyDescent="0.3">
      <c r="A115" s="91"/>
      <c r="B115" s="1"/>
      <c r="C115" s="9"/>
      <c r="D115" s="1"/>
      <c r="E115" s="37"/>
      <c r="F115" s="37"/>
      <c r="G115" s="49"/>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row>
    <row r="116" spans="1:79" s="107" customFormat="1" ht="13" customHeight="1" x14ac:dyDescent="0.3">
      <c r="A116" s="91"/>
      <c r="B116" s="1"/>
      <c r="C116" s="9"/>
      <c r="D116" s="1"/>
      <c r="E116" s="37"/>
      <c r="F116" s="37"/>
      <c r="G116" s="49"/>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row>
    <row r="117" spans="1:79" s="107" customFormat="1" ht="13" customHeight="1" x14ac:dyDescent="0.3">
      <c r="A117" s="91"/>
      <c r="B117" s="1"/>
      <c r="C117" s="9"/>
      <c r="D117" s="1"/>
      <c r="E117" s="37"/>
      <c r="F117" s="37"/>
      <c r="G117" s="49"/>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row>
    <row r="118" spans="1:79" s="107" customFormat="1" ht="13" customHeight="1" x14ac:dyDescent="0.3">
      <c r="A118" s="91"/>
      <c r="B118" s="1"/>
      <c r="C118" s="9"/>
      <c r="D118" s="1"/>
      <c r="E118" s="37"/>
      <c r="F118" s="37"/>
      <c r="G118" s="49"/>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row>
    <row r="119" spans="1:79" s="107" customFormat="1" ht="13" customHeight="1" x14ac:dyDescent="0.3">
      <c r="A119" s="91"/>
      <c r="B119" s="1"/>
      <c r="C119" s="9"/>
      <c r="D119" s="1"/>
      <c r="E119" s="37"/>
      <c r="F119" s="37"/>
      <c r="G119" s="47"/>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row>
    <row r="120" spans="1:79" s="107" customFormat="1" ht="13" customHeight="1" x14ac:dyDescent="0.3">
      <c r="A120" s="91"/>
      <c r="B120" s="1"/>
      <c r="C120" s="9"/>
      <c r="D120" s="1"/>
      <c r="E120" s="37"/>
      <c r="F120" s="37"/>
      <c r="G120" s="47"/>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row>
    <row r="124" spans="1:79" s="107" customFormat="1" ht="13" customHeight="1" x14ac:dyDescent="0.3">
      <c r="A124" s="91"/>
      <c r="B124" s="1"/>
      <c r="C124" s="9"/>
      <c r="D124" s="1"/>
      <c r="E124" s="37"/>
      <c r="F124" s="37"/>
      <c r="G124" s="48"/>
      <c r="N124" s="20"/>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row>
    <row r="125" spans="1:79" s="107" customFormat="1" ht="13" customHeight="1" x14ac:dyDescent="0.3">
      <c r="A125" s="91"/>
      <c r="B125" s="1"/>
      <c r="C125" s="9"/>
      <c r="D125" s="1"/>
      <c r="E125" s="37"/>
      <c r="F125" s="37"/>
      <c r="G125" s="48"/>
      <c r="N125" s="20"/>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row>
    <row r="126" spans="1:79" s="107" customFormat="1" ht="13" customHeight="1" x14ac:dyDescent="0.3">
      <c r="A126" s="91"/>
      <c r="B126" s="1"/>
      <c r="C126" s="9"/>
      <c r="D126" s="1"/>
      <c r="E126" s="37"/>
      <c r="F126" s="37"/>
      <c r="G126" s="49"/>
      <c r="N126" s="20"/>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row>
    <row r="127" spans="1:79" s="107" customFormat="1" ht="13" customHeight="1" x14ac:dyDescent="0.3">
      <c r="A127" s="91"/>
      <c r="B127" s="1"/>
      <c r="C127" s="9"/>
      <c r="D127" s="1"/>
      <c r="E127" s="37"/>
      <c r="F127" s="37"/>
      <c r="G127" s="46"/>
      <c r="N127" s="119"/>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row>
    <row r="128" spans="1:79" s="107" customFormat="1" ht="13" customHeight="1" x14ac:dyDescent="0.3">
      <c r="A128" s="91"/>
      <c r="B128" s="1"/>
      <c r="C128" s="9"/>
      <c r="D128" s="1"/>
      <c r="E128" s="37"/>
      <c r="F128" s="37"/>
      <c r="G128" s="49"/>
      <c r="N128" s="119"/>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row>
    <row r="129" spans="1:79" s="107" customFormat="1" ht="13" customHeight="1" x14ac:dyDescent="0.3">
      <c r="A129" s="91"/>
      <c r="B129" s="1"/>
      <c r="C129" s="9"/>
      <c r="D129" s="1"/>
      <c r="E129" s="37"/>
      <c r="F129" s="37"/>
      <c r="G129" s="49"/>
      <c r="N129" s="20"/>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row>
    <row r="130" spans="1:79" s="107" customFormat="1" ht="13" customHeight="1" x14ac:dyDescent="0.3">
      <c r="A130" s="91"/>
      <c r="B130" s="1"/>
      <c r="C130" s="9"/>
      <c r="D130" s="1"/>
      <c r="E130" s="37"/>
      <c r="F130" s="37"/>
      <c r="G130" s="49"/>
      <c r="N130" s="20"/>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row>
    <row r="131" spans="1:79" s="107" customFormat="1" ht="13" customHeight="1" x14ac:dyDescent="0.3">
      <c r="A131" s="91"/>
      <c r="B131" s="1"/>
      <c r="C131" s="9"/>
      <c r="D131" s="1"/>
      <c r="E131" s="37"/>
      <c r="F131" s="37"/>
      <c r="G131" s="49"/>
      <c r="N131" s="20"/>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row>
    <row r="132" spans="1:79" s="107" customFormat="1" ht="13" customHeight="1" x14ac:dyDescent="0.3">
      <c r="A132" s="91"/>
      <c r="B132" s="1"/>
      <c r="C132" s="9"/>
      <c r="D132" s="1"/>
      <c r="E132" s="37"/>
      <c r="F132" s="37"/>
      <c r="G132" s="54"/>
      <c r="N132" s="140"/>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row>
    <row r="133" spans="1:79" s="107" customFormat="1" ht="13" customHeight="1" x14ac:dyDescent="0.3">
      <c r="A133" s="91"/>
      <c r="B133" s="1"/>
      <c r="C133" s="9"/>
      <c r="D133" s="1"/>
      <c r="E133" s="37"/>
      <c r="F133" s="37"/>
      <c r="G133" s="54"/>
      <c r="N133" s="140"/>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row>
    <row r="134" spans="1:79" s="107" customFormat="1" ht="13" customHeight="1" x14ac:dyDescent="0.3">
      <c r="A134" s="91"/>
      <c r="B134" s="1"/>
      <c r="C134" s="9"/>
      <c r="D134" s="1"/>
      <c r="E134" s="37"/>
      <c r="F134" s="37"/>
      <c r="G134" s="54"/>
      <c r="N134" s="140"/>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row>
    <row r="135" spans="1:79" s="107" customFormat="1" ht="13" customHeight="1" x14ac:dyDescent="0.3">
      <c r="A135" s="91"/>
      <c r="B135" s="1"/>
      <c r="C135" s="9"/>
      <c r="D135" s="1"/>
      <c r="E135" s="37"/>
      <c r="F135" s="37"/>
      <c r="G135" s="47"/>
      <c r="N135" s="140"/>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row>
    <row r="136" spans="1:79" s="107" customFormat="1" ht="13" customHeight="1" x14ac:dyDescent="0.3">
      <c r="A136" s="91"/>
      <c r="B136" s="1"/>
      <c r="C136" s="9"/>
      <c r="D136" s="1"/>
      <c r="E136" s="37"/>
      <c r="F136" s="37"/>
      <c r="G136" s="47"/>
      <c r="N136" s="140"/>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row>
    <row r="137" spans="1:79" s="107" customFormat="1" ht="13" customHeight="1" x14ac:dyDescent="0.3">
      <c r="A137" s="91"/>
      <c r="B137" s="1"/>
      <c r="C137" s="9"/>
      <c r="D137" s="1"/>
      <c r="E137" s="37"/>
      <c r="F137" s="37"/>
      <c r="G137" s="47"/>
      <c r="N137" s="140"/>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row>
    <row r="138" spans="1:79" s="107" customFormat="1" ht="13" customHeight="1" x14ac:dyDescent="0.3">
      <c r="A138" s="91"/>
      <c r="B138" s="1"/>
      <c r="C138" s="9"/>
      <c r="D138" s="1"/>
      <c r="E138" s="37"/>
      <c r="F138" s="37"/>
      <c r="G138" s="47"/>
      <c r="N138" s="140"/>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row>
    <row r="139" spans="1:79" s="107" customFormat="1" ht="13" customHeight="1" x14ac:dyDescent="0.3">
      <c r="A139" s="91"/>
      <c r="B139" s="1"/>
      <c r="C139" s="9"/>
      <c r="D139" s="1"/>
      <c r="E139" s="37"/>
      <c r="F139" s="37"/>
      <c r="G139" s="47"/>
      <c r="N139" s="140"/>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row>
  </sheetData>
  <sheetProtection algorithmName="SHA-512" hashValue="v6CLz4HWf+KGyR0ygQkA5xZIckZOEvatCedXEwY9XHTN2xnrjmMRDTS40O3xZYKFXKs/m1zNmvJLUC7672iGNg==" saltValue="xPz7jMFI0nUqeBdxzOAeYw==" spinCount="100000" sheet="1" objects="1" scenarios="1"/>
  <mergeCells count="6">
    <mergeCell ref="B53:C54"/>
    <mergeCell ref="B2:C2"/>
    <mergeCell ref="D2:E2"/>
    <mergeCell ref="B3:C3"/>
    <mergeCell ref="B12:C13"/>
    <mergeCell ref="B41:C42"/>
  </mergeCells>
  <conditionalFormatting sqref="H6:CA15 H34:CA44 H30:CA30 V16:CA29 V31:CA33 H48:CA56 V45:CA47 H60:CA10000 V57:CA59">
    <cfRule type="expression" dxfId="19" priority="6">
      <formula>AND($D6&lt;&gt;"",H$12&lt;&gt;"",H6="")</formula>
    </cfRule>
  </conditionalFormatting>
  <conditionalFormatting sqref="H1:CA15 H34:CA44 H30:CA30 V16:CA29 V31:CA33 H48:CA56 V45:CA47 H60:CA1048576 V57:CA59">
    <cfRule type="expression" dxfId="18" priority="7">
      <formula>AND($A1="",ABS(H1)=0)</formula>
    </cfRule>
    <cfRule type="expression" dxfId="17" priority="8">
      <formula>AND($A1="",ABS(H1)&lt;10)</formula>
    </cfRule>
    <cfRule type="expression" dxfId="16" priority="9">
      <formula>AND($A1="",ABS(H1)&lt;100)</formula>
    </cfRule>
    <cfRule type="expression" dxfId="15" priority="10">
      <formula>AND($A1="",ABS(H1)&gt;=100)</formula>
    </cfRule>
  </conditionalFormatting>
  <conditionalFormatting sqref="B1:D1048576">
    <cfRule type="expression" dxfId="14" priority="5">
      <formula>AND(B1&lt;&gt;"",NOT(_xlfn.ISFORMULA(B1)))</formula>
    </cfRule>
  </conditionalFormatting>
  <conditionalFormatting sqref="H31:U31">
    <cfRule type="expression" dxfId="13" priority="4">
      <formula>AND($A1="",ABS(H1)&lt;100)</formula>
    </cfRule>
  </conditionalFormatting>
  <conditionalFormatting sqref="H16:U29 H32:U33">
    <cfRule type="expression" dxfId="12" priority="3">
      <formula>AND($A1048560="",ABS(H1048560)&gt;=0)</formula>
    </cfRule>
  </conditionalFormatting>
  <conditionalFormatting sqref="H45:U47">
    <cfRule type="expression" dxfId="11" priority="2">
      <formula>AND($A1048560="",ABS(H1048560)&gt;=0)</formula>
    </cfRule>
  </conditionalFormatting>
  <conditionalFormatting sqref="H57:U59">
    <cfRule type="expression" dxfId="10" priority="1">
      <formula>AND($A1048560="",ABS(H1048560)&gt;=0)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4" display="Ó"/>
    <hyperlink ref="D2" location="Home" display="Home"/>
    <hyperlink ref="C7" location="GRI_404_2a" display="Lernpersonal"/>
    <hyperlink ref="C8" location="GRI_404_2b" display="Nachwuchskräfte"/>
    <hyperlink ref="C9" location="GRI_404_2c" display="Aktivitäten Arbeitsmarktzentrum"/>
    <hyperlink ref="A41" location="GRI_404" display="Ó"/>
    <hyperlink ref="A53" location="GRI_404" display="Ó"/>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E2A2F"/>
  </sheetPr>
  <dimension ref="A2:CG156"/>
  <sheetViews>
    <sheetView showGridLines="0" showRowColHeaders="0" zoomScale="90" zoomScaleNormal="90" workbookViewId="0">
      <pane xSplit="7" topLeftCell="H1" activePane="topRight" state="frozen"/>
      <selection activeCell="C1" sqref="C1:C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13" width="12" style="37"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0" t="str">
        <f>UPPER(RIGHT('Table des matières'!$C$31,LEN('Table des matières'!$C$31)-FIND(" – ",'Table des matières'!$C$31,1)-2))</f>
        <v>DIVERSITÉ ET ÉGALITÉ DES CHANCES</v>
      </c>
      <c r="C2" s="390"/>
      <c r="D2" s="386" t="str">
        <f>VLOOKUP(35,Textbausteine_Menu[],Hilfsgrössen!$D$2,FALSE)</f>
        <v>retour à la table des matières</v>
      </c>
      <c r="E2" s="387"/>
      <c r="F2" s="145" t="s">
        <v>88</v>
      </c>
      <c r="G2" s="171"/>
      <c r="H2" s="92"/>
      <c r="I2" s="92"/>
      <c r="J2" s="92"/>
      <c r="K2" s="92"/>
      <c r="L2" s="92"/>
      <c r="M2" s="92"/>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"&amp;LEFT('Table des matières'!$C$31,3))</f>
        <v>GRI 405</v>
      </c>
      <c r="C3" s="391"/>
      <c r="E3" s="38"/>
      <c r="F3" s="38"/>
      <c r="G3" s="45"/>
      <c r="H3" s="38"/>
      <c r="I3" s="38"/>
      <c r="J3" s="38"/>
      <c r="K3" s="38"/>
      <c r="L3" s="38"/>
      <c r="M3" s="38"/>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Divulgations</v>
      </c>
      <c r="E6" s="39"/>
      <c r="F6" s="39"/>
      <c r="G6" s="46"/>
      <c r="H6" s="39"/>
      <c r="I6" s="39"/>
      <c r="J6" s="39"/>
      <c r="K6" s="39"/>
      <c r="L6" s="39"/>
      <c r="M6" s="39"/>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2.65" customHeight="1" x14ac:dyDescent="0.3">
      <c r="A7" s="81"/>
      <c r="B7" s="2"/>
      <c r="C7" s="148" t="str">
        <f>VLOOKUP(1,Textbausteine_405[],Hilfsgrössen!$D$2,FALSE)</f>
        <v>Femmes au sein du management</v>
      </c>
      <c r="D7" s="4"/>
      <c r="N7" s="37"/>
      <c r="O7" s="37"/>
      <c r="P7" s="37"/>
      <c r="Q7" s="37"/>
      <c r="R7" s="37"/>
      <c r="S7" s="37"/>
      <c r="U7" s="112"/>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row>
    <row r="8" spans="1:85" ht="12.65" customHeight="1" x14ac:dyDescent="0.3">
      <c r="A8" s="81"/>
      <c r="B8" s="2"/>
      <c r="C8" s="148" t="str">
        <f>VLOOKUP(2,Textbausteine_405[],Hilfsgrössen!$D$2,FALSE)</f>
        <v>Diversité linguistique</v>
      </c>
      <c r="D8" s="4"/>
      <c r="N8" s="37"/>
      <c r="O8" s="37"/>
      <c r="P8" s="37"/>
      <c r="Q8" s="37"/>
      <c r="R8" s="37"/>
      <c r="S8" s="37"/>
      <c r="U8" s="112"/>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row>
    <row r="9" spans="1:85" ht="12.65" customHeight="1" x14ac:dyDescent="0.3">
      <c r="A9" s="81"/>
      <c r="B9" s="2"/>
      <c r="C9" s="148" t="str">
        <f>VLOOKUP(3,Textbausteine_405[],Hilfsgrössen!$D$2,FALSE)</f>
        <v>Nationalité</v>
      </c>
      <c r="D9" s="4"/>
      <c r="E9" s="40"/>
      <c r="F9" s="40"/>
      <c r="G9" s="48"/>
      <c r="N9" s="37"/>
      <c r="O9" s="37"/>
      <c r="P9" s="37"/>
      <c r="Q9" s="37"/>
      <c r="R9" s="37"/>
      <c r="S9" s="37"/>
      <c r="U9" s="112"/>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row>
    <row r="10" spans="1:85" ht="12.65" customHeight="1" x14ac:dyDescent="0.3">
      <c r="A10" s="81"/>
      <c r="B10" s="2"/>
      <c r="C10" s="148" t="str">
        <f>VLOOKUP(4,Textbausteine_405[],Hilfsgrössen!$D$2,FALSE)</f>
        <v>Démographie (pyramide des âges)</v>
      </c>
      <c r="D10" s="4"/>
      <c r="E10" s="40"/>
      <c r="F10" s="40"/>
      <c r="G10" s="48"/>
      <c r="N10" s="37"/>
      <c r="O10" s="37"/>
      <c r="P10" s="37"/>
      <c r="Q10" s="37"/>
      <c r="R10" s="37"/>
      <c r="S10" s="37"/>
      <c r="U10" s="112"/>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row>
    <row r="11" spans="1:85" ht="13" customHeight="1" x14ac:dyDescent="0.3">
      <c r="B11" s="2"/>
      <c r="H11" s="114"/>
      <c r="I11" s="114"/>
      <c r="J11" s="114"/>
      <c r="K11" s="114"/>
      <c r="L11" s="114"/>
      <c r="M11" s="114"/>
    </row>
    <row r="12" spans="1:85" ht="13" customHeight="1" x14ac:dyDescent="0.3">
      <c r="B12" s="2"/>
    </row>
    <row r="13" spans="1:85" s="31" customFormat="1" ht="13" customHeight="1" x14ac:dyDescent="0.3">
      <c r="A13" s="56" t="s">
        <v>900</v>
      </c>
      <c r="B13" s="385" t="str">
        <f>$C$7</f>
        <v>Femmes au sein du management</v>
      </c>
      <c r="C13" s="385"/>
      <c r="D13" s="6" t="str">
        <f>VLOOKUP(32,Textbausteine_Menu[],Hilfsgrössen!$D$2,FALSE)</f>
        <v>Unité</v>
      </c>
      <c r="E13" s="39" t="str">
        <f>VLOOKUP(33,Textbausteine_Menu[],Hilfsgrössen!$D$2,FALSE)</f>
        <v>Notes</v>
      </c>
      <c r="F13" s="39" t="str">
        <f>VLOOKUP(34,Textbausteine_Menu[],Hilfsgrössen!$D$2,FALSE)</f>
        <v>GRI</v>
      </c>
      <c r="G13" s="47"/>
      <c r="H13" s="113">
        <v>2004</v>
      </c>
      <c r="I13" s="113">
        <v>2005</v>
      </c>
      <c r="J13" s="113">
        <v>2006</v>
      </c>
      <c r="K13" s="113">
        <v>2007</v>
      </c>
      <c r="L13" s="113">
        <v>2008</v>
      </c>
      <c r="M13" s="113">
        <v>2009</v>
      </c>
      <c r="N13" s="117">
        <v>2010</v>
      </c>
      <c r="O13" s="117">
        <v>2011</v>
      </c>
      <c r="P13" s="117">
        <v>2012</v>
      </c>
      <c r="Q13" s="117">
        <v>2013</v>
      </c>
      <c r="R13" s="117">
        <v>2014</v>
      </c>
      <c r="S13" s="117">
        <v>2015</v>
      </c>
      <c r="T13" s="117">
        <v>2016</v>
      </c>
      <c r="U13" s="247">
        <v>2017</v>
      </c>
      <c r="V13" s="7"/>
      <c r="W13" s="7"/>
      <c r="X13" s="7"/>
      <c r="Y13" s="7"/>
      <c r="Z13" s="7"/>
      <c r="AA13" s="7"/>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row>
    <row r="14" spans="1:85" s="31" customFormat="1" ht="13" customHeight="1" x14ac:dyDescent="0.3">
      <c r="A14" s="90"/>
      <c r="B14" s="385"/>
      <c r="C14" s="385"/>
      <c r="D14" s="6"/>
      <c r="E14" s="40"/>
      <c r="F14" s="40"/>
      <c r="G14" s="47"/>
      <c r="H14" s="115"/>
      <c r="I14" s="115"/>
      <c r="J14" s="115"/>
      <c r="K14" s="115"/>
      <c r="L14" s="115"/>
      <c r="M14" s="115"/>
      <c r="N14" s="143"/>
      <c r="O14" s="143"/>
      <c r="P14" s="143"/>
      <c r="Q14" s="143"/>
      <c r="R14" s="143"/>
      <c r="S14" s="143"/>
      <c r="T14" s="119"/>
      <c r="U14" s="248"/>
      <c r="V14" s="129"/>
      <c r="W14" s="122"/>
      <c r="X14" s="122"/>
      <c r="Y14" s="122"/>
      <c r="Z14" s="122"/>
      <c r="AA14" s="122"/>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row>
    <row r="15" spans="1:85" ht="13" customHeight="1" x14ac:dyDescent="0.3">
      <c r="B15" s="8"/>
      <c r="C15" s="9"/>
      <c r="D15" s="9"/>
      <c r="E15" s="40"/>
      <c r="F15" s="40"/>
      <c r="G15" s="48"/>
      <c r="H15" s="115"/>
      <c r="I15" s="115"/>
      <c r="J15" s="115"/>
      <c r="K15" s="115"/>
      <c r="L15" s="115"/>
      <c r="M15" s="115"/>
      <c r="U15" s="249"/>
      <c r="V15" s="12"/>
      <c r="W15" s="13"/>
      <c r="X15" s="13"/>
      <c r="Y15" s="13"/>
      <c r="Z15" s="13"/>
      <c r="AA15" s="13"/>
    </row>
    <row r="16" spans="1:85" ht="13" customHeight="1" x14ac:dyDescent="0.3">
      <c r="B16" s="8" t="str">
        <f>VLOOKUP(37,Textbausteine_Menu[],Hilfsgrössen!$D$2,FALSE)</f>
        <v>Groupe Suisse</v>
      </c>
      <c r="C16" s="8"/>
      <c r="D16" s="67"/>
      <c r="E16" s="12"/>
      <c r="F16" s="11"/>
      <c r="G16" s="48"/>
      <c r="H16" s="115"/>
      <c r="I16" s="115"/>
      <c r="J16" s="115"/>
      <c r="K16" s="115"/>
      <c r="L16" s="115"/>
      <c r="M16" s="115"/>
      <c r="U16" s="249"/>
    </row>
    <row r="17" spans="1:85" ht="13" customHeight="1" x14ac:dyDescent="0.3">
      <c r="C17" s="193" t="str">
        <f>VLOOKUP(31,Textbausteine_405[],Hilfsgrössen!$D$2,FALSE)</f>
        <v>Part de femmes cadres</v>
      </c>
      <c r="D17" s="67" t="str">
        <f>VLOOKUP(11,Textbausteine_405[],Hilfsgrössen!$D$2,FALSE)</f>
        <v>% des personnes</v>
      </c>
      <c r="E17" s="11">
        <v>1</v>
      </c>
      <c r="F17" s="11" t="s">
        <v>880</v>
      </c>
      <c r="G17" s="49"/>
      <c r="H17" s="277" t="s">
        <v>1595</v>
      </c>
      <c r="I17" s="277" t="s">
        <v>1595</v>
      </c>
      <c r="J17" s="277" t="s">
        <v>1595</v>
      </c>
      <c r="K17" s="277" t="s">
        <v>1595</v>
      </c>
      <c r="L17" s="13">
        <v>20.2</v>
      </c>
      <c r="M17" s="13">
        <v>20.5</v>
      </c>
      <c r="N17" s="20">
        <v>21.5</v>
      </c>
      <c r="O17" s="20">
        <v>22.1</v>
      </c>
      <c r="P17" s="107">
        <v>21.8</v>
      </c>
      <c r="Q17" s="107">
        <v>22.7</v>
      </c>
      <c r="R17" s="137">
        <v>22.6</v>
      </c>
      <c r="S17" s="137">
        <v>22.507579810950599</v>
      </c>
      <c r="T17" s="20">
        <v>23.5</v>
      </c>
      <c r="U17" s="249">
        <v>23.2</v>
      </c>
      <c r="V17" s="14"/>
      <c r="W17" s="17"/>
      <c r="X17" s="17"/>
      <c r="Y17" s="17"/>
      <c r="Z17" s="17"/>
      <c r="AA17" s="17"/>
    </row>
    <row r="18" spans="1:85" ht="13" customHeight="1" x14ac:dyDescent="0.3">
      <c r="C18" s="193" t="str">
        <f>VLOOKUP(32,Textbausteine_405[],Hilfsgrössen!$D$2,FALSE)</f>
        <v>Part de femmes cadres échelon supérieur</v>
      </c>
      <c r="D18" s="67" t="str">
        <f>VLOOKUP(11,Textbausteine_405[],Hilfsgrössen!$D$2,FALSE)</f>
        <v>% des personnes</v>
      </c>
      <c r="E18" s="11">
        <v>1</v>
      </c>
      <c r="F18" s="11" t="s">
        <v>880</v>
      </c>
      <c r="G18" s="49"/>
      <c r="H18" s="278">
        <v>9.1999999999999993</v>
      </c>
      <c r="I18" s="278">
        <v>10.1</v>
      </c>
      <c r="J18" s="278">
        <v>9.8000000000000007</v>
      </c>
      <c r="K18" s="278">
        <v>9.3000000000000007</v>
      </c>
      <c r="L18" s="13">
        <v>7.7</v>
      </c>
      <c r="M18" s="16">
        <v>8.6999999999999993</v>
      </c>
      <c r="N18" s="20">
        <v>8.1999999999999993</v>
      </c>
      <c r="O18" s="20">
        <v>7.6</v>
      </c>
      <c r="P18" s="107">
        <v>8</v>
      </c>
      <c r="Q18" s="107">
        <v>9.3000000000000007</v>
      </c>
      <c r="R18" s="137">
        <v>11</v>
      </c>
      <c r="S18" s="137">
        <v>12.343849248359099</v>
      </c>
      <c r="T18" s="119">
        <v>12.3</v>
      </c>
      <c r="U18" s="248">
        <v>13.4</v>
      </c>
      <c r="V18" s="14"/>
      <c r="W18" s="14"/>
      <c r="X18" s="14"/>
      <c r="Y18" s="14"/>
      <c r="Z18" s="14"/>
    </row>
    <row r="19" spans="1:85" ht="13" customHeight="1" x14ac:dyDescent="0.3">
      <c r="C19" s="279" t="str">
        <f>VLOOKUP(33,Textbausteine_405[],Hilfsgrössen!$D$2,FALSE)</f>
        <v>Part de femmes cadres échelons moyen et inférieur</v>
      </c>
      <c r="D19" s="67" t="str">
        <f>VLOOKUP(11,Textbausteine_405[],Hilfsgrössen!$D$2,FALSE)</f>
        <v>% des personnes</v>
      </c>
      <c r="E19" s="11">
        <v>2</v>
      </c>
      <c r="F19" s="11" t="s">
        <v>880</v>
      </c>
      <c r="G19" s="49"/>
      <c r="H19" s="277" t="s">
        <v>1595</v>
      </c>
      <c r="I19" s="277" t="s">
        <v>1595</v>
      </c>
      <c r="J19" s="277" t="s">
        <v>1595</v>
      </c>
      <c r="K19" s="277" t="s">
        <v>1595</v>
      </c>
      <c r="L19" s="13">
        <v>21.3</v>
      </c>
      <c r="M19" s="16">
        <v>21.5</v>
      </c>
      <c r="N19" s="20">
        <v>22.6</v>
      </c>
      <c r="O19" s="20">
        <v>23.2</v>
      </c>
      <c r="P19" s="107">
        <v>23</v>
      </c>
      <c r="Q19" s="107">
        <v>23.7</v>
      </c>
      <c r="R19" s="137">
        <v>23.6</v>
      </c>
      <c r="S19" s="137">
        <v>23.442460124252602</v>
      </c>
      <c r="T19" s="119">
        <v>24.2</v>
      </c>
      <c r="U19" s="248">
        <v>23.9</v>
      </c>
      <c r="V19" s="14"/>
      <c r="W19" s="17"/>
      <c r="X19" s="17"/>
      <c r="Y19" s="17"/>
      <c r="Z19" s="17"/>
      <c r="AA19" s="17"/>
    </row>
    <row r="20" spans="1:85" ht="13" customHeight="1" x14ac:dyDescent="0.3">
      <c r="C20" s="193" t="str">
        <f>VLOOKUP(34,Textbausteine_405[],Hilfsgrössen!$D$2,FALSE)</f>
        <v>Part de femmes au Conseil d'administration (CA) de La Poste Suisse SA</v>
      </c>
      <c r="D20" s="67" t="str">
        <f>VLOOKUP(11,Textbausteine_405[],Hilfsgrössen!$D$2,FALSE)</f>
        <v>% des personnes</v>
      </c>
      <c r="E20" s="11"/>
      <c r="F20" s="11" t="s">
        <v>880</v>
      </c>
      <c r="G20" s="49"/>
      <c r="H20" s="280">
        <v>10</v>
      </c>
      <c r="I20" s="280">
        <v>10</v>
      </c>
      <c r="J20" s="280">
        <v>20</v>
      </c>
      <c r="K20" s="280">
        <v>22.2</v>
      </c>
      <c r="L20" s="225">
        <v>20</v>
      </c>
      <c r="M20" s="16">
        <v>25</v>
      </c>
      <c r="N20" s="20">
        <v>22.2</v>
      </c>
      <c r="O20" s="20">
        <v>22.2</v>
      </c>
      <c r="P20" s="138">
        <v>22.2</v>
      </c>
      <c r="Q20" s="107">
        <v>22.2</v>
      </c>
      <c r="R20" s="137">
        <v>33.299999999999997</v>
      </c>
      <c r="S20" s="137">
        <v>33.299999999999997</v>
      </c>
      <c r="T20" s="20">
        <v>33.299999999999997</v>
      </c>
      <c r="U20" s="249">
        <v>33.299999999999997</v>
      </c>
      <c r="V20" s="14"/>
      <c r="W20" s="17"/>
      <c r="X20" s="17"/>
      <c r="Y20" s="17"/>
      <c r="Z20" s="17"/>
    </row>
    <row r="21" spans="1:85" ht="13" customHeight="1" x14ac:dyDescent="0.3">
      <c r="C21" s="193" t="str">
        <f>VLOOKUP(35,Textbausteine_405[],Hilfsgrössen!$D$2,FALSE)</f>
        <v>Part de femmes à la Direction du groupe (DG) La Poste Suisse SA</v>
      </c>
      <c r="D21" s="67" t="str">
        <f>VLOOKUP(11,Textbausteine_405[],Hilfsgrössen!$D$2,FALSE)</f>
        <v>% des personnes</v>
      </c>
      <c r="E21" s="11"/>
      <c r="F21" s="11" t="s">
        <v>880</v>
      </c>
      <c r="G21" s="49"/>
      <c r="H21" s="280">
        <v>0</v>
      </c>
      <c r="I21" s="280">
        <v>0</v>
      </c>
      <c r="J21" s="280">
        <v>0</v>
      </c>
      <c r="K21" s="280">
        <v>0</v>
      </c>
      <c r="L21" s="225">
        <v>0</v>
      </c>
      <c r="M21" s="16">
        <v>0</v>
      </c>
      <c r="N21" s="20">
        <v>0</v>
      </c>
      <c r="O21" s="20">
        <v>0</v>
      </c>
      <c r="P21" s="107">
        <v>11.1</v>
      </c>
      <c r="Q21" s="107">
        <v>12.5</v>
      </c>
      <c r="R21" s="137">
        <v>12.5</v>
      </c>
      <c r="S21" s="137">
        <v>12.1</v>
      </c>
      <c r="T21" s="107">
        <v>11.1</v>
      </c>
      <c r="U21" s="250">
        <v>20.5</v>
      </c>
      <c r="V21" s="14"/>
      <c r="W21" s="17"/>
      <c r="X21" s="17"/>
      <c r="Y21" s="17"/>
      <c r="Z21" s="17"/>
      <c r="AA21" s="17"/>
    </row>
    <row r="22" spans="1:85" ht="13" customHeight="1" x14ac:dyDescent="0.3">
      <c r="C22" s="193" t="str">
        <f>VLOOKUP(36,Textbausteine_405[],Hilfsgrössen!$D$2,FALSE)</f>
        <v>Part de femmes aux CA, à la DG et dans les organes de direction du groupe</v>
      </c>
      <c r="D22" s="67" t="str">
        <f>VLOOKUP(11,Textbausteine_405[],Hilfsgrössen!$D$2,FALSE)</f>
        <v>% des personnes</v>
      </c>
      <c r="E22" s="11"/>
      <c r="F22" s="11" t="s">
        <v>880</v>
      </c>
      <c r="G22" s="49"/>
      <c r="H22" s="280">
        <v>5.3</v>
      </c>
      <c r="I22" s="280">
        <v>5.3</v>
      </c>
      <c r="J22" s="280">
        <v>10</v>
      </c>
      <c r="K22" s="280">
        <v>11.1</v>
      </c>
      <c r="L22" s="72">
        <v>10.5</v>
      </c>
      <c r="M22" s="16">
        <v>11.8</v>
      </c>
      <c r="N22" s="20">
        <v>11.1</v>
      </c>
      <c r="O22" s="20">
        <v>11.1</v>
      </c>
      <c r="P22" s="107">
        <v>13.5</v>
      </c>
      <c r="Q22" s="107">
        <v>15.8</v>
      </c>
      <c r="R22" s="107">
        <v>18.399999999999999</v>
      </c>
      <c r="S22" s="137">
        <v>18.399999999999999</v>
      </c>
      <c r="T22" s="107">
        <v>21.1</v>
      </c>
      <c r="U22" s="250">
        <v>26.3</v>
      </c>
      <c r="V22" s="13"/>
      <c r="AA22" s="17"/>
    </row>
    <row r="23" spans="1:85" s="9" customFormat="1" ht="13" customHeight="1" x14ac:dyDescent="0.3">
      <c r="A23" s="147"/>
      <c r="C23" s="193"/>
      <c r="D23" s="67"/>
      <c r="E23" s="11"/>
      <c r="F23" s="11"/>
      <c r="G23" s="49"/>
      <c r="H23" s="280"/>
      <c r="I23" s="280"/>
      <c r="J23" s="280"/>
      <c r="K23" s="280"/>
      <c r="L23" s="72"/>
      <c r="M23" s="16"/>
      <c r="N23" s="20"/>
      <c r="O23" s="20"/>
      <c r="P23" s="107"/>
      <c r="Q23" s="107"/>
      <c r="R23" s="107"/>
      <c r="S23" s="137"/>
      <c r="T23" s="107"/>
      <c r="U23" s="107"/>
      <c r="V23" s="13"/>
      <c r="W23" s="11"/>
      <c r="X23" s="11"/>
      <c r="Y23" s="11"/>
      <c r="Z23" s="11"/>
      <c r="AA23" s="17"/>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row>
    <row r="24" spans="1:85" ht="13" customHeight="1" x14ac:dyDescent="0.3">
      <c r="B24" s="26" t="str">
        <f>VLOOKUP(131,Textbausteine_405[],Hilfsgrössen!$D$2,FALSE)</f>
        <v>1)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v>
      </c>
      <c r="E24" s="11"/>
      <c r="F24" s="11"/>
      <c r="G24" s="49"/>
      <c r="H24" s="69"/>
      <c r="I24" s="69"/>
      <c r="J24" s="69"/>
      <c r="K24" s="69"/>
      <c r="L24" s="69"/>
      <c r="M24" s="69"/>
      <c r="T24" s="107"/>
      <c r="U24" s="107"/>
    </row>
    <row r="25" spans="1:85" ht="13" customHeight="1" x14ac:dyDescent="0.3">
      <c r="B25" s="26" t="str">
        <f>VLOOKUP(132,Textbausteine_405[],Hilfsgrössen!$D$2,FALSE)</f>
        <v>2) Les cadres sont des collaborateurs qui exercent des fonctions de direction ou de spécialistes ou d'autres fonctions supérieures.</v>
      </c>
      <c r="E25" s="11"/>
      <c r="F25" s="11"/>
      <c r="G25" s="49"/>
      <c r="H25" s="69"/>
      <c r="I25" s="69"/>
      <c r="J25" s="69"/>
      <c r="K25" s="69"/>
      <c r="L25" s="69"/>
      <c r="M25" s="69"/>
      <c r="T25" s="107"/>
      <c r="U25" s="107"/>
    </row>
    <row r="26" spans="1:85" ht="13" customHeight="1" x14ac:dyDescent="0.3">
      <c r="E26" s="11"/>
      <c r="F26" s="11"/>
      <c r="G26" s="49"/>
      <c r="H26" s="69"/>
      <c r="I26" s="69"/>
      <c r="J26" s="69"/>
      <c r="K26" s="69"/>
      <c r="L26" s="69"/>
      <c r="M26" s="69"/>
      <c r="T26" s="107"/>
      <c r="U26" s="107"/>
    </row>
    <row r="27" spans="1:85" ht="13" customHeight="1" x14ac:dyDescent="0.3">
      <c r="E27" s="11"/>
      <c r="F27" s="11"/>
      <c r="G27" s="49"/>
      <c r="H27" s="69"/>
      <c r="I27" s="69"/>
      <c r="J27" s="69"/>
      <c r="K27" s="69"/>
      <c r="L27" s="69"/>
      <c r="M27" s="69"/>
      <c r="T27" s="107"/>
      <c r="U27" s="107"/>
    </row>
    <row r="28" spans="1:85" ht="13" customHeight="1" x14ac:dyDescent="0.3">
      <c r="E28" s="11"/>
      <c r="F28" s="11"/>
      <c r="G28" s="49"/>
      <c r="H28" s="69"/>
      <c r="I28" s="69"/>
      <c r="J28" s="69"/>
      <c r="K28" s="69"/>
      <c r="L28" s="69"/>
      <c r="M28" s="69"/>
      <c r="T28" s="107"/>
      <c r="U28" s="107"/>
    </row>
    <row r="29" spans="1:85" s="31" customFormat="1" ht="13" customHeight="1" x14ac:dyDescent="0.3">
      <c r="A29" s="56" t="s">
        <v>900</v>
      </c>
      <c r="B29" s="385" t="str">
        <f>$C$8</f>
        <v>Diversité linguistique</v>
      </c>
      <c r="C29" s="385"/>
      <c r="D29" s="6" t="str">
        <f>VLOOKUP(32,Textbausteine_Menu[],Hilfsgrössen!$D$2,FALSE)</f>
        <v>Unité</v>
      </c>
      <c r="E29" s="39" t="str">
        <f>VLOOKUP(33,Textbausteine_Menu[],Hilfsgrössen!$D$2,FALSE)</f>
        <v>Notes</v>
      </c>
      <c r="F29" s="39" t="str">
        <f>VLOOKUP(34,Textbausteine_Menu[],Hilfsgrössen!$D$2,FALSE)</f>
        <v>GRI</v>
      </c>
      <c r="G29" s="47"/>
      <c r="H29" s="117">
        <v>2004</v>
      </c>
      <c r="I29" s="117">
        <v>2005</v>
      </c>
      <c r="J29" s="117">
        <v>2006</v>
      </c>
      <c r="K29" s="117">
        <v>2007</v>
      </c>
      <c r="L29" s="117">
        <v>2008</v>
      </c>
      <c r="M29" s="117">
        <v>2009</v>
      </c>
      <c r="N29" s="117">
        <v>2010</v>
      </c>
      <c r="O29" s="117">
        <v>2011</v>
      </c>
      <c r="P29" s="117">
        <v>2012</v>
      </c>
      <c r="Q29" s="117">
        <v>2013</v>
      </c>
      <c r="R29" s="117">
        <v>2014</v>
      </c>
      <c r="S29" s="117">
        <v>2015</v>
      </c>
      <c r="T29" s="117">
        <v>2016</v>
      </c>
      <c r="U29" s="247">
        <v>2017</v>
      </c>
      <c r="V29" s="7"/>
      <c r="W29" s="7"/>
      <c r="X29" s="7"/>
      <c r="Y29" s="7"/>
      <c r="Z29" s="7"/>
      <c r="AA29" s="7"/>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row>
    <row r="30" spans="1:85" s="31" customFormat="1" ht="13" customHeight="1" x14ac:dyDescent="0.3">
      <c r="A30" s="90"/>
      <c r="B30" s="385"/>
      <c r="C30" s="385"/>
      <c r="D30" s="6"/>
      <c r="E30" s="40"/>
      <c r="F30" s="40"/>
      <c r="G30" s="47"/>
      <c r="H30" s="69"/>
      <c r="I30" s="69"/>
      <c r="J30" s="69"/>
      <c r="K30" s="69"/>
      <c r="L30" s="69"/>
      <c r="M30" s="69"/>
      <c r="N30" s="143"/>
      <c r="O30" s="143"/>
      <c r="P30" s="143"/>
      <c r="Q30" s="143"/>
      <c r="R30" s="143"/>
      <c r="S30" s="143"/>
      <c r="T30" s="119"/>
      <c r="U30" s="248"/>
      <c r="V30" s="129"/>
      <c r="W30" s="122"/>
      <c r="X30" s="122"/>
      <c r="Y30" s="122"/>
      <c r="Z30" s="122"/>
      <c r="AA30" s="122"/>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row>
    <row r="31" spans="1:85" ht="13" customHeight="1" x14ac:dyDescent="0.3">
      <c r="B31" s="8"/>
      <c r="C31" s="9"/>
      <c r="D31" s="9"/>
      <c r="E31" s="40"/>
      <c r="F31" s="40"/>
      <c r="G31" s="48"/>
      <c r="H31" s="69"/>
      <c r="I31" s="69"/>
      <c r="J31" s="69"/>
      <c r="K31" s="69"/>
      <c r="L31" s="69"/>
      <c r="M31" s="69"/>
      <c r="U31" s="249"/>
      <c r="V31" s="12"/>
      <c r="W31" s="13"/>
      <c r="X31" s="13"/>
      <c r="Y31" s="13"/>
      <c r="Z31" s="13"/>
      <c r="AA31" s="13"/>
    </row>
    <row r="32" spans="1:85" ht="13" customHeight="1" x14ac:dyDescent="0.3">
      <c r="B32" s="8" t="str">
        <f>VLOOKUP(37,Textbausteine_Menu[],Hilfsgrössen!$D$2,FALSE)</f>
        <v>Groupe Suisse</v>
      </c>
      <c r="C32" s="8"/>
      <c r="D32" s="67"/>
      <c r="E32" s="12"/>
      <c r="F32" s="11"/>
      <c r="G32" s="48"/>
      <c r="H32" s="71"/>
      <c r="I32" s="71"/>
      <c r="J32" s="71"/>
      <c r="K32" s="71"/>
      <c r="L32" s="71"/>
      <c r="M32" s="71"/>
      <c r="U32" s="249"/>
    </row>
    <row r="33" spans="1:85" ht="13" customHeight="1" x14ac:dyDescent="0.3">
      <c r="C33" s="193" t="str">
        <f>VLOOKUP(51,Textbausteine_405[],Hilfsgrössen!$D$2,FALSE)</f>
        <v>Langue maternelle allemande</v>
      </c>
      <c r="D33" s="238" t="str">
        <f>VLOOKUP(11,Textbausteine_405[],Hilfsgrössen!$D$2,FALSE)</f>
        <v>% des personnes</v>
      </c>
      <c r="E33" s="11">
        <v>1</v>
      </c>
      <c r="F33" s="11" t="s">
        <v>880</v>
      </c>
      <c r="G33" s="49"/>
      <c r="H33" s="243">
        <v>67</v>
      </c>
      <c r="I33" s="243">
        <v>67</v>
      </c>
      <c r="J33" s="243">
        <v>67.099999999999994</v>
      </c>
      <c r="K33" s="243">
        <v>67</v>
      </c>
      <c r="L33" s="281">
        <v>66.900000000000006</v>
      </c>
      <c r="M33" s="223">
        <v>67.599999999999994</v>
      </c>
      <c r="N33" s="107">
        <v>72</v>
      </c>
      <c r="O33" s="107">
        <v>73.099999999999994</v>
      </c>
      <c r="P33" s="107">
        <v>72.099999999999994</v>
      </c>
      <c r="Q33" s="107">
        <v>71.844499999999996</v>
      </c>
      <c r="R33" s="107">
        <v>71.2</v>
      </c>
      <c r="S33" s="107">
        <v>70.7</v>
      </c>
      <c r="T33" s="107">
        <v>70.5</v>
      </c>
      <c r="U33" s="250">
        <v>70.2</v>
      </c>
    </row>
    <row r="34" spans="1:85" ht="13" customHeight="1" x14ac:dyDescent="0.3">
      <c r="C34" s="193" t="str">
        <f>VLOOKUP(52,Textbausteine_405[],Hilfsgrössen!$D$2,FALSE)</f>
        <v>Langue maternelle française</v>
      </c>
      <c r="D34" s="67" t="str">
        <f>VLOOKUP(11,Textbausteine_405[],Hilfsgrössen!$D$2,FALSE)</f>
        <v>% des personnes</v>
      </c>
      <c r="E34" s="11">
        <v>1</v>
      </c>
      <c r="F34" s="11" t="s">
        <v>880</v>
      </c>
      <c r="G34" s="49"/>
      <c r="H34" s="243">
        <v>20.8</v>
      </c>
      <c r="I34" s="243">
        <v>21</v>
      </c>
      <c r="J34" s="243">
        <v>21</v>
      </c>
      <c r="K34" s="243">
        <v>20.9</v>
      </c>
      <c r="L34" s="281">
        <v>20.399999999999999</v>
      </c>
      <c r="M34" s="223">
        <v>20.2</v>
      </c>
      <c r="N34" s="107">
        <v>17.7</v>
      </c>
      <c r="O34" s="107">
        <v>17.5</v>
      </c>
      <c r="P34" s="107">
        <v>17.3</v>
      </c>
      <c r="Q34" s="107">
        <v>17.136150000000001</v>
      </c>
      <c r="R34" s="107">
        <v>17.3</v>
      </c>
      <c r="S34" s="107">
        <v>17.2</v>
      </c>
      <c r="T34" s="107">
        <v>17</v>
      </c>
      <c r="U34" s="250">
        <v>16.8</v>
      </c>
    </row>
    <row r="35" spans="1:85" ht="13" customHeight="1" x14ac:dyDescent="0.3">
      <c r="C35" s="193" t="str">
        <f>VLOOKUP(53,Textbausteine_405[],Hilfsgrössen!$D$2,FALSE)</f>
        <v>Langue maternelle italienne</v>
      </c>
      <c r="D35" s="67" t="str">
        <f>VLOOKUP(11,Textbausteine_405[],Hilfsgrössen!$D$2,FALSE)</f>
        <v>% des personnes</v>
      </c>
      <c r="E35" s="11">
        <v>1</v>
      </c>
      <c r="F35" s="11" t="s">
        <v>880</v>
      </c>
      <c r="G35" s="49"/>
      <c r="H35" s="243">
        <v>7.5</v>
      </c>
      <c r="I35" s="243">
        <v>7.5</v>
      </c>
      <c r="J35" s="243">
        <v>7.5</v>
      </c>
      <c r="K35" s="243">
        <v>7.4</v>
      </c>
      <c r="L35" s="281">
        <v>7.2</v>
      </c>
      <c r="M35" s="223">
        <v>7</v>
      </c>
      <c r="N35" s="107">
        <v>6</v>
      </c>
      <c r="O35" s="107">
        <v>5.8</v>
      </c>
      <c r="P35" s="107">
        <v>5.8</v>
      </c>
      <c r="Q35" s="107">
        <v>5.8</v>
      </c>
      <c r="R35" s="107">
        <v>5.9</v>
      </c>
      <c r="S35" s="107">
        <v>6</v>
      </c>
      <c r="T35" s="107">
        <v>6</v>
      </c>
      <c r="U35" s="250">
        <v>6</v>
      </c>
    </row>
    <row r="36" spans="1:85" ht="13" customHeight="1" x14ac:dyDescent="0.3">
      <c r="C36" s="193" t="str">
        <f>VLOOKUP(54,Textbausteine_405[],Hilfsgrössen!$D$2,FALSE)</f>
        <v>Langue maternelle romanche</v>
      </c>
      <c r="D36" s="67" t="str">
        <f>VLOOKUP(11,Textbausteine_405[],Hilfsgrössen!$D$2,FALSE)</f>
        <v>% des personnes</v>
      </c>
      <c r="E36" s="11">
        <v>1</v>
      </c>
      <c r="F36" s="11" t="s">
        <v>880</v>
      </c>
      <c r="G36" s="49"/>
      <c r="H36" s="282">
        <v>1.1000000000000001</v>
      </c>
      <c r="I36" s="283">
        <v>0.9</v>
      </c>
      <c r="J36" s="283">
        <v>0.8</v>
      </c>
      <c r="K36" s="283">
        <v>0.7</v>
      </c>
      <c r="L36" s="282">
        <v>0.7</v>
      </c>
      <c r="M36" s="282">
        <v>0.6</v>
      </c>
      <c r="N36" s="107">
        <v>0.5</v>
      </c>
      <c r="O36" s="107">
        <v>0.4</v>
      </c>
      <c r="P36" s="107">
        <v>0.4</v>
      </c>
      <c r="Q36" s="107">
        <v>0.4</v>
      </c>
      <c r="R36" s="107">
        <v>0.4</v>
      </c>
      <c r="S36" s="107">
        <v>0.4</v>
      </c>
      <c r="T36" s="107">
        <v>0.4</v>
      </c>
      <c r="U36" s="250">
        <v>0.4</v>
      </c>
    </row>
    <row r="37" spans="1:85" ht="13" customHeight="1" x14ac:dyDescent="0.3">
      <c r="C37" s="193" t="str">
        <f>VLOOKUP(55,Textbausteine_405[],Hilfsgrössen!$D$2,FALSE)</f>
        <v>Autre langue maternelle</v>
      </c>
      <c r="D37" s="238" t="str">
        <f>VLOOKUP(11,Textbausteine_405[],Hilfsgrössen!$D$2,FALSE)</f>
        <v>% des personnes</v>
      </c>
      <c r="E37" s="11">
        <v>1</v>
      </c>
      <c r="F37" s="11" t="s">
        <v>880</v>
      </c>
      <c r="G37" s="49"/>
      <c r="H37" s="243">
        <v>3.6000000000000085</v>
      </c>
      <c r="I37" s="243">
        <v>3.5999999999999943</v>
      </c>
      <c r="J37" s="243">
        <v>3.6000000000000085</v>
      </c>
      <c r="K37" s="243">
        <v>3.9999999999999858</v>
      </c>
      <c r="L37" s="243">
        <v>4.7999999999999829</v>
      </c>
      <c r="M37" s="243">
        <v>4.6000000000000085</v>
      </c>
      <c r="N37" s="107">
        <v>3.8</v>
      </c>
      <c r="O37" s="107">
        <v>3.2000000000000028</v>
      </c>
      <c r="P37" s="107">
        <v>4.4000000000000004</v>
      </c>
      <c r="Q37" s="107">
        <v>4.8</v>
      </c>
      <c r="R37" s="107">
        <v>5.3</v>
      </c>
      <c r="S37" s="107">
        <v>5.7</v>
      </c>
      <c r="T37" s="107">
        <v>6.1</v>
      </c>
      <c r="U37" s="250">
        <v>6.6</v>
      </c>
    </row>
    <row r="38" spans="1:85" s="9" customFormat="1" ht="13" customHeight="1" x14ac:dyDescent="0.3">
      <c r="A38" s="147"/>
      <c r="C38" s="193"/>
      <c r="D38" s="67"/>
      <c r="E38" s="11"/>
      <c r="F38" s="11"/>
      <c r="G38" s="49"/>
      <c r="H38" s="243"/>
      <c r="I38" s="243"/>
      <c r="J38" s="243"/>
      <c r="K38" s="243"/>
      <c r="L38" s="243"/>
      <c r="M38" s="243"/>
      <c r="N38" s="107"/>
      <c r="O38" s="107"/>
      <c r="P38" s="107"/>
      <c r="Q38" s="107"/>
      <c r="R38" s="107"/>
      <c r="S38" s="107"/>
      <c r="T38" s="137"/>
      <c r="U38" s="137"/>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row>
    <row r="39" spans="1:85" ht="13" customHeight="1" x14ac:dyDescent="0.3">
      <c r="B39" s="26" t="str">
        <f>VLOOKUP(131,Textbausteine_405[],Hilfsgrössen!$D$2,FALSE)</f>
        <v>1)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v>
      </c>
      <c r="E39" s="11"/>
      <c r="F39" s="11"/>
      <c r="G39" s="49"/>
      <c r="H39" s="69"/>
      <c r="I39" s="69"/>
      <c r="J39" s="69"/>
      <c r="K39" s="69"/>
      <c r="L39" s="69"/>
      <c r="M39" s="69"/>
      <c r="T39" s="107"/>
      <c r="U39" s="107"/>
    </row>
    <row r="40" spans="1:85" ht="13" customHeight="1" x14ac:dyDescent="0.3">
      <c r="B40" s="26"/>
      <c r="E40" s="11"/>
      <c r="F40" s="11"/>
      <c r="G40" s="49"/>
      <c r="H40" s="69"/>
      <c r="I40" s="69"/>
      <c r="J40" s="69"/>
      <c r="K40" s="69"/>
      <c r="L40" s="69"/>
      <c r="M40" s="69"/>
      <c r="T40" s="107"/>
      <c r="U40" s="107"/>
    </row>
    <row r="41" spans="1:85" ht="13" customHeight="1" x14ac:dyDescent="0.3">
      <c r="C41" s="193"/>
      <c r="D41" s="238"/>
      <c r="E41" s="11"/>
      <c r="F41" s="11"/>
      <c r="G41" s="49"/>
      <c r="H41" s="243"/>
      <c r="I41" s="243"/>
      <c r="J41" s="243"/>
      <c r="K41" s="243"/>
      <c r="L41" s="243"/>
      <c r="M41" s="243"/>
      <c r="T41" s="137"/>
      <c r="U41" s="137"/>
    </row>
    <row r="42" spans="1:85" ht="13" customHeight="1" x14ac:dyDescent="0.3">
      <c r="E42" s="11"/>
      <c r="F42" s="11"/>
      <c r="G42" s="49"/>
      <c r="T42" s="137"/>
      <c r="U42" s="137"/>
    </row>
    <row r="43" spans="1:85" s="31" customFormat="1" ht="13" customHeight="1" x14ac:dyDescent="0.3">
      <c r="A43" s="56" t="s">
        <v>900</v>
      </c>
      <c r="B43" s="385" t="str">
        <f>$C$9</f>
        <v>Nationalité</v>
      </c>
      <c r="C43" s="385"/>
      <c r="D43" s="6" t="str">
        <f>VLOOKUP(32,Textbausteine_Menu[],Hilfsgrössen!$D$2,FALSE)</f>
        <v>Unité</v>
      </c>
      <c r="E43" s="39" t="str">
        <f>VLOOKUP(33,Textbausteine_Menu[],Hilfsgrössen!$D$2,FALSE)</f>
        <v>Notes</v>
      </c>
      <c r="F43" s="39" t="str">
        <f>VLOOKUP(34,Textbausteine_Menu[],Hilfsgrössen!$D$2,FALSE)</f>
        <v>GRI</v>
      </c>
      <c r="G43" s="47"/>
      <c r="H43" s="117">
        <v>2004</v>
      </c>
      <c r="I43" s="117">
        <v>2005</v>
      </c>
      <c r="J43" s="117">
        <v>2006</v>
      </c>
      <c r="K43" s="117">
        <v>2007</v>
      </c>
      <c r="L43" s="117">
        <v>2008</v>
      </c>
      <c r="M43" s="117">
        <v>2009</v>
      </c>
      <c r="N43" s="117">
        <v>2010</v>
      </c>
      <c r="O43" s="117">
        <v>2011</v>
      </c>
      <c r="P43" s="117">
        <v>2012</v>
      </c>
      <c r="Q43" s="117">
        <v>2013</v>
      </c>
      <c r="R43" s="117">
        <v>2014</v>
      </c>
      <c r="S43" s="117">
        <v>2015</v>
      </c>
      <c r="T43" s="117">
        <v>2016</v>
      </c>
      <c r="U43" s="247">
        <v>2017</v>
      </c>
      <c r="V43" s="7"/>
      <c r="W43" s="7"/>
      <c r="X43" s="7"/>
      <c r="Y43" s="7"/>
      <c r="Z43" s="7"/>
      <c r="AA43" s="7"/>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row>
    <row r="44" spans="1:85" s="31" customFormat="1" ht="13" customHeight="1" x14ac:dyDescent="0.3">
      <c r="A44" s="90"/>
      <c r="B44" s="385"/>
      <c r="C44" s="385"/>
      <c r="D44" s="6"/>
      <c r="E44" s="40"/>
      <c r="F44" s="40"/>
      <c r="G44" s="47"/>
      <c r="H44" s="69"/>
      <c r="I44" s="69"/>
      <c r="J44" s="69"/>
      <c r="K44" s="69"/>
      <c r="L44" s="69"/>
      <c r="M44" s="69"/>
      <c r="N44" s="143"/>
      <c r="O44" s="143"/>
      <c r="P44" s="143"/>
      <c r="Q44" s="143"/>
      <c r="R44" s="143"/>
      <c r="S44" s="143"/>
      <c r="T44" s="119"/>
      <c r="U44" s="248"/>
      <c r="V44" s="129"/>
      <c r="W44" s="122"/>
      <c r="X44" s="122"/>
      <c r="Y44" s="122"/>
      <c r="Z44" s="122"/>
      <c r="AA44" s="122"/>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row>
    <row r="45" spans="1:85" ht="13" customHeight="1" x14ac:dyDescent="0.3">
      <c r="B45" s="8"/>
      <c r="C45" s="9"/>
      <c r="D45" s="9"/>
      <c r="E45" s="40"/>
      <c r="F45" s="40"/>
      <c r="G45" s="48"/>
      <c r="H45" s="69"/>
      <c r="I45" s="69"/>
      <c r="J45" s="69"/>
      <c r="K45" s="69"/>
      <c r="L45" s="69"/>
      <c r="M45" s="69"/>
      <c r="U45" s="249"/>
      <c r="V45" s="12"/>
      <c r="W45" s="13"/>
      <c r="X45" s="13"/>
      <c r="Y45" s="13"/>
      <c r="Z45" s="13"/>
      <c r="AA45" s="13"/>
    </row>
    <row r="46" spans="1:85" ht="13" customHeight="1" x14ac:dyDescent="0.3">
      <c r="B46" s="8" t="str">
        <f>VLOOKUP(37,Textbausteine_Menu[],Hilfsgrössen!$D$2,FALSE)</f>
        <v>Groupe Suisse</v>
      </c>
      <c r="C46" s="8"/>
      <c r="D46" s="67"/>
      <c r="E46" s="12"/>
      <c r="F46" s="11"/>
      <c r="G46" s="48"/>
      <c r="H46" s="69"/>
      <c r="I46" s="69"/>
      <c r="J46" s="69"/>
      <c r="K46" s="69"/>
      <c r="L46" s="69"/>
      <c r="M46" s="69"/>
      <c r="U46" s="249"/>
    </row>
    <row r="47" spans="1:85" ht="13" customHeight="1" x14ac:dyDescent="0.3">
      <c r="C47" s="193" t="str">
        <f>VLOOKUP(71,Textbausteine_405[],Hilfsgrössen!$D$2,FALSE)</f>
        <v>Suisse</v>
      </c>
      <c r="D47" s="238" t="str">
        <f>VLOOKUP(11,Textbausteine_405[],Hilfsgrössen!$D$2,FALSE)</f>
        <v>% des personnes</v>
      </c>
      <c r="E47" s="11">
        <v>1</v>
      </c>
      <c r="F47" s="13" t="s">
        <v>880</v>
      </c>
      <c r="G47" s="49"/>
      <c r="H47" s="243">
        <v>89.1</v>
      </c>
      <c r="I47" s="243">
        <v>89.4</v>
      </c>
      <c r="J47" s="243">
        <v>89.6</v>
      </c>
      <c r="K47" s="243">
        <v>89.8</v>
      </c>
      <c r="L47" s="223">
        <v>88.8</v>
      </c>
      <c r="M47" s="223">
        <v>88.1</v>
      </c>
      <c r="N47" s="107">
        <v>87</v>
      </c>
      <c r="O47" s="107">
        <v>86.4</v>
      </c>
      <c r="P47" s="107">
        <v>85.7</v>
      </c>
      <c r="Q47" s="107">
        <v>85.1</v>
      </c>
      <c r="R47" s="107">
        <v>84.6</v>
      </c>
      <c r="S47" s="107">
        <v>84.1</v>
      </c>
      <c r="T47" s="107">
        <v>83.5</v>
      </c>
      <c r="U47" s="250">
        <v>82.9</v>
      </c>
    </row>
    <row r="48" spans="1:85" ht="13" customHeight="1" x14ac:dyDescent="0.3">
      <c r="C48" s="193" t="str">
        <f>VLOOKUP(72,Textbausteine_405[],Hilfsgrössen!$D$2,FALSE)</f>
        <v>Etranger</v>
      </c>
      <c r="D48" s="238" t="str">
        <f>VLOOKUP(11,Textbausteine_405[],Hilfsgrössen!$D$2,FALSE)</f>
        <v>% des personnes</v>
      </c>
      <c r="E48" s="11">
        <v>1</v>
      </c>
      <c r="F48" s="11" t="s">
        <v>880</v>
      </c>
      <c r="G48" s="50"/>
      <c r="H48" s="243">
        <v>10.9</v>
      </c>
      <c r="I48" s="243">
        <v>10.6</v>
      </c>
      <c r="J48" s="243">
        <v>10.4</v>
      </c>
      <c r="K48" s="243">
        <v>10.199999999999999</v>
      </c>
      <c r="L48" s="223">
        <v>11.2</v>
      </c>
      <c r="M48" s="223">
        <v>11.9</v>
      </c>
      <c r="N48" s="107">
        <v>13</v>
      </c>
      <c r="O48" s="107">
        <v>13.6</v>
      </c>
      <c r="P48" s="107">
        <v>14.299999999999997</v>
      </c>
      <c r="Q48" s="107">
        <v>14.9</v>
      </c>
      <c r="R48" s="107">
        <v>15.4</v>
      </c>
      <c r="S48" s="107">
        <v>15.900000000000006</v>
      </c>
      <c r="T48" s="107">
        <v>16.5</v>
      </c>
      <c r="U48" s="250">
        <v>17.100000000000001</v>
      </c>
    </row>
    <row r="49" spans="1:85" ht="13" customHeight="1" x14ac:dyDescent="0.3">
      <c r="C49" s="284" t="str">
        <f>VLOOKUP(73,Textbausteine_405[],Hilfsgrössen!$D$2,FALSE)</f>
        <v>Italie</v>
      </c>
      <c r="D49" s="238" t="str">
        <f>VLOOKUP(11,Textbausteine_405[],Hilfsgrössen!$D$2,FALSE)</f>
        <v>% des personnes</v>
      </c>
      <c r="E49" s="11">
        <v>1</v>
      </c>
      <c r="F49" s="11" t="s">
        <v>880</v>
      </c>
      <c r="G49" s="49"/>
      <c r="H49" s="243">
        <v>35</v>
      </c>
      <c r="I49" s="243">
        <v>35.1</v>
      </c>
      <c r="J49" s="243">
        <v>34.6</v>
      </c>
      <c r="K49" s="243">
        <v>34.299999999999997</v>
      </c>
      <c r="L49" s="281">
        <v>31.2</v>
      </c>
      <c r="M49" s="223">
        <v>29.2</v>
      </c>
      <c r="N49" s="107">
        <v>27.1</v>
      </c>
      <c r="O49" s="107">
        <v>25.9</v>
      </c>
      <c r="P49" s="107">
        <v>24.7</v>
      </c>
      <c r="Q49" s="107">
        <v>23.4</v>
      </c>
      <c r="R49" s="107">
        <v>23</v>
      </c>
      <c r="S49" s="107">
        <v>22.6</v>
      </c>
      <c r="T49" s="107">
        <v>22.1</v>
      </c>
      <c r="U49" s="250">
        <v>21.4</v>
      </c>
    </row>
    <row r="50" spans="1:85" ht="13" customHeight="1" x14ac:dyDescent="0.3">
      <c r="C50" s="284" t="str">
        <f>VLOOKUP(74,Textbausteine_405[],Hilfsgrössen!$D$2,FALSE)</f>
        <v>Allemagne</v>
      </c>
      <c r="D50" s="238" t="str">
        <f>VLOOKUP(11,Textbausteine_405[],Hilfsgrössen!$D$2,FALSE)</f>
        <v>% des personnes</v>
      </c>
      <c r="E50" s="11">
        <v>1</v>
      </c>
      <c r="F50" s="11" t="s">
        <v>880</v>
      </c>
      <c r="G50" s="49"/>
      <c r="H50" s="243">
        <v>3.7</v>
      </c>
      <c r="I50" s="243">
        <v>4.4000000000000004</v>
      </c>
      <c r="J50" s="243">
        <v>5.2</v>
      </c>
      <c r="K50" s="243">
        <v>6.5</v>
      </c>
      <c r="L50" s="281">
        <v>8.4</v>
      </c>
      <c r="M50" s="223">
        <v>10.3</v>
      </c>
      <c r="N50" s="107">
        <v>10.199999999999999</v>
      </c>
      <c r="O50" s="107">
        <v>11.1</v>
      </c>
      <c r="P50" s="107">
        <v>11.6</v>
      </c>
      <c r="Q50" s="107">
        <v>12</v>
      </c>
      <c r="R50" s="107">
        <v>12.1</v>
      </c>
      <c r="S50" s="107">
        <v>12.2</v>
      </c>
      <c r="T50" s="107">
        <v>12.3</v>
      </c>
      <c r="U50" s="250">
        <v>12.4</v>
      </c>
    </row>
    <row r="51" spans="1:85" ht="13" customHeight="1" x14ac:dyDescent="0.3">
      <c r="C51" s="284" t="str">
        <f>VLOOKUP(75,Textbausteine_405[],Hilfsgrössen!$D$2,FALSE)</f>
        <v>Espagne</v>
      </c>
      <c r="D51" s="238" t="str">
        <f>VLOOKUP(11,Textbausteine_405[],Hilfsgrössen!$D$2,FALSE)</f>
        <v>% des personnes</v>
      </c>
      <c r="E51" s="11">
        <v>1</v>
      </c>
      <c r="F51" s="13" t="s">
        <v>880</v>
      </c>
      <c r="G51" s="49"/>
      <c r="H51" s="243">
        <v>15.8</v>
      </c>
      <c r="I51" s="243">
        <v>14.9</v>
      </c>
      <c r="J51" s="243">
        <v>13.9</v>
      </c>
      <c r="K51" s="243">
        <v>12.1</v>
      </c>
      <c r="L51" s="281">
        <v>9.6999999999999993</v>
      </c>
      <c r="M51" s="223">
        <v>8.8000000000000007</v>
      </c>
      <c r="N51" s="107">
        <v>7.7</v>
      </c>
      <c r="O51" s="107">
        <v>7.2</v>
      </c>
      <c r="P51" s="107">
        <v>7</v>
      </c>
      <c r="Q51" s="107">
        <v>6.6</v>
      </c>
      <c r="R51" s="107">
        <v>6.4</v>
      </c>
      <c r="S51" s="107">
        <v>6.2</v>
      </c>
      <c r="T51" s="107">
        <v>5.8</v>
      </c>
      <c r="U51" s="250">
        <v>5.6</v>
      </c>
    </row>
    <row r="52" spans="1:85" ht="13" customHeight="1" x14ac:dyDescent="0.3">
      <c r="C52" s="284" t="str">
        <f>VLOOKUP(76,Textbausteine_405[],Hilfsgrössen!$D$2,FALSE)</f>
        <v>Portugal</v>
      </c>
      <c r="D52" s="238" t="str">
        <f>VLOOKUP(11,Textbausteine_405[],Hilfsgrössen!$D$2,FALSE)</f>
        <v>% des personnes</v>
      </c>
      <c r="E52" s="13">
        <v>1</v>
      </c>
      <c r="F52" s="13" t="s">
        <v>880</v>
      </c>
      <c r="G52" s="50"/>
      <c r="H52" s="243">
        <v>8.4</v>
      </c>
      <c r="I52" s="243">
        <v>8.4</v>
      </c>
      <c r="J52" s="243">
        <v>8.4</v>
      </c>
      <c r="K52" s="243">
        <v>8.5</v>
      </c>
      <c r="L52" s="281">
        <v>7.7</v>
      </c>
      <c r="M52" s="223">
        <v>7.9</v>
      </c>
      <c r="N52" s="107">
        <v>7.2</v>
      </c>
      <c r="O52" s="107">
        <v>7.2</v>
      </c>
      <c r="P52" s="107">
        <v>7.1</v>
      </c>
      <c r="Q52" s="107">
        <v>7.6</v>
      </c>
      <c r="R52" s="107">
        <v>8.1</v>
      </c>
      <c r="S52" s="107">
        <v>8.5</v>
      </c>
      <c r="T52" s="107">
        <v>8.9</v>
      </c>
      <c r="U52" s="250">
        <v>9.3000000000000007</v>
      </c>
    </row>
    <row r="53" spans="1:85" ht="13" customHeight="1" x14ac:dyDescent="0.3">
      <c r="C53" s="284" t="str">
        <f>VLOOKUP(77,Textbausteine_405[],Hilfsgrössen!$D$2,FALSE)</f>
        <v>Turquie</v>
      </c>
      <c r="D53" s="238" t="str">
        <f>VLOOKUP(11,Textbausteine_405[],Hilfsgrössen!$D$2,FALSE)</f>
        <v>% des personnes</v>
      </c>
      <c r="E53" s="13">
        <v>1</v>
      </c>
      <c r="F53" s="11" t="s">
        <v>880</v>
      </c>
      <c r="G53" s="50"/>
      <c r="H53" s="243">
        <v>7.1</v>
      </c>
      <c r="I53" s="243">
        <v>6.9</v>
      </c>
      <c r="J53" s="243">
        <v>6.6</v>
      </c>
      <c r="K53" s="243">
        <v>6.3</v>
      </c>
      <c r="L53" s="281">
        <v>6.3</v>
      </c>
      <c r="M53" s="223">
        <v>6.2</v>
      </c>
      <c r="N53" s="107">
        <v>6.6</v>
      </c>
      <c r="O53" s="107">
        <v>6</v>
      </c>
      <c r="P53" s="107">
        <v>5.9</v>
      </c>
      <c r="Q53" s="107">
        <v>5.7</v>
      </c>
      <c r="R53" s="107">
        <v>5.6</v>
      </c>
      <c r="S53" s="107">
        <v>5.4</v>
      </c>
      <c r="T53" s="107">
        <v>5.2</v>
      </c>
      <c r="U53" s="250">
        <v>5.3</v>
      </c>
    </row>
    <row r="54" spans="1:85" ht="13" customHeight="1" x14ac:dyDescent="0.3">
      <c r="C54" s="284" t="str">
        <f>VLOOKUP(78,Textbausteine_405[],Hilfsgrössen!$D$2,FALSE)</f>
        <v>France</v>
      </c>
      <c r="D54" s="238" t="str">
        <f>VLOOKUP(11,Textbausteine_405[],Hilfsgrössen!$D$2,FALSE)</f>
        <v>% des personnes</v>
      </c>
      <c r="E54" s="13">
        <v>1</v>
      </c>
      <c r="F54" s="11" t="s">
        <v>880</v>
      </c>
      <c r="G54" s="49"/>
      <c r="H54" s="243">
        <v>4.2</v>
      </c>
      <c r="I54" s="243">
        <v>4.5999999999999996</v>
      </c>
      <c r="J54" s="243">
        <v>4.9000000000000004</v>
      </c>
      <c r="K54" s="243">
        <v>5.2</v>
      </c>
      <c r="L54" s="281">
        <v>5.8</v>
      </c>
      <c r="M54" s="223">
        <v>6.6</v>
      </c>
      <c r="N54" s="107">
        <v>5.8</v>
      </c>
      <c r="O54" s="107">
        <v>6.2</v>
      </c>
      <c r="P54" s="107">
        <v>6.3</v>
      </c>
      <c r="Q54" s="107">
        <v>6.4</v>
      </c>
      <c r="R54" s="107">
        <v>6.6</v>
      </c>
      <c r="S54" s="107">
        <v>6.9</v>
      </c>
      <c r="T54" s="107">
        <v>6.9</v>
      </c>
      <c r="U54" s="250">
        <v>6.9</v>
      </c>
    </row>
    <row r="55" spans="1:85" ht="13" customHeight="1" x14ac:dyDescent="0.3">
      <c r="C55" s="284" t="str">
        <f>VLOOKUP(79,Textbausteine_405[],Hilfsgrössen!$D$2,FALSE)</f>
        <v>Autres pays</v>
      </c>
      <c r="D55" s="67" t="str">
        <f>VLOOKUP(11,Textbausteine_405[],Hilfsgrössen!$D$2,FALSE)</f>
        <v>% des personnes</v>
      </c>
      <c r="E55" s="11">
        <v>1</v>
      </c>
      <c r="F55" s="13" t="s">
        <v>880</v>
      </c>
      <c r="G55" s="49"/>
      <c r="H55" s="223">
        <v>25.799999999999997</v>
      </c>
      <c r="I55" s="223">
        <v>25.700000000000003</v>
      </c>
      <c r="J55" s="223">
        <v>26.399999999999991</v>
      </c>
      <c r="K55" s="223">
        <v>27.099999999999994</v>
      </c>
      <c r="L55" s="223">
        <v>30.900000000000006</v>
      </c>
      <c r="M55" s="223">
        <v>31</v>
      </c>
      <c r="N55" s="107">
        <v>35.4</v>
      </c>
      <c r="O55" s="107">
        <v>36.399999999999991</v>
      </c>
      <c r="P55" s="107">
        <v>37.400000000000006</v>
      </c>
      <c r="Q55" s="107">
        <v>38.299999999999997</v>
      </c>
      <c r="R55" s="107">
        <v>38.200000000000003</v>
      </c>
      <c r="S55" s="107">
        <v>38.200000000000003</v>
      </c>
      <c r="T55" s="107">
        <v>38.799999999999997</v>
      </c>
      <c r="U55" s="250">
        <v>39.1</v>
      </c>
    </row>
    <row r="56" spans="1:85" ht="13" customHeight="1" x14ac:dyDescent="0.3">
      <c r="C56" s="193" t="str">
        <f>VLOOKUP(80,Textbausteine_405[],Hilfsgrössen!$D$2,FALSE)</f>
        <v>Nationalités représentées</v>
      </c>
      <c r="D56" s="67" t="str">
        <f>VLOOKUP(12,Textbausteine_405[],Hilfsgrössen!$D$2,FALSE)</f>
        <v>Nombre</v>
      </c>
      <c r="E56" s="13">
        <v>1</v>
      </c>
      <c r="F56" s="13" t="s">
        <v>880</v>
      </c>
      <c r="G56" s="50"/>
      <c r="H56" s="285">
        <v>114</v>
      </c>
      <c r="I56" s="285">
        <v>111</v>
      </c>
      <c r="J56" s="285">
        <v>115</v>
      </c>
      <c r="K56" s="285">
        <v>119</v>
      </c>
      <c r="L56" s="281">
        <v>121</v>
      </c>
      <c r="M56" s="226">
        <v>117</v>
      </c>
      <c r="N56" s="107">
        <v>133</v>
      </c>
      <c r="O56" s="107">
        <v>140</v>
      </c>
      <c r="P56" s="107">
        <v>140</v>
      </c>
      <c r="Q56" s="107">
        <v>144</v>
      </c>
      <c r="R56" s="107">
        <v>142</v>
      </c>
      <c r="S56" s="107">
        <v>142</v>
      </c>
      <c r="T56" s="107">
        <v>143</v>
      </c>
      <c r="U56" s="250">
        <v>140</v>
      </c>
    </row>
    <row r="57" spans="1:85" s="9" customFormat="1" ht="13" customHeight="1" x14ac:dyDescent="0.3">
      <c r="A57" s="147"/>
      <c r="C57" s="193"/>
      <c r="D57" s="67"/>
      <c r="E57" s="13"/>
      <c r="F57" s="13"/>
      <c r="G57" s="50"/>
      <c r="H57" s="285"/>
      <c r="I57" s="285"/>
      <c r="J57" s="285"/>
      <c r="K57" s="285"/>
      <c r="L57" s="281"/>
      <c r="M57" s="226"/>
      <c r="N57" s="107"/>
      <c r="O57" s="107"/>
      <c r="P57" s="107"/>
      <c r="Q57" s="107"/>
      <c r="R57" s="107"/>
      <c r="S57" s="107"/>
      <c r="T57" s="107"/>
      <c r="U57" s="107"/>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row>
    <row r="58" spans="1:85" ht="13" customHeight="1" x14ac:dyDescent="0.3">
      <c r="B58" s="26" t="str">
        <f>VLOOKUP(131,Textbausteine_405[],Hilfsgrössen!$D$2,FALSE)</f>
        <v>1)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v>
      </c>
      <c r="E58" s="11"/>
      <c r="F58" s="11"/>
      <c r="G58" s="49"/>
      <c r="H58" s="69"/>
      <c r="I58" s="69"/>
      <c r="J58" s="69"/>
      <c r="K58" s="69"/>
      <c r="L58" s="69"/>
      <c r="M58" s="69"/>
      <c r="T58" s="107"/>
      <c r="U58" s="107"/>
    </row>
    <row r="59" spans="1:85" ht="13" customHeight="1" x14ac:dyDescent="0.3">
      <c r="B59" s="26"/>
      <c r="E59" s="11"/>
      <c r="F59" s="11"/>
      <c r="G59" s="49"/>
      <c r="H59" s="69"/>
      <c r="I59" s="69"/>
      <c r="J59" s="69"/>
      <c r="K59" s="69"/>
      <c r="L59" s="69"/>
      <c r="M59" s="69"/>
      <c r="T59" s="107"/>
      <c r="U59" s="107"/>
    </row>
    <row r="60" spans="1:85" s="9" customFormat="1" ht="13" customHeight="1" x14ac:dyDescent="0.3">
      <c r="A60" s="147"/>
      <c r="C60" s="193"/>
      <c r="D60" s="67"/>
      <c r="E60" s="13"/>
      <c r="F60" s="13"/>
      <c r="G60" s="50"/>
      <c r="H60" s="285"/>
      <c r="I60" s="285"/>
      <c r="J60" s="285"/>
      <c r="K60" s="285"/>
      <c r="L60" s="281"/>
      <c r="M60" s="226"/>
      <c r="N60" s="107"/>
      <c r="O60" s="107"/>
      <c r="P60" s="107"/>
      <c r="Q60" s="107"/>
      <c r="R60" s="107"/>
      <c r="S60" s="107"/>
      <c r="T60" s="107"/>
      <c r="U60" s="107"/>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row>
    <row r="61" spans="1:85" s="9" customFormat="1" ht="13" customHeight="1" x14ac:dyDescent="0.3">
      <c r="A61" s="147"/>
      <c r="C61" s="284"/>
      <c r="D61" s="67"/>
      <c r="E61" s="13"/>
      <c r="F61" s="11"/>
      <c r="G61" s="50"/>
      <c r="H61" s="69"/>
      <c r="I61" s="69"/>
      <c r="J61" s="69"/>
      <c r="K61" s="69"/>
      <c r="L61" s="69"/>
      <c r="M61" s="69"/>
      <c r="N61" s="107"/>
      <c r="O61" s="107"/>
      <c r="P61" s="107"/>
      <c r="Q61" s="107"/>
      <c r="R61" s="107"/>
      <c r="S61" s="107"/>
      <c r="T61" s="107"/>
      <c r="U61" s="107"/>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row>
    <row r="62" spans="1:85" s="31" customFormat="1" ht="13" customHeight="1" x14ac:dyDescent="0.3">
      <c r="A62" s="56" t="s">
        <v>900</v>
      </c>
      <c r="B62" s="385" t="str">
        <f>$C$10</f>
        <v>Démographie (pyramide des âges)</v>
      </c>
      <c r="C62" s="385"/>
      <c r="D62" s="6" t="str">
        <f>VLOOKUP(32,Textbausteine_Menu[],Hilfsgrössen!$D$2,FALSE)</f>
        <v>Unité</v>
      </c>
      <c r="E62" s="39" t="str">
        <f>VLOOKUP(33,Textbausteine_Menu[],Hilfsgrössen!$D$2,FALSE)</f>
        <v>Notes</v>
      </c>
      <c r="F62" s="39" t="str">
        <f>VLOOKUP(34,Textbausteine_Menu[],Hilfsgrössen!$D$2,FALSE)</f>
        <v>GRI</v>
      </c>
      <c r="G62" s="47"/>
      <c r="H62" s="113">
        <v>2004</v>
      </c>
      <c r="I62" s="113">
        <v>2005</v>
      </c>
      <c r="J62" s="113">
        <v>2006</v>
      </c>
      <c r="K62" s="113">
        <v>2007</v>
      </c>
      <c r="L62" s="113">
        <v>2008</v>
      </c>
      <c r="M62" s="113">
        <v>2009</v>
      </c>
      <c r="N62" s="117">
        <v>2010</v>
      </c>
      <c r="O62" s="117">
        <v>2011</v>
      </c>
      <c r="P62" s="117">
        <v>2012</v>
      </c>
      <c r="Q62" s="117">
        <v>2013</v>
      </c>
      <c r="R62" s="117">
        <v>2014</v>
      </c>
      <c r="S62" s="117">
        <v>2015</v>
      </c>
      <c r="T62" s="117">
        <v>2016</v>
      </c>
      <c r="U62" s="247">
        <v>2017</v>
      </c>
      <c r="V62" s="7"/>
      <c r="W62" s="7"/>
      <c r="X62" s="7"/>
      <c r="Y62" s="7"/>
      <c r="Z62" s="7"/>
      <c r="AA62" s="7"/>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row>
    <row r="63" spans="1:85" s="31" customFormat="1" ht="13" customHeight="1" x14ac:dyDescent="0.3">
      <c r="A63" s="90"/>
      <c r="B63" s="385"/>
      <c r="C63" s="385"/>
      <c r="D63" s="6"/>
      <c r="E63" s="40"/>
      <c r="F63" s="40"/>
      <c r="G63" s="47"/>
      <c r="H63" s="69"/>
      <c r="I63" s="69"/>
      <c r="J63" s="69"/>
      <c r="K63" s="69"/>
      <c r="L63" s="69"/>
      <c r="M63" s="69"/>
      <c r="N63" s="143"/>
      <c r="O63" s="143"/>
      <c r="P63" s="143"/>
      <c r="Q63" s="143"/>
      <c r="R63" s="143"/>
      <c r="S63" s="143"/>
      <c r="T63" s="119"/>
      <c r="U63" s="248"/>
      <c r="V63" s="129"/>
      <c r="W63" s="122"/>
      <c r="X63" s="122"/>
      <c r="Y63" s="122"/>
      <c r="Z63" s="122"/>
      <c r="AA63" s="122"/>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row>
    <row r="64" spans="1:85" ht="13" customHeight="1" x14ac:dyDescent="0.3">
      <c r="B64" s="8"/>
      <c r="C64" s="9"/>
      <c r="D64" s="9"/>
      <c r="E64" s="40"/>
      <c r="F64" s="40"/>
      <c r="G64" s="48"/>
      <c r="U64" s="249"/>
      <c r="V64" s="12"/>
      <c r="W64" s="13"/>
      <c r="X64" s="13"/>
      <c r="Y64" s="13"/>
      <c r="Z64" s="13"/>
      <c r="AA64" s="13"/>
    </row>
    <row r="65" spans="2:21" ht="13" customHeight="1" x14ac:dyDescent="0.3">
      <c r="B65" s="8" t="str">
        <f>VLOOKUP(37,Textbausteine_Menu[],Hilfsgrössen!$D$2,FALSE)</f>
        <v>Groupe Suisse</v>
      </c>
      <c r="C65" s="8"/>
      <c r="D65" s="67"/>
      <c r="E65" s="12"/>
      <c r="F65" s="11"/>
      <c r="G65" s="48"/>
      <c r="U65" s="249"/>
    </row>
    <row r="66" spans="2:21" ht="13" customHeight="1" x14ac:dyDescent="0.3">
      <c r="C66" s="286" t="str">
        <f>VLOOKUP(91,Textbausteine_405[],Hilfsgrössen!$D$2,FALSE)</f>
        <v>Classe d'âge</v>
      </c>
      <c r="D66" s="238"/>
      <c r="E66" s="13"/>
      <c r="F66" s="11"/>
      <c r="G66" s="49"/>
      <c r="H66" s="69"/>
      <c r="I66" s="69"/>
      <c r="J66" s="69"/>
      <c r="K66" s="69"/>
      <c r="L66" s="69"/>
      <c r="M66" s="69"/>
      <c r="T66" s="107"/>
      <c r="U66" s="250"/>
    </row>
    <row r="67" spans="2:21" ht="13" customHeight="1" x14ac:dyDescent="0.3">
      <c r="C67" s="284" t="str">
        <f>VLOOKUP(92,Textbausteine_405[],Hilfsgrössen!$D$2,FALSE)</f>
        <v>Moins de 20 ans</v>
      </c>
      <c r="D67" s="238" t="str">
        <f>VLOOKUP(11,Textbausteine_405[],Hilfsgrössen!$D$2,FALSE)</f>
        <v>% des personnes</v>
      </c>
      <c r="E67" s="13">
        <v>1</v>
      </c>
      <c r="F67" s="11" t="s">
        <v>880</v>
      </c>
      <c r="G67" s="49"/>
      <c r="H67" s="13">
        <v>0.8</v>
      </c>
      <c r="I67" s="16">
        <v>0.75853436192007206</v>
      </c>
      <c r="J67" s="16">
        <v>0.72263723862857954</v>
      </c>
      <c r="K67" s="13">
        <v>0.7</v>
      </c>
      <c r="L67" s="13">
        <v>0.7</v>
      </c>
      <c r="M67" s="13">
        <v>0.6</v>
      </c>
      <c r="N67" s="107">
        <v>0.6</v>
      </c>
      <c r="O67" s="107">
        <v>0.7</v>
      </c>
      <c r="P67" s="107">
        <v>0.7</v>
      </c>
      <c r="Q67" s="107">
        <v>0.7414526622821811</v>
      </c>
      <c r="R67" s="107">
        <v>0.6</v>
      </c>
      <c r="S67" s="107">
        <v>0.65583945381193698</v>
      </c>
      <c r="T67" s="107">
        <v>0.6</v>
      </c>
      <c r="U67" s="250">
        <v>0.5</v>
      </c>
    </row>
    <row r="68" spans="2:21" ht="13" customHeight="1" x14ac:dyDescent="0.3">
      <c r="C68" s="284" t="str">
        <f>VLOOKUP(93,Textbausteine_405[],Hilfsgrössen!$D$2,FALSE)</f>
        <v>20–29</v>
      </c>
      <c r="D68" s="238" t="str">
        <f>VLOOKUP(11,Textbausteine_405[],Hilfsgrössen!$D$2,FALSE)</f>
        <v>% des personnes</v>
      </c>
      <c r="E68" s="13">
        <v>1</v>
      </c>
      <c r="F68" s="11" t="s">
        <v>880</v>
      </c>
      <c r="G68" s="49"/>
      <c r="H68" s="13">
        <v>12.2</v>
      </c>
      <c r="I68" s="16">
        <v>11.456261211366733</v>
      </c>
      <c r="J68" s="16">
        <v>10.947345763682705</v>
      </c>
      <c r="K68" s="13">
        <v>10.8</v>
      </c>
      <c r="L68" s="16">
        <v>11</v>
      </c>
      <c r="M68" s="13">
        <v>11.4</v>
      </c>
      <c r="N68" s="107">
        <v>11</v>
      </c>
      <c r="O68" s="107">
        <v>11.3</v>
      </c>
      <c r="P68" s="107">
        <v>12.8</v>
      </c>
      <c r="Q68" s="107">
        <v>12.746129869178008</v>
      </c>
      <c r="R68" s="107">
        <v>11.7</v>
      </c>
      <c r="S68" s="107">
        <v>11.784593634702301</v>
      </c>
      <c r="T68" s="107">
        <v>11.8</v>
      </c>
      <c r="U68" s="250">
        <v>11.4</v>
      </c>
    </row>
    <row r="69" spans="2:21" ht="13" customHeight="1" x14ac:dyDescent="0.3">
      <c r="C69" s="284" t="str">
        <f>VLOOKUP(94,Textbausteine_405[],Hilfsgrössen!$D$2,FALSE)</f>
        <v>30–39</v>
      </c>
      <c r="D69" s="238" t="str">
        <f>VLOOKUP(11,Textbausteine_405[],Hilfsgrössen!$D$2,FALSE)</f>
        <v>% des personnes</v>
      </c>
      <c r="E69" s="11">
        <v>1</v>
      </c>
      <c r="F69" s="11" t="s">
        <v>880</v>
      </c>
      <c r="G69" s="49"/>
      <c r="H69" s="13">
        <v>29.8</v>
      </c>
      <c r="I69" s="16">
        <v>28.273228971641984</v>
      </c>
      <c r="J69" s="16">
        <v>26.617106492079223</v>
      </c>
      <c r="K69" s="13">
        <v>25.5</v>
      </c>
      <c r="L69" s="13">
        <v>24.3</v>
      </c>
      <c r="M69" s="16">
        <v>23</v>
      </c>
      <c r="N69" s="107">
        <v>21.7</v>
      </c>
      <c r="O69" s="107">
        <v>20.3</v>
      </c>
      <c r="P69" s="107">
        <v>18.600000000000001</v>
      </c>
      <c r="Q69" s="107">
        <v>18.596085994914251</v>
      </c>
      <c r="R69" s="107">
        <v>17.7</v>
      </c>
      <c r="S69" s="107">
        <v>17.344919140719298</v>
      </c>
      <c r="T69" s="107">
        <v>17.2</v>
      </c>
      <c r="U69" s="250">
        <v>17.2</v>
      </c>
    </row>
    <row r="70" spans="2:21" ht="13" customHeight="1" x14ac:dyDescent="0.3">
      <c r="C70" s="284" t="str">
        <f>VLOOKUP(95,Textbausteine_405[],Hilfsgrössen!$D$2,FALSE)</f>
        <v>40–49</v>
      </c>
      <c r="D70" s="238" t="str">
        <f>VLOOKUP(11,Textbausteine_405[],Hilfsgrössen!$D$2,FALSE)</f>
        <v>% des personnes</v>
      </c>
      <c r="E70" s="11">
        <v>1</v>
      </c>
      <c r="F70" s="13" t="s">
        <v>880</v>
      </c>
      <c r="G70" s="50"/>
      <c r="H70" s="13">
        <v>30.9</v>
      </c>
      <c r="I70" s="16">
        <v>31.863644294578354</v>
      </c>
      <c r="J70" s="16">
        <v>32.641711619999484</v>
      </c>
      <c r="K70" s="13">
        <v>33.200000000000003</v>
      </c>
      <c r="L70" s="13">
        <v>33.200000000000003</v>
      </c>
      <c r="M70" s="13">
        <v>33.4</v>
      </c>
      <c r="N70" s="107">
        <v>33.6</v>
      </c>
      <c r="O70" s="107">
        <v>33.6</v>
      </c>
      <c r="P70" s="107">
        <v>33.299999999999997</v>
      </c>
      <c r="Q70" s="107">
        <v>33.341698738199248</v>
      </c>
      <c r="R70" s="107">
        <v>31.9</v>
      </c>
      <c r="S70" s="107">
        <v>30.374297438019401</v>
      </c>
      <c r="T70" s="107">
        <v>29</v>
      </c>
      <c r="U70" s="250">
        <v>27.9</v>
      </c>
    </row>
    <row r="71" spans="2:21" ht="13" customHeight="1" x14ac:dyDescent="0.3">
      <c r="C71" s="284" t="str">
        <f>VLOOKUP(96,Textbausteine_405[],Hilfsgrössen!$D$2,FALSE)</f>
        <v>50–59</v>
      </c>
      <c r="D71" s="238" t="str">
        <f>VLOOKUP(11,Textbausteine_405[],Hilfsgrössen!$D$2,FALSE)</f>
        <v>% des personnes</v>
      </c>
      <c r="E71" s="11">
        <v>1</v>
      </c>
      <c r="F71" s="11" t="s">
        <v>880</v>
      </c>
      <c r="G71" s="49"/>
      <c r="H71" s="13">
        <v>22.8</v>
      </c>
      <c r="I71" s="16">
        <v>23.920360332101513</v>
      </c>
      <c r="J71" s="16">
        <v>24.948244699802391</v>
      </c>
      <c r="K71" s="13">
        <v>26.1</v>
      </c>
      <c r="L71" s="13">
        <v>26.5</v>
      </c>
      <c r="M71" s="13">
        <v>26.7</v>
      </c>
      <c r="N71" s="107">
        <v>26.5</v>
      </c>
      <c r="O71" s="107">
        <v>26.9</v>
      </c>
      <c r="P71" s="107">
        <v>28.4</v>
      </c>
      <c r="Q71" s="107">
        <v>28.424184389991645</v>
      </c>
      <c r="R71" s="107">
        <v>29.9</v>
      </c>
      <c r="S71" s="107">
        <v>30.6625633598841</v>
      </c>
      <c r="T71" s="107">
        <v>31.4</v>
      </c>
      <c r="U71" s="250">
        <v>32.1</v>
      </c>
    </row>
    <row r="72" spans="2:21" ht="13" customHeight="1" x14ac:dyDescent="0.3">
      <c r="C72" s="284" t="str">
        <f>VLOOKUP(97,Textbausteine_405[],Hilfsgrössen!$D$2,FALSE)</f>
        <v>60 ans et plus</v>
      </c>
      <c r="D72" s="238" t="str">
        <f>VLOOKUP(11,Textbausteine_405[],Hilfsgrössen!$D$2,FALSE)</f>
        <v>% des personnes</v>
      </c>
      <c r="E72" s="11">
        <v>1</v>
      </c>
      <c r="F72" s="11" t="s">
        <v>880</v>
      </c>
      <c r="G72" s="49"/>
      <c r="H72" s="13">
        <v>3.5</v>
      </c>
      <c r="I72" s="16">
        <v>3.7279727888489176</v>
      </c>
      <c r="J72" s="16">
        <v>4.1229521775503466</v>
      </c>
      <c r="K72" s="13">
        <v>3.7</v>
      </c>
      <c r="L72" s="13">
        <v>4.3</v>
      </c>
      <c r="M72" s="13">
        <v>4.9000000000000004</v>
      </c>
      <c r="N72" s="107">
        <v>6.6</v>
      </c>
      <c r="O72" s="107">
        <v>7.2</v>
      </c>
      <c r="P72" s="107">
        <v>6.2</v>
      </c>
      <c r="Q72" s="107">
        <v>6.1504483454346666</v>
      </c>
      <c r="R72" s="107">
        <v>8.3000000000000007</v>
      </c>
      <c r="S72" s="107">
        <v>9.1777869728630108</v>
      </c>
      <c r="T72" s="107">
        <v>10</v>
      </c>
      <c r="U72" s="250">
        <v>10.9</v>
      </c>
    </row>
    <row r="73" spans="2:21" ht="13" customHeight="1" x14ac:dyDescent="0.3">
      <c r="C73" s="193" t="str">
        <f>VLOOKUP(98,Textbausteine_405[],Hilfsgrössen!$D$2,FALSE)</f>
        <v>Age moyen</v>
      </c>
      <c r="D73" s="238" t="str">
        <f>VLOOKUP(13,Textbausteine_405[],Hilfsgrössen!$D$2,FALSE)</f>
        <v>Années</v>
      </c>
      <c r="E73" s="11">
        <v>1</v>
      </c>
      <c r="F73" s="13" t="s">
        <v>880</v>
      </c>
      <c r="G73" s="50"/>
      <c r="H73" s="13">
        <v>41.9</v>
      </c>
      <c r="I73" s="16">
        <v>42.3</v>
      </c>
      <c r="J73" s="16">
        <v>42.7</v>
      </c>
      <c r="K73" s="13">
        <v>42.9</v>
      </c>
      <c r="L73" s="13">
        <v>43.2</v>
      </c>
      <c r="M73" s="13">
        <v>43.4</v>
      </c>
      <c r="N73" s="107">
        <v>44.2</v>
      </c>
      <c r="O73" s="107">
        <v>44.4</v>
      </c>
      <c r="P73" s="107">
        <v>44.7</v>
      </c>
      <c r="Q73" s="107">
        <v>44.8</v>
      </c>
      <c r="R73" s="107">
        <v>45.1</v>
      </c>
      <c r="S73" s="107">
        <v>45.3</v>
      </c>
      <c r="T73" s="107">
        <v>45.6</v>
      </c>
      <c r="U73" s="250">
        <v>46</v>
      </c>
    </row>
    <row r="74" spans="2:21" ht="13" customHeight="1" x14ac:dyDescent="0.3">
      <c r="C74" s="284"/>
      <c r="D74" s="238"/>
      <c r="E74" s="11"/>
      <c r="F74" s="11"/>
      <c r="G74" s="49"/>
      <c r="H74" s="69"/>
      <c r="I74" s="69"/>
      <c r="J74" s="69"/>
      <c r="K74" s="69"/>
      <c r="L74" s="69"/>
      <c r="M74" s="69"/>
      <c r="T74" s="107"/>
      <c r="U74" s="107"/>
    </row>
    <row r="75" spans="2:21" ht="13" customHeight="1" x14ac:dyDescent="0.3">
      <c r="B75" s="26" t="str">
        <f>VLOOKUP(131,Textbausteine_405[],Hilfsgrössen!$D$2,FALSE)</f>
        <v>1)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v>
      </c>
      <c r="E75" s="11"/>
      <c r="F75" s="11"/>
      <c r="G75" s="49"/>
      <c r="H75" s="69"/>
      <c r="I75" s="69"/>
      <c r="J75" s="69"/>
      <c r="K75" s="69"/>
      <c r="L75" s="69"/>
      <c r="M75" s="69"/>
      <c r="T75" s="107"/>
      <c r="U75" s="107"/>
    </row>
    <row r="76" spans="2:21" ht="13" customHeight="1" x14ac:dyDescent="0.3">
      <c r="E76" s="11"/>
      <c r="F76" s="11"/>
      <c r="G76" s="49"/>
      <c r="H76" s="69"/>
      <c r="I76" s="69"/>
      <c r="J76" s="69"/>
      <c r="K76" s="69"/>
      <c r="L76" s="69"/>
      <c r="M76" s="69"/>
      <c r="T76" s="107"/>
      <c r="U76" s="107"/>
    </row>
    <row r="77" spans="2:21" ht="13" customHeight="1" x14ac:dyDescent="0.3">
      <c r="E77" s="11"/>
      <c r="F77" s="11"/>
      <c r="G77" s="49"/>
      <c r="H77" s="69"/>
      <c r="I77" s="69"/>
      <c r="J77" s="69"/>
      <c r="K77" s="69"/>
      <c r="L77" s="69"/>
      <c r="M77" s="69"/>
      <c r="T77" s="107"/>
      <c r="U77" s="107"/>
    </row>
    <row r="78" spans="2:21" ht="13" customHeight="1" x14ac:dyDescent="0.3">
      <c r="E78" s="11"/>
      <c r="F78" s="11"/>
      <c r="G78" s="49"/>
      <c r="H78" s="69"/>
      <c r="I78" s="69"/>
      <c r="J78" s="69"/>
      <c r="K78" s="69"/>
      <c r="L78" s="69"/>
      <c r="M78" s="69"/>
      <c r="T78" s="107"/>
      <c r="U78" s="107"/>
    </row>
    <row r="79" spans="2:21" ht="13" customHeight="1" x14ac:dyDescent="0.3">
      <c r="E79" s="11"/>
      <c r="F79" s="11"/>
      <c r="G79" s="49"/>
      <c r="H79" s="69"/>
      <c r="I79" s="69"/>
      <c r="J79" s="69"/>
      <c r="K79" s="69"/>
      <c r="L79" s="69"/>
      <c r="M79" s="69"/>
      <c r="T79" s="107"/>
      <c r="U79" s="107"/>
    </row>
    <row r="80" spans="2:21" ht="13" customHeight="1" x14ac:dyDescent="0.3">
      <c r="E80" s="13"/>
      <c r="F80" s="11"/>
      <c r="G80" s="49"/>
      <c r="T80" s="107"/>
      <c r="U80" s="107"/>
    </row>
    <row r="81" spans="5:21" ht="13" customHeight="1" x14ac:dyDescent="0.3">
      <c r="E81" s="13"/>
      <c r="F81" s="11"/>
      <c r="G81" s="49"/>
      <c r="T81" s="107"/>
      <c r="U81" s="107"/>
    </row>
    <row r="82" spans="5:21" ht="13" customHeight="1" x14ac:dyDescent="0.3">
      <c r="E82" s="13"/>
      <c r="F82" s="11"/>
      <c r="G82" s="49"/>
      <c r="T82" s="107"/>
      <c r="U82" s="107"/>
    </row>
    <row r="83" spans="5:21" ht="13" customHeight="1" x14ac:dyDescent="0.3">
      <c r="E83" s="11"/>
      <c r="F83" s="11"/>
      <c r="G83" s="49"/>
      <c r="T83" s="107"/>
      <c r="U83" s="107"/>
    </row>
    <row r="84" spans="5:21" ht="13" customHeight="1" x14ac:dyDescent="0.3">
      <c r="E84" s="11"/>
      <c r="F84" s="11"/>
      <c r="G84" s="49"/>
      <c r="T84" s="107"/>
      <c r="U84" s="107"/>
    </row>
    <row r="85" spans="5:21" ht="13" customHeight="1" x14ac:dyDescent="0.3">
      <c r="E85" s="41"/>
      <c r="F85" s="41"/>
      <c r="G85" s="51"/>
      <c r="H85" s="71"/>
      <c r="I85" s="71"/>
      <c r="J85" s="71"/>
      <c r="K85" s="71"/>
      <c r="L85" s="71"/>
      <c r="M85" s="71"/>
      <c r="T85" s="107"/>
      <c r="U85" s="107"/>
    </row>
    <row r="86" spans="5:21" ht="13" customHeight="1" x14ac:dyDescent="0.3">
      <c r="E86" s="41"/>
      <c r="F86" s="41"/>
      <c r="G86" s="51"/>
      <c r="H86" s="71"/>
      <c r="I86" s="71"/>
      <c r="J86" s="71"/>
      <c r="K86" s="71"/>
      <c r="L86" s="71"/>
      <c r="M86" s="71"/>
      <c r="T86" s="107"/>
      <c r="U86" s="107"/>
    </row>
    <row r="87" spans="5:21" ht="13" customHeight="1" x14ac:dyDescent="0.3">
      <c r="E87" s="41"/>
      <c r="F87" s="41"/>
      <c r="G87" s="51"/>
      <c r="H87" s="71"/>
      <c r="I87" s="71"/>
      <c r="J87" s="71"/>
      <c r="K87" s="71"/>
      <c r="L87" s="71"/>
      <c r="M87" s="71"/>
      <c r="T87" s="107"/>
      <c r="U87" s="107"/>
    </row>
    <row r="88" spans="5:21" ht="13" customHeight="1" x14ac:dyDescent="0.3">
      <c r="E88" s="42"/>
      <c r="F88" s="42"/>
      <c r="G88" s="52"/>
      <c r="H88" s="113"/>
      <c r="I88" s="113"/>
      <c r="J88" s="113"/>
      <c r="K88" s="113"/>
      <c r="L88" s="113"/>
      <c r="M88" s="113"/>
    </row>
    <row r="89" spans="5:21" ht="13" customHeight="1" x14ac:dyDescent="0.3">
      <c r="E89" s="42"/>
      <c r="F89" s="42"/>
      <c r="G89" s="52"/>
      <c r="H89" s="114"/>
      <c r="I89" s="114"/>
      <c r="J89" s="114"/>
      <c r="K89" s="114"/>
      <c r="L89" s="114"/>
      <c r="M89" s="114"/>
    </row>
    <row r="90" spans="5:21" ht="13" customHeight="1" x14ac:dyDescent="0.3">
      <c r="E90" s="43"/>
      <c r="F90" s="43"/>
      <c r="G90" s="53"/>
    </row>
    <row r="92" spans="5:21" ht="13" customHeight="1" x14ac:dyDescent="0.3">
      <c r="H92" s="115"/>
      <c r="I92" s="115"/>
      <c r="J92" s="115"/>
      <c r="K92" s="115"/>
      <c r="L92" s="115"/>
      <c r="M92" s="115"/>
    </row>
    <row r="93" spans="5:21" ht="13" customHeight="1" x14ac:dyDescent="0.3">
      <c r="H93" s="115"/>
      <c r="I93" s="115"/>
      <c r="J93" s="115"/>
      <c r="K93" s="115"/>
      <c r="L93" s="115"/>
      <c r="M93" s="115"/>
    </row>
    <row r="94" spans="5:21" ht="13" customHeight="1" x14ac:dyDescent="0.3">
      <c r="E94" s="40"/>
      <c r="F94" s="40"/>
      <c r="G94" s="48"/>
      <c r="H94" s="115"/>
      <c r="I94" s="115"/>
      <c r="J94" s="115"/>
      <c r="K94" s="115"/>
      <c r="L94" s="115"/>
      <c r="M94" s="115"/>
    </row>
    <row r="95" spans="5:21" ht="13" customHeight="1" x14ac:dyDescent="0.3">
      <c r="E95" s="40"/>
      <c r="F95" s="40"/>
      <c r="G95" s="48"/>
      <c r="H95" s="115"/>
      <c r="I95" s="115"/>
      <c r="J95" s="115"/>
      <c r="K95" s="115"/>
      <c r="L95" s="115"/>
      <c r="M95" s="115"/>
    </row>
    <row r="96" spans="5:21" ht="13" customHeight="1" x14ac:dyDescent="0.3">
      <c r="E96" s="13"/>
      <c r="F96" s="11"/>
      <c r="G96" s="49"/>
      <c r="H96" s="71"/>
      <c r="I96" s="71"/>
      <c r="J96" s="71"/>
      <c r="K96" s="71"/>
      <c r="L96" s="71"/>
      <c r="M96" s="71"/>
      <c r="T96" s="119"/>
      <c r="U96" s="119"/>
    </row>
    <row r="97" spans="5:21" ht="13" customHeight="1" x14ac:dyDescent="0.3">
      <c r="E97" s="39"/>
      <c r="F97" s="39"/>
      <c r="G97" s="46"/>
      <c r="H97" s="71"/>
      <c r="I97" s="71"/>
      <c r="J97" s="71"/>
      <c r="K97" s="71"/>
      <c r="L97" s="71"/>
      <c r="M97" s="71"/>
      <c r="T97" s="119"/>
      <c r="U97" s="119"/>
    </row>
    <row r="98" spans="5:21" ht="13" customHeight="1" x14ac:dyDescent="0.3">
      <c r="E98" s="13"/>
      <c r="F98" s="11"/>
      <c r="H98" s="71"/>
      <c r="I98" s="71"/>
      <c r="J98" s="71"/>
      <c r="K98" s="71"/>
      <c r="L98" s="71"/>
      <c r="M98" s="71"/>
    </row>
    <row r="99" spans="5:21" ht="13" customHeight="1" x14ac:dyDescent="0.3">
      <c r="E99" s="13"/>
      <c r="F99" s="11"/>
      <c r="H99" s="113"/>
      <c r="I99" s="113"/>
      <c r="J99" s="113"/>
      <c r="K99" s="113"/>
      <c r="L99" s="113"/>
      <c r="M99" s="113"/>
      <c r="T99" s="107"/>
      <c r="U99" s="107"/>
    </row>
    <row r="100" spans="5:21" ht="13" customHeight="1" x14ac:dyDescent="0.3">
      <c r="E100" s="13"/>
      <c r="F100" s="11"/>
      <c r="H100" s="113"/>
      <c r="I100" s="113"/>
      <c r="J100" s="113"/>
      <c r="K100" s="113"/>
      <c r="L100" s="113"/>
      <c r="M100" s="113"/>
      <c r="T100" s="107"/>
      <c r="U100" s="107"/>
    </row>
    <row r="101" spans="5:21" ht="13" customHeight="1" x14ac:dyDescent="0.3">
      <c r="E101" s="13"/>
      <c r="F101" s="11"/>
      <c r="T101" s="107"/>
      <c r="U101" s="107"/>
    </row>
    <row r="102" spans="5:21" ht="13" customHeight="1" x14ac:dyDescent="0.3">
      <c r="E102" s="44"/>
      <c r="F102" s="44"/>
      <c r="T102" s="107"/>
      <c r="U102" s="107"/>
    </row>
    <row r="103" spans="5:21" ht="13" customHeight="1" x14ac:dyDescent="0.3">
      <c r="E103" s="44"/>
      <c r="F103" s="44"/>
      <c r="T103" s="107"/>
      <c r="U103" s="107"/>
    </row>
    <row r="104" spans="5:21" ht="13" customHeight="1" x14ac:dyDescent="0.3">
      <c r="E104" s="44"/>
      <c r="F104" s="44"/>
      <c r="H104" s="115"/>
      <c r="I104" s="115"/>
      <c r="J104" s="115"/>
      <c r="K104" s="115"/>
      <c r="L104" s="115"/>
      <c r="M104" s="115"/>
      <c r="T104" s="107"/>
      <c r="U104" s="107"/>
    </row>
    <row r="105" spans="5:21" ht="13" customHeight="1" x14ac:dyDescent="0.3">
      <c r="H105" s="115"/>
      <c r="I105" s="115"/>
      <c r="J105" s="115"/>
      <c r="K105" s="115"/>
      <c r="L105" s="115"/>
      <c r="M105" s="115"/>
      <c r="T105" s="107"/>
      <c r="U105" s="107"/>
    </row>
    <row r="106" spans="5:21" ht="13" customHeight="1" x14ac:dyDescent="0.3">
      <c r="H106" s="115"/>
      <c r="I106" s="115"/>
      <c r="J106" s="115"/>
      <c r="K106" s="115"/>
      <c r="L106" s="115"/>
      <c r="M106" s="115"/>
      <c r="T106" s="107"/>
      <c r="U106" s="107"/>
    </row>
    <row r="107" spans="5:21" ht="13" customHeight="1" x14ac:dyDescent="0.3">
      <c r="H107" s="115"/>
      <c r="I107" s="115"/>
      <c r="J107" s="115"/>
      <c r="K107" s="115"/>
      <c r="L107" s="115"/>
      <c r="M107" s="115"/>
      <c r="T107" s="119"/>
      <c r="U107" s="119"/>
    </row>
    <row r="108" spans="5:21" ht="13" customHeight="1" x14ac:dyDescent="0.3">
      <c r="H108" s="115"/>
      <c r="I108" s="115"/>
      <c r="J108" s="115"/>
      <c r="K108" s="115"/>
      <c r="L108" s="115"/>
      <c r="M108" s="115"/>
      <c r="T108" s="119"/>
      <c r="U108" s="119"/>
    </row>
    <row r="109" spans="5:21" ht="13" customHeight="1" x14ac:dyDescent="0.3">
      <c r="H109" s="115"/>
      <c r="I109" s="115"/>
      <c r="J109" s="115"/>
      <c r="K109" s="115"/>
      <c r="L109" s="115"/>
      <c r="M109" s="115"/>
    </row>
    <row r="110" spans="5:21" ht="13" customHeight="1" x14ac:dyDescent="0.3">
      <c r="H110" s="115"/>
      <c r="I110" s="115"/>
      <c r="J110" s="115"/>
      <c r="K110" s="115"/>
      <c r="L110" s="115"/>
      <c r="M110" s="115"/>
    </row>
    <row r="111" spans="5:21" ht="13" customHeight="1" x14ac:dyDescent="0.3">
      <c r="H111" s="115"/>
      <c r="I111" s="115"/>
      <c r="J111" s="115"/>
      <c r="K111" s="115"/>
      <c r="L111" s="115"/>
      <c r="M111" s="115"/>
    </row>
    <row r="112" spans="5:21" ht="13" customHeight="1" x14ac:dyDescent="0.3">
      <c r="H112" s="115"/>
      <c r="I112" s="115"/>
      <c r="J112" s="115"/>
      <c r="K112" s="115"/>
      <c r="L112" s="115"/>
      <c r="M112" s="115"/>
      <c r="T112" s="107"/>
      <c r="U112" s="107"/>
    </row>
    <row r="113" spans="7:21" ht="13" customHeight="1" x14ac:dyDescent="0.3">
      <c r="H113" s="115"/>
      <c r="I113" s="115"/>
      <c r="J113" s="115"/>
      <c r="K113" s="115"/>
      <c r="L113" s="115"/>
      <c r="M113" s="115"/>
      <c r="T113" s="107"/>
      <c r="U113" s="107"/>
    </row>
    <row r="114" spans="7:21" ht="13" customHeight="1" x14ac:dyDescent="0.3">
      <c r="H114" s="115"/>
      <c r="I114" s="115"/>
      <c r="J114" s="115"/>
      <c r="K114" s="115"/>
      <c r="L114" s="115"/>
      <c r="M114" s="115"/>
      <c r="T114" s="107"/>
      <c r="U114" s="107"/>
    </row>
    <row r="115" spans="7:21" ht="13" customHeight="1" x14ac:dyDescent="0.3">
      <c r="H115" s="115"/>
      <c r="I115" s="115"/>
      <c r="J115" s="115"/>
      <c r="K115" s="115"/>
      <c r="L115" s="115"/>
      <c r="M115" s="115"/>
      <c r="T115" s="107"/>
      <c r="U115" s="107"/>
    </row>
    <row r="116" spans="7:21" ht="13" customHeight="1" x14ac:dyDescent="0.3">
      <c r="H116" s="115"/>
      <c r="I116" s="115"/>
      <c r="J116" s="115"/>
      <c r="K116" s="115"/>
      <c r="L116" s="115"/>
      <c r="M116" s="115"/>
      <c r="T116" s="107"/>
      <c r="U116" s="107"/>
    </row>
    <row r="117" spans="7:21" ht="13" customHeight="1" x14ac:dyDescent="0.3">
      <c r="H117" s="115"/>
      <c r="I117" s="115"/>
      <c r="J117" s="115"/>
      <c r="K117" s="115"/>
      <c r="L117" s="115"/>
      <c r="M117" s="115"/>
      <c r="T117" s="107"/>
      <c r="U117" s="107"/>
    </row>
    <row r="118" spans="7:21" ht="13" customHeight="1" x14ac:dyDescent="0.3">
      <c r="H118" s="115"/>
      <c r="I118" s="115"/>
      <c r="J118" s="115"/>
      <c r="K118" s="115"/>
      <c r="L118" s="115"/>
      <c r="M118" s="115"/>
      <c r="T118" s="107"/>
      <c r="U118" s="107"/>
    </row>
    <row r="119" spans="7:21" ht="13" customHeight="1" x14ac:dyDescent="0.3">
      <c r="H119" s="115"/>
      <c r="I119" s="115"/>
      <c r="J119" s="115"/>
      <c r="K119" s="115"/>
      <c r="L119" s="115"/>
      <c r="M119" s="115"/>
      <c r="T119" s="107"/>
      <c r="U119" s="107"/>
    </row>
    <row r="120" spans="7:21" ht="13" customHeight="1" x14ac:dyDescent="0.3">
      <c r="G120" s="49"/>
      <c r="H120" s="115"/>
      <c r="I120" s="115"/>
      <c r="J120" s="115"/>
      <c r="K120" s="115"/>
      <c r="L120" s="115"/>
      <c r="M120" s="115"/>
      <c r="T120" s="107"/>
      <c r="U120" s="107"/>
    </row>
    <row r="121" spans="7:21" ht="13" customHeight="1" x14ac:dyDescent="0.3">
      <c r="G121" s="49"/>
      <c r="H121" s="115"/>
      <c r="I121" s="115"/>
      <c r="J121" s="115"/>
      <c r="K121" s="115"/>
      <c r="L121" s="115"/>
      <c r="M121" s="115"/>
      <c r="T121" s="107"/>
      <c r="U121" s="107"/>
    </row>
    <row r="122" spans="7:21" ht="13" customHeight="1" x14ac:dyDescent="0.3">
      <c r="G122" s="49"/>
      <c r="T122" s="107"/>
      <c r="U122" s="107"/>
    </row>
    <row r="123" spans="7:21" ht="13" customHeight="1" x14ac:dyDescent="0.3">
      <c r="G123" s="49"/>
      <c r="T123" s="107"/>
      <c r="U123" s="107"/>
    </row>
    <row r="124" spans="7:21" ht="13" customHeight="1" x14ac:dyDescent="0.3">
      <c r="G124" s="49"/>
      <c r="T124" s="107"/>
      <c r="U124" s="107"/>
    </row>
    <row r="125" spans="7:21" ht="13" customHeight="1" x14ac:dyDescent="0.3">
      <c r="G125" s="49"/>
      <c r="T125" s="107"/>
      <c r="U125" s="107"/>
    </row>
    <row r="126" spans="7:21" ht="13" customHeight="1" x14ac:dyDescent="0.3">
      <c r="G126" s="49"/>
      <c r="T126" s="107"/>
      <c r="U126" s="107"/>
    </row>
    <row r="127" spans="7:21" ht="13" customHeight="1" x14ac:dyDescent="0.3">
      <c r="T127" s="107"/>
      <c r="U127" s="107"/>
    </row>
    <row r="128" spans="7:21" ht="13" customHeight="1" x14ac:dyDescent="0.3">
      <c r="H128" s="113"/>
      <c r="I128" s="113"/>
      <c r="J128" s="113"/>
      <c r="K128" s="113"/>
      <c r="L128" s="113"/>
      <c r="M128" s="113"/>
      <c r="T128" s="107"/>
      <c r="U128" s="107"/>
    </row>
    <row r="129" spans="7:21" ht="13" customHeight="1" x14ac:dyDescent="0.3">
      <c r="H129" s="113"/>
      <c r="I129" s="113"/>
      <c r="J129" s="113"/>
      <c r="K129" s="113"/>
      <c r="L129" s="113"/>
      <c r="M129" s="113"/>
      <c r="T129" s="107"/>
      <c r="U129" s="107"/>
    </row>
    <row r="131" spans="7:21" ht="13" customHeight="1" x14ac:dyDescent="0.3">
      <c r="H131" s="7"/>
      <c r="I131" s="7"/>
      <c r="J131" s="7"/>
      <c r="K131" s="7"/>
      <c r="L131" s="7"/>
      <c r="M131" s="7"/>
    </row>
    <row r="132" spans="7:21" ht="13" customHeight="1" x14ac:dyDescent="0.3">
      <c r="G132" s="48"/>
    </row>
    <row r="133" spans="7:21" ht="13" customHeight="1" x14ac:dyDescent="0.3">
      <c r="G133" s="48"/>
    </row>
    <row r="134" spans="7:21" ht="13" customHeight="1" x14ac:dyDescent="0.3">
      <c r="G134" s="49"/>
    </row>
    <row r="135" spans="7:21" ht="13" customHeight="1" x14ac:dyDescent="0.3">
      <c r="G135" s="46"/>
    </row>
    <row r="136" spans="7:21" ht="13" customHeight="1" x14ac:dyDescent="0.3">
      <c r="G136" s="49"/>
      <c r="T136" s="119"/>
      <c r="U136" s="119"/>
    </row>
    <row r="137" spans="7:21" ht="13" customHeight="1" x14ac:dyDescent="0.3">
      <c r="G137" s="49"/>
      <c r="T137" s="119"/>
      <c r="U137" s="119"/>
    </row>
    <row r="138" spans="7:21" ht="13" customHeight="1" x14ac:dyDescent="0.3">
      <c r="G138" s="49"/>
    </row>
    <row r="139" spans="7:21" ht="13" customHeight="1" x14ac:dyDescent="0.3">
      <c r="G139" s="49"/>
    </row>
    <row r="140" spans="7:21" ht="13" customHeight="1" x14ac:dyDescent="0.3">
      <c r="G140" s="54"/>
    </row>
    <row r="141" spans="7:21" ht="13" customHeight="1" x14ac:dyDescent="0.3">
      <c r="G141" s="54"/>
      <c r="T141" s="140"/>
      <c r="U141" s="140"/>
    </row>
    <row r="142" spans="7:21" ht="13" customHeight="1" x14ac:dyDescent="0.3">
      <c r="G142" s="54"/>
      <c r="T142" s="140"/>
      <c r="U142" s="140"/>
    </row>
    <row r="143" spans="7:21" ht="13" customHeight="1" x14ac:dyDescent="0.3">
      <c r="T143" s="140"/>
      <c r="U143" s="140"/>
    </row>
    <row r="144" spans="7:21" ht="13" customHeight="1" x14ac:dyDescent="0.3">
      <c r="T144" s="140"/>
      <c r="U144" s="140"/>
    </row>
    <row r="145" spans="8:21" ht="13" customHeight="1" x14ac:dyDescent="0.3">
      <c r="T145" s="140"/>
      <c r="U145" s="140"/>
    </row>
    <row r="146" spans="8:21" ht="13" customHeight="1" x14ac:dyDescent="0.3">
      <c r="T146" s="140"/>
      <c r="U146" s="140"/>
    </row>
    <row r="147" spans="8:21" ht="13" customHeight="1" x14ac:dyDescent="0.3">
      <c r="T147" s="140"/>
      <c r="U147" s="140"/>
    </row>
    <row r="148" spans="8:21" ht="13" customHeight="1" x14ac:dyDescent="0.3">
      <c r="T148" s="140"/>
      <c r="U148" s="140"/>
    </row>
    <row r="150" spans="8:21" ht="13" customHeight="1" x14ac:dyDescent="0.3">
      <c r="H150" s="113"/>
      <c r="I150" s="113"/>
      <c r="J150" s="113"/>
      <c r="K150" s="113"/>
      <c r="L150" s="113"/>
      <c r="M150" s="113"/>
    </row>
    <row r="151" spans="8:21" ht="13" customHeight="1" x14ac:dyDescent="0.3">
      <c r="H151" s="114"/>
      <c r="I151" s="114"/>
      <c r="J151" s="114"/>
      <c r="K151" s="114"/>
      <c r="L151" s="114"/>
      <c r="M151" s="114"/>
    </row>
    <row r="154" spans="8:21" ht="13" customHeight="1" x14ac:dyDescent="0.3">
      <c r="H154" s="115"/>
      <c r="I154" s="115"/>
      <c r="J154" s="115"/>
      <c r="K154" s="115"/>
      <c r="L154" s="115"/>
      <c r="M154" s="115"/>
    </row>
    <row r="155" spans="8:21" ht="13" customHeight="1" x14ac:dyDescent="0.3">
      <c r="H155" s="115"/>
      <c r="I155" s="115"/>
      <c r="J155" s="115"/>
      <c r="K155" s="115"/>
      <c r="L155" s="115"/>
      <c r="M155" s="115"/>
    </row>
    <row r="156" spans="8:21" ht="13" customHeight="1" x14ac:dyDescent="0.3">
      <c r="H156" s="115"/>
      <c r="I156" s="115"/>
      <c r="J156" s="115"/>
      <c r="K156" s="115"/>
      <c r="L156" s="115"/>
      <c r="M156" s="115"/>
    </row>
  </sheetData>
  <sheetProtection algorithmName="SHA-512" hashValue="CgHxiweQgvdKO14hD7IXfM7ajYqUrwmhzFbEmk9ieMFybduuIoalM75QEeOApQEgROWTN3tjKC7Q9TVTntpNww==" saltValue="+eg0dd2csN2hG0SZR6MrNw==" spinCount="100000" sheet="1" objects="1" scenarios="1"/>
  <mergeCells count="7">
    <mergeCell ref="D2:E2"/>
    <mergeCell ref="B29:C30"/>
    <mergeCell ref="B62:C63"/>
    <mergeCell ref="B43:C44"/>
    <mergeCell ref="B2:C2"/>
    <mergeCell ref="B3:C3"/>
    <mergeCell ref="B13:C14"/>
  </mergeCells>
  <conditionalFormatting sqref="H6:CA16 H23:CA32 V17:CA22 H38:CA45 V33:CA37 H56:CA66 V46:CA55 H74:CA10000 V67:CA73">
    <cfRule type="expression" dxfId="9" priority="6">
      <formula>AND($D6&lt;&gt;"",H$13&lt;&gt;"",H6="")</formula>
    </cfRule>
  </conditionalFormatting>
  <conditionalFormatting sqref="H1:CA16 H23:CA32 V17:CA22 H38:CA45 V33:CA37 H56:CA66 V46:CA55 H74:CA1048576 V67:CA73">
    <cfRule type="expression" dxfId="8" priority="7">
      <formula>AND($A1="",ABS(H1)=0)</formula>
    </cfRule>
    <cfRule type="expression" dxfId="7" priority="8">
      <formula>AND($A1="",ABS(H1)&lt;10)</formula>
    </cfRule>
    <cfRule type="expression" dxfId="6" priority="9">
      <formula>AND($A1="",ABS(H1)&lt;100)</formula>
    </cfRule>
    <cfRule type="expression" dxfId="5" priority="10">
      <formula>AND($A1="",ABS(H1)&gt;=100)</formula>
    </cfRule>
  </conditionalFormatting>
  <conditionalFormatting sqref="B1:D1048576">
    <cfRule type="expression" dxfId="4" priority="5">
      <formula>AND(B1&lt;&gt;"",NOT(_xlfn.ISFORMULA(B1)))</formula>
    </cfRule>
  </conditionalFormatting>
  <conditionalFormatting sqref="H17:U22">
    <cfRule type="expression" dxfId="3" priority="4">
      <formula>AND($A1048572="",ABS(XEY1048572)&lt;100)</formula>
    </cfRule>
  </conditionalFormatting>
  <conditionalFormatting sqref="H33:U37">
    <cfRule type="expression" dxfId="2" priority="3">
      <formula>AND($A1048572="",ABS(XEY1048572)&lt;100)</formula>
    </cfRule>
  </conditionalFormatting>
  <conditionalFormatting sqref="H46:U55">
    <cfRule type="expression" dxfId="1" priority="2">
      <formula>AND($A1048572="",ABS(XEY1048572)&lt;100)</formula>
    </cfRule>
  </conditionalFormatting>
  <conditionalFormatting sqref="H67:U73">
    <cfRule type="expression" dxfId="0" priority="1">
      <formula>AND($A1048572="",ABS(XEY1048572)&lt;100)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3" location="GRI_405" display="Ó"/>
    <hyperlink ref="D2" location="Home" display="Home"/>
    <hyperlink ref="A29" location="GRI_405" display="Ó"/>
    <hyperlink ref="A62" location="GRI_405" display="Ó"/>
    <hyperlink ref="A43" location="GRI_405" display="Ó"/>
    <hyperlink ref="C7" location="GRI_405_1" display="GRI_405_1"/>
    <hyperlink ref="C8" location="GRI_405_1b" display="GRI_405_1b"/>
    <hyperlink ref="C9" location="GRI_405_1c" display="GRI_405_1c"/>
    <hyperlink ref="C10" location="GRI_405_1d" display="GRI_405_1d"/>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5"/>
  <sheetViews>
    <sheetView workbookViewId="0"/>
  </sheetViews>
  <sheetFormatPr baseColWidth="10" defaultRowHeight="13" x14ac:dyDescent="0.3"/>
  <cols>
    <col min="2" max="2" width="11.81640625" customWidth="1"/>
    <col min="4" max="4" width="18.54296875" customWidth="1"/>
  </cols>
  <sheetData>
    <row r="1" spans="1:4" x14ac:dyDescent="0.3">
      <c r="A1" t="s">
        <v>85</v>
      </c>
      <c r="B1" t="s">
        <v>86</v>
      </c>
      <c r="D1" t="s">
        <v>91</v>
      </c>
    </row>
    <row r="2" spans="1:4" x14ac:dyDescent="0.3">
      <c r="A2" t="s">
        <v>87</v>
      </c>
      <c r="B2">
        <v>2</v>
      </c>
      <c r="D2">
        <f>VLOOKUP('Table des matières'!$F$2,Sprachen[],2,FALSE)</f>
        <v>3</v>
      </c>
    </row>
    <row r="3" spans="1:4" x14ac:dyDescent="0.3">
      <c r="A3" t="s">
        <v>88</v>
      </c>
      <c r="B3">
        <v>3</v>
      </c>
    </row>
    <row r="4" spans="1:4" x14ac:dyDescent="0.3">
      <c r="A4" t="s">
        <v>89</v>
      </c>
      <c r="B4">
        <v>4</v>
      </c>
    </row>
    <row r="5" spans="1:4" x14ac:dyDescent="0.3">
      <c r="A5" t="s">
        <v>90</v>
      </c>
      <c r="B5">
        <v>5</v>
      </c>
    </row>
  </sheetData>
  <sheetProtection algorithmName="SHA-512" hashValue="0nEa8b4TUlvcwYZUN0y4MkT4GFzJ7ZRdUc9wYdgwZSon5XRIu8wUBoAtzgHaH3rsg+yHwKXBkbrtw2lnfUOxdg==" saltValue="taC0M6Rp9bJJERm09g6SsA==" spinCount="100000" sheet="1" objects="1" scenarios="1"/>
  <dataValidations count="1">
    <dataValidation allowBlank="1" showInputMessage="1" showErrorMessage="1" sqref="F2"/>
  </dataValidations>
  <pageMargins left="0.7" right="0.7" top="0.78740157499999996" bottom="0.78740157499999996"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S316"/>
  <sheetViews>
    <sheetView topLeftCell="AH49" workbookViewId="0">
      <selection activeCell="AM88" sqref="AM88"/>
    </sheetView>
  </sheetViews>
  <sheetFormatPr baseColWidth="10" defaultRowHeight="13" x14ac:dyDescent="0.3"/>
  <cols>
    <col min="2" max="5" width="31.7265625" customWidth="1"/>
    <col min="8" max="11" width="27.81640625" customWidth="1"/>
    <col min="20" max="20" width="31.81640625" customWidth="1"/>
    <col min="21" max="21" width="39.26953125" customWidth="1"/>
    <col min="22" max="22" width="27.453125" customWidth="1"/>
    <col min="23" max="23" width="31.7265625" customWidth="1"/>
    <col min="38" max="38" width="64.7265625" customWidth="1"/>
    <col min="39" max="39" width="72.453125" customWidth="1"/>
    <col min="40" max="40" width="52" customWidth="1"/>
    <col min="41" max="41" width="59.81640625" customWidth="1"/>
  </cols>
  <sheetData>
    <row r="1" spans="1:71" x14ac:dyDescent="0.3">
      <c r="A1" t="s">
        <v>92</v>
      </c>
      <c r="B1" t="s">
        <v>87</v>
      </c>
      <c r="C1" t="s">
        <v>88</v>
      </c>
      <c r="D1" t="s">
        <v>89</v>
      </c>
      <c r="E1" t="s">
        <v>90</v>
      </c>
      <c r="G1" t="s">
        <v>92</v>
      </c>
      <c r="H1" t="s">
        <v>87</v>
      </c>
      <c r="I1" t="s">
        <v>88</v>
      </c>
      <c r="J1" t="s">
        <v>89</v>
      </c>
      <c r="K1" t="s">
        <v>90</v>
      </c>
      <c r="M1" t="s">
        <v>92</v>
      </c>
      <c r="N1" t="s">
        <v>87</v>
      </c>
      <c r="O1" t="s">
        <v>88</v>
      </c>
      <c r="P1" t="s">
        <v>89</v>
      </c>
      <c r="Q1" t="s">
        <v>90</v>
      </c>
      <c r="S1" t="s">
        <v>92</v>
      </c>
      <c r="T1" t="s">
        <v>87</v>
      </c>
      <c r="U1" t="s">
        <v>88</v>
      </c>
      <c r="V1" t="s">
        <v>89</v>
      </c>
      <c r="W1" t="s">
        <v>90</v>
      </c>
      <c r="Y1" t="s">
        <v>92</v>
      </c>
      <c r="Z1" t="s">
        <v>87</v>
      </c>
      <c r="AA1" t="s">
        <v>88</v>
      </c>
      <c r="AB1" t="s">
        <v>89</v>
      </c>
      <c r="AC1" t="s">
        <v>90</v>
      </c>
      <c r="AE1" t="s">
        <v>92</v>
      </c>
      <c r="AF1" t="s">
        <v>87</v>
      </c>
      <c r="AG1" t="s">
        <v>88</v>
      </c>
      <c r="AH1" t="s">
        <v>89</v>
      </c>
      <c r="AI1" t="s">
        <v>90</v>
      </c>
      <c r="AK1" t="s">
        <v>92</v>
      </c>
      <c r="AL1" t="s">
        <v>87</v>
      </c>
      <c r="AM1" t="s">
        <v>88</v>
      </c>
      <c r="AN1" t="s">
        <v>89</v>
      </c>
      <c r="AO1" t="s">
        <v>90</v>
      </c>
      <c r="AQ1" t="s">
        <v>92</v>
      </c>
      <c r="AR1" t="s">
        <v>87</v>
      </c>
      <c r="AS1" t="s">
        <v>88</v>
      </c>
      <c r="AT1" t="s">
        <v>89</v>
      </c>
      <c r="AU1" t="s">
        <v>90</v>
      </c>
      <c r="AW1" t="s">
        <v>92</v>
      </c>
      <c r="AX1" t="s">
        <v>87</v>
      </c>
      <c r="AY1" t="s">
        <v>88</v>
      </c>
      <c r="AZ1" t="s">
        <v>89</v>
      </c>
      <c r="BA1" t="s">
        <v>90</v>
      </c>
      <c r="BC1" t="s">
        <v>92</v>
      </c>
      <c r="BD1" t="s">
        <v>87</v>
      </c>
      <c r="BE1" t="s">
        <v>88</v>
      </c>
      <c r="BF1" t="s">
        <v>89</v>
      </c>
      <c r="BG1" t="s">
        <v>90</v>
      </c>
      <c r="BI1" t="s">
        <v>92</v>
      </c>
      <c r="BJ1" t="s">
        <v>87</v>
      </c>
      <c r="BK1" t="s">
        <v>88</v>
      </c>
      <c r="BL1" t="s">
        <v>89</v>
      </c>
      <c r="BM1" t="s">
        <v>90</v>
      </c>
      <c r="BO1" t="s">
        <v>92</v>
      </c>
      <c r="BP1" t="s">
        <v>87</v>
      </c>
      <c r="BQ1" t="s">
        <v>88</v>
      </c>
      <c r="BR1" t="s">
        <v>89</v>
      </c>
      <c r="BS1" t="s">
        <v>90</v>
      </c>
    </row>
    <row r="2" spans="1:71" x14ac:dyDescent="0.3">
      <c r="A2">
        <f t="shared" ref="A2:A8" si="0">ROW()-1</f>
        <v>1</v>
      </c>
      <c r="B2" t="s">
        <v>2382</v>
      </c>
      <c r="C2" t="s">
        <v>2383</v>
      </c>
      <c r="D2" t="s">
        <v>2384</v>
      </c>
      <c r="E2" t="s">
        <v>2385</v>
      </c>
      <c r="G2">
        <f>ROW()-1</f>
        <v>1</v>
      </c>
      <c r="H2" t="s">
        <v>191</v>
      </c>
      <c r="I2" t="s">
        <v>193</v>
      </c>
      <c r="J2" t="s">
        <v>196</v>
      </c>
      <c r="K2" t="s">
        <v>69</v>
      </c>
      <c r="M2">
        <f>ROW()-1</f>
        <v>1</v>
      </c>
      <c r="N2" t="s">
        <v>1528</v>
      </c>
      <c r="O2" t="s">
        <v>1816</v>
      </c>
      <c r="P2" t="s">
        <v>1817</v>
      </c>
      <c r="Q2" t="s">
        <v>1818</v>
      </c>
      <c r="S2">
        <f>ROW()-1</f>
        <v>1</v>
      </c>
      <c r="T2" t="s">
        <v>282</v>
      </c>
      <c r="U2" t="s">
        <v>283</v>
      </c>
      <c r="V2" t="s">
        <v>284</v>
      </c>
      <c r="W2" t="s">
        <v>285</v>
      </c>
      <c r="Y2">
        <f>ROW()-1</f>
        <v>1</v>
      </c>
      <c r="Z2" t="s">
        <v>390</v>
      </c>
      <c r="AA2" t="s">
        <v>391</v>
      </c>
      <c r="AB2" t="s">
        <v>392</v>
      </c>
      <c r="AC2" t="s">
        <v>393</v>
      </c>
      <c r="AE2">
        <f>ROW()-1</f>
        <v>1</v>
      </c>
      <c r="AF2" t="s">
        <v>411</v>
      </c>
      <c r="AG2" t="s">
        <v>412</v>
      </c>
      <c r="AH2" t="s">
        <v>420</v>
      </c>
      <c r="AI2" t="s">
        <v>427</v>
      </c>
      <c r="AK2">
        <f>ROW()-1</f>
        <v>1</v>
      </c>
      <c r="AL2" t="s">
        <v>465</v>
      </c>
      <c r="AM2" t="s">
        <v>2191</v>
      </c>
      <c r="AN2" t="s">
        <v>466</v>
      </c>
      <c r="AO2" t="s">
        <v>467</v>
      </c>
      <c r="AQ2">
        <f>ROW()-1</f>
        <v>1</v>
      </c>
      <c r="AR2" t="s">
        <v>544</v>
      </c>
      <c r="AS2" t="s">
        <v>540</v>
      </c>
      <c r="AT2" t="s">
        <v>536</v>
      </c>
      <c r="AU2" t="s">
        <v>548</v>
      </c>
      <c r="AW2">
        <f>ROW()-1</f>
        <v>1</v>
      </c>
      <c r="AX2" t="s">
        <v>1094</v>
      </c>
      <c r="AY2" t="s">
        <v>1100</v>
      </c>
      <c r="AZ2" t="s">
        <v>1114</v>
      </c>
      <c r="BA2" t="s">
        <v>1133</v>
      </c>
      <c r="BC2">
        <f>ROW()-1</f>
        <v>1</v>
      </c>
      <c r="BD2" t="s">
        <v>821</v>
      </c>
      <c r="BE2" t="s">
        <v>1151</v>
      </c>
      <c r="BF2" t="s">
        <v>1209</v>
      </c>
      <c r="BG2" t="s">
        <v>1178</v>
      </c>
      <c r="BI2">
        <f>ROW()-1</f>
        <v>1</v>
      </c>
      <c r="BJ2" t="s">
        <v>1405</v>
      </c>
      <c r="BK2" t="s">
        <v>1748</v>
      </c>
      <c r="BL2" t="s">
        <v>1765</v>
      </c>
      <c r="BM2" t="s">
        <v>1802</v>
      </c>
      <c r="BO2">
        <f>ROW()-1</f>
        <v>1</v>
      </c>
      <c r="BP2" t="s">
        <v>874</v>
      </c>
      <c r="BQ2" t="s">
        <v>1303</v>
      </c>
      <c r="BR2" t="s">
        <v>1304</v>
      </c>
      <c r="BS2" t="s">
        <v>1299</v>
      </c>
    </row>
    <row r="3" spans="1:71" x14ac:dyDescent="0.3">
      <c r="A3">
        <f t="shared" si="0"/>
        <v>2</v>
      </c>
      <c r="B3" t="s">
        <v>93</v>
      </c>
      <c r="C3" t="s">
        <v>95</v>
      </c>
      <c r="D3" t="s">
        <v>96</v>
      </c>
      <c r="E3" t="s">
        <v>94</v>
      </c>
      <c r="G3">
        <f>ROW()-1</f>
        <v>2</v>
      </c>
      <c r="H3" t="s">
        <v>192</v>
      </c>
      <c r="I3" t="s">
        <v>194</v>
      </c>
      <c r="J3" t="s">
        <v>197</v>
      </c>
      <c r="K3" t="s">
        <v>70</v>
      </c>
      <c r="M3">
        <f t="shared" ref="M3:M66" si="1">ROW()-1</f>
        <v>2</v>
      </c>
      <c r="N3" t="s">
        <v>1435</v>
      </c>
      <c r="O3" t="s">
        <v>1867</v>
      </c>
      <c r="P3" t="s">
        <v>1857</v>
      </c>
      <c r="Q3" t="s">
        <v>1862</v>
      </c>
      <c r="S3">
        <f t="shared" ref="S3:S66" si="2">ROW()-1</f>
        <v>2</v>
      </c>
      <c r="T3" t="s">
        <v>382</v>
      </c>
      <c r="U3" t="s">
        <v>383</v>
      </c>
      <c r="V3" t="s">
        <v>384</v>
      </c>
      <c r="W3" t="s">
        <v>385</v>
      </c>
      <c r="Y3">
        <f t="shared" ref="Y3:Y66" si="3">ROW()-1</f>
        <v>2</v>
      </c>
      <c r="AE3">
        <f t="shared" ref="AE3:AE66" si="4">ROW()-1</f>
        <v>2</v>
      </c>
      <c r="AF3" t="s">
        <v>1598</v>
      </c>
      <c r="AG3" t="s">
        <v>1599</v>
      </c>
      <c r="AH3" t="s">
        <v>1600</v>
      </c>
      <c r="AI3" t="s">
        <v>1601</v>
      </c>
      <c r="AK3">
        <f t="shared" ref="AK3:AK66" si="5">ROW()-1</f>
        <v>2</v>
      </c>
      <c r="AL3" t="s">
        <v>435</v>
      </c>
      <c r="AM3" t="s">
        <v>441</v>
      </c>
      <c r="AN3" t="s">
        <v>2192</v>
      </c>
      <c r="AO3" t="s">
        <v>459</v>
      </c>
      <c r="AQ3">
        <f t="shared" ref="AQ3:AQ66" si="6">ROW()-1</f>
        <v>2</v>
      </c>
      <c r="AR3" t="s">
        <v>545</v>
      </c>
      <c r="AS3" t="s">
        <v>541</v>
      </c>
      <c r="AT3" t="s">
        <v>537</v>
      </c>
      <c r="AU3" t="s">
        <v>549</v>
      </c>
      <c r="AW3">
        <f t="shared" ref="AW3:AW66" si="7">ROW()-1</f>
        <v>2</v>
      </c>
      <c r="AX3" t="s">
        <v>897</v>
      </c>
      <c r="AY3" t="s">
        <v>1097</v>
      </c>
      <c r="AZ3" t="s">
        <v>1098</v>
      </c>
      <c r="BA3" t="s">
        <v>1099</v>
      </c>
      <c r="BC3">
        <f t="shared" ref="BC3:BC66" si="8">ROW()-1</f>
        <v>2</v>
      </c>
      <c r="BI3">
        <f t="shared" ref="BI3:BI66" si="9">ROW()-1</f>
        <v>2</v>
      </c>
      <c r="BJ3" t="s">
        <v>1406</v>
      </c>
      <c r="BK3" t="s">
        <v>1803</v>
      </c>
      <c r="BL3" t="s">
        <v>1806</v>
      </c>
      <c r="BM3" t="s">
        <v>1809</v>
      </c>
      <c r="BO3">
        <f t="shared" ref="BO3:BO66" si="10">ROW()-1</f>
        <v>2</v>
      </c>
      <c r="BP3" t="s">
        <v>886</v>
      </c>
      <c r="BQ3" t="s">
        <v>1246</v>
      </c>
      <c r="BR3" t="s">
        <v>1275</v>
      </c>
      <c r="BS3" t="s">
        <v>1305</v>
      </c>
    </row>
    <row r="4" spans="1:71" x14ac:dyDescent="0.3">
      <c r="A4">
        <f t="shared" si="0"/>
        <v>3</v>
      </c>
      <c r="B4" t="s">
        <v>21</v>
      </c>
      <c r="C4" t="s">
        <v>2578</v>
      </c>
      <c r="D4" t="s">
        <v>99</v>
      </c>
      <c r="E4" t="s">
        <v>103</v>
      </c>
      <c r="G4">
        <f>ROW()-1</f>
        <v>3</v>
      </c>
      <c r="H4" t="s">
        <v>195</v>
      </c>
      <c r="I4" t="s">
        <v>2193</v>
      </c>
      <c r="J4" t="s">
        <v>198</v>
      </c>
      <c r="K4" t="s">
        <v>76</v>
      </c>
      <c r="M4">
        <f t="shared" si="1"/>
        <v>3</v>
      </c>
      <c r="N4" t="s">
        <v>1436</v>
      </c>
      <c r="O4" t="s">
        <v>1883</v>
      </c>
      <c r="P4" t="s">
        <v>1888</v>
      </c>
      <c r="Q4" t="s">
        <v>1874</v>
      </c>
      <c r="S4">
        <f t="shared" si="2"/>
        <v>3</v>
      </c>
      <c r="T4" t="s">
        <v>1337</v>
      </c>
      <c r="U4" t="s">
        <v>1353</v>
      </c>
      <c r="V4" t="s">
        <v>1367</v>
      </c>
      <c r="W4" t="s">
        <v>1380</v>
      </c>
      <c r="Y4">
        <f t="shared" si="3"/>
        <v>3</v>
      </c>
      <c r="AE4">
        <f t="shared" si="4"/>
        <v>3</v>
      </c>
      <c r="AF4" t="s">
        <v>1539</v>
      </c>
      <c r="AG4" t="s">
        <v>1636</v>
      </c>
      <c r="AH4" t="s">
        <v>1635</v>
      </c>
      <c r="AI4" t="s">
        <v>1637</v>
      </c>
      <c r="AK4">
        <f t="shared" si="5"/>
        <v>3</v>
      </c>
      <c r="AQ4">
        <f t="shared" si="6"/>
        <v>3</v>
      </c>
      <c r="AR4" t="s">
        <v>546</v>
      </c>
      <c r="AS4" t="s">
        <v>542</v>
      </c>
      <c r="AT4" t="s">
        <v>538</v>
      </c>
      <c r="AU4" t="s">
        <v>550</v>
      </c>
      <c r="AW4">
        <f t="shared" si="7"/>
        <v>3</v>
      </c>
      <c r="AX4" t="s">
        <v>1724</v>
      </c>
      <c r="AY4" t="s">
        <v>1726</v>
      </c>
      <c r="AZ4" t="s">
        <v>1730</v>
      </c>
      <c r="BA4" t="s">
        <v>1734</v>
      </c>
      <c r="BC4">
        <f t="shared" si="8"/>
        <v>3</v>
      </c>
      <c r="BI4">
        <f t="shared" si="9"/>
        <v>3</v>
      </c>
      <c r="BJ4" t="s">
        <v>2536</v>
      </c>
      <c r="BK4" s="334" t="s">
        <v>2618</v>
      </c>
      <c r="BL4" s="334" t="s">
        <v>2619</v>
      </c>
      <c r="BM4" s="334" t="s">
        <v>2620</v>
      </c>
      <c r="BO4">
        <f t="shared" si="10"/>
        <v>3</v>
      </c>
      <c r="BP4" t="s">
        <v>1240</v>
      </c>
      <c r="BQ4" t="s">
        <v>1252</v>
      </c>
      <c r="BR4" t="s">
        <v>1281</v>
      </c>
      <c r="BS4" t="s">
        <v>1323</v>
      </c>
    </row>
    <row r="5" spans="1:71" x14ac:dyDescent="0.3">
      <c r="A5">
        <f t="shared" si="0"/>
        <v>4</v>
      </c>
      <c r="B5" t="s">
        <v>100</v>
      </c>
      <c r="C5" t="s">
        <v>108</v>
      </c>
      <c r="D5" t="s">
        <v>109</v>
      </c>
      <c r="E5" t="s">
        <v>138</v>
      </c>
      <c r="G5">
        <f>ROW()-1</f>
        <v>4</v>
      </c>
      <c r="H5" t="s">
        <v>207</v>
      </c>
      <c r="I5" t="s">
        <v>206</v>
      </c>
      <c r="J5" t="s">
        <v>208</v>
      </c>
      <c r="K5" t="s">
        <v>205</v>
      </c>
      <c r="M5">
        <f t="shared" si="1"/>
        <v>4</v>
      </c>
      <c r="N5" t="s">
        <v>1596</v>
      </c>
      <c r="O5" s="334" t="s">
        <v>1902</v>
      </c>
      <c r="P5" s="334" t="s">
        <v>2046</v>
      </c>
      <c r="Q5" s="334" t="s">
        <v>2045</v>
      </c>
      <c r="S5">
        <f t="shared" si="2"/>
        <v>4</v>
      </c>
      <c r="Y5">
        <f t="shared" si="3"/>
        <v>4</v>
      </c>
      <c r="AE5">
        <f t="shared" si="4"/>
        <v>4</v>
      </c>
      <c r="AF5" t="s">
        <v>2389</v>
      </c>
      <c r="AG5" t="s">
        <v>2404</v>
      </c>
      <c r="AH5" t="s">
        <v>2441</v>
      </c>
      <c r="AI5" t="s">
        <v>2445</v>
      </c>
      <c r="AK5">
        <f t="shared" si="5"/>
        <v>4</v>
      </c>
      <c r="AQ5">
        <f t="shared" si="6"/>
        <v>4</v>
      </c>
      <c r="AR5" t="s">
        <v>547</v>
      </c>
      <c r="AS5" t="s">
        <v>543</v>
      </c>
      <c r="AT5" t="s">
        <v>539</v>
      </c>
      <c r="AU5" t="s">
        <v>551</v>
      </c>
      <c r="AW5">
        <f t="shared" si="7"/>
        <v>4</v>
      </c>
      <c r="BC5">
        <f t="shared" si="8"/>
        <v>4</v>
      </c>
      <c r="BI5">
        <f t="shared" si="9"/>
        <v>4</v>
      </c>
      <c r="BO5">
        <f t="shared" si="10"/>
        <v>4</v>
      </c>
      <c r="BP5" t="s">
        <v>890</v>
      </c>
      <c r="BQ5" t="s">
        <v>1255</v>
      </c>
      <c r="BR5" t="s">
        <v>2194</v>
      </c>
      <c r="BS5" t="s">
        <v>1318</v>
      </c>
    </row>
    <row r="6" spans="1:71" x14ac:dyDescent="0.3">
      <c r="A6">
        <f t="shared" si="0"/>
        <v>5</v>
      </c>
      <c r="B6" t="s">
        <v>101</v>
      </c>
      <c r="C6" t="s">
        <v>106</v>
      </c>
      <c r="D6" t="s">
        <v>105</v>
      </c>
      <c r="E6" t="s">
        <v>104</v>
      </c>
      <c r="G6">
        <f t="shared" ref="G6:G8" si="11">ROW()-1</f>
        <v>5</v>
      </c>
      <c r="H6" t="s">
        <v>215</v>
      </c>
      <c r="I6" t="s">
        <v>2195</v>
      </c>
      <c r="J6" t="s">
        <v>218</v>
      </c>
      <c r="K6" t="s">
        <v>212</v>
      </c>
      <c r="M6">
        <f t="shared" si="1"/>
        <v>5</v>
      </c>
      <c r="N6" t="s">
        <v>1440</v>
      </c>
      <c r="O6" s="334" t="s">
        <v>2119</v>
      </c>
      <c r="P6" s="334" t="s">
        <v>2105</v>
      </c>
      <c r="Q6" s="334" t="s">
        <v>2091</v>
      </c>
      <c r="S6">
        <f t="shared" si="2"/>
        <v>5</v>
      </c>
      <c r="Y6">
        <f t="shared" si="3"/>
        <v>5</v>
      </c>
      <c r="AE6">
        <f t="shared" si="4"/>
        <v>5</v>
      </c>
      <c r="AF6" t="s">
        <v>2386</v>
      </c>
      <c r="AG6" t="s">
        <v>2498</v>
      </c>
      <c r="AH6" t="s">
        <v>2442</v>
      </c>
      <c r="AI6" t="s">
        <v>2446</v>
      </c>
      <c r="AK6">
        <f t="shared" si="5"/>
        <v>5</v>
      </c>
      <c r="AQ6">
        <f t="shared" si="6"/>
        <v>5</v>
      </c>
      <c r="AR6" t="s">
        <v>1067</v>
      </c>
      <c r="AS6" t="s">
        <v>1070</v>
      </c>
      <c r="AT6" t="s">
        <v>1068</v>
      </c>
      <c r="AU6" t="s">
        <v>1069</v>
      </c>
      <c r="AW6">
        <f t="shared" si="7"/>
        <v>5</v>
      </c>
      <c r="BC6">
        <f t="shared" si="8"/>
        <v>5</v>
      </c>
      <c r="BI6">
        <f t="shared" si="9"/>
        <v>5</v>
      </c>
      <c r="BO6">
        <f t="shared" si="10"/>
        <v>5</v>
      </c>
    </row>
    <row r="7" spans="1:71" x14ac:dyDescent="0.3">
      <c r="A7">
        <f t="shared" si="0"/>
        <v>6</v>
      </c>
      <c r="B7" t="s">
        <v>139</v>
      </c>
      <c r="C7" t="s">
        <v>107</v>
      </c>
      <c r="D7" t="s">
        <v>110</v>
      </c>
      <c r="E7" t="s">
        <v>102</v>
      </c>
      <c r="G7">
        <f t="shared" si="11"/>
        <v>6</v>
      </c>
      <c r="H7" t="s">
        <v>216</v>
      </c>
      <c r="I7" t="s">
        <v>219</v>
      </c>
      <c r="J7" t="s">
        <v>220</v>
      </c>
      <c r="K7" t="s">
        <v>213</v>
      </c>
      <c r="M7">
        <f t="shared" si="1"/>
        <v>6</v>
      </c>
      <c r="N7" t="s">
        <v>781</v>
      </c>
      <c r="O7" s="334" t="s">
        <v>903</v>
      </c>
      <c r="P7" s="334" t="s">
        <v>902</v>
      </c>
      <c r="Q7" s="334" t="s">
        <v>901</v>
      </c>
      <c r="S7">
        <f t="shared" si="2"/>
        <v>6</v>
      </c>
      <c r="Y7">
        <f t="shared" si="3"/>
        <v>6</v>
      </c>
      <c r="AE7">
        <f t="shared" si="4"/>
        <v>6</v>
      </c>
      <c r="AF7" t="s">
        <v>2388</v>
      </c>
      <c r="AG7" t="s">
        <v>2405</v>
      </c>
      <c r="AH7" t="s">
        <v>2443</v>
      </c>
      <c r="AI7" t="s">
        <v>2447</v>
      </c>
      <c r="AK7">
        <f t="shared" si="5"/>
        <v>6</v>
      </c>
      <c r="AQ7">
        <f t="shared" si="6"/>
        <v>6</v>
      </c>
      <c r="AW7">
        <f t="shared" si="7"/>
        <v>6</v>
      </c>
      <c r="BC7">
        <f t="shared" si="8"/>
        <v>6</v>
      </c>
      <c r="BI7">
        <f t="shared" si="9"/>
        <v>6</v>
      </c>
      <c r="BO7">
        <f t="shared" si="10"/>
        <v>6</v>
      </c>
    </row>
    <row r="8" spans="1:71" x14ac:dyDescent="0.3">
      <c r="A8">
        <f t="shared" si="0"/>
        <v>7</v>
      </c>
      <c r="B8" t="s">
        <v>2190</v>
      </c>
      <c r="C8" t="s">
        <v>97</v>
      </c>
      <c r="D8" t="s">
        <v>98</v>
      </c>
      <c r="E8" t="s">
        <v>118</v>
      </c>
      <c r="G8">
        <f t="shared" si="11"/>
        <v>7</v>
      </c>
      <c r="H8" t="s">
        <v>217</v>
      </c>
      <c r="I8" t="s">
        <v>221</v>
      </c>
      <c r="J8" t="s">
        <v>222</v>
      </c>
      <c r="K8" t="s">
        <v>214</v>
      </c>
      <c r="M8">
        <f t="shared" si="1"/>
        <v>7</v>
      </c>
      <c r="N8" t="s">
        <v>873</v>
      </c>
      <c r="O8" s="334" t="s">
        <v>959</v>
      </c>
      <c r="P8" s="334" t="s">
        <v>960</v>
      </c>
      <c r="Q8" s="334" t="s">
        <v>961</v>
      </c>
      <c r="S8">
        <f t="shared" si="2"/>
        <v>7</v>
      </c>
      <c r="Y8">
        <f t="shared" si="3"/>
        <v>7</v>
      </c>
      <c r="AE8">
        <f t="shared" si="4"/>
        <v>7</v>
      </c>
      <c r="AF8" t="s">
        <v>2387</v>
      </c>
      <c r="AG8" t="s">
        <v>2406</v>
      </c>
      <c r="AH8" t="s">
        <v>2444</v>
      </c>
      <c r="AI8" t="s">
        <v>2448</v>
      </c>
      <c r="AK8">
        <f t="shared" si="5"/>
        <v>7</v>
      </c>
      <c r="AQ8">
        <f t="shared" si="6"/>
        <v>7</v>
      </c>
      <c r="AW8">
        <f t="shared" si="7"/>
        <v>7</v>
      </c>
      <c r="BC8">
        <f t="shared" si="8"/>
        <v>7</v>
      </c>
      <c r="BI8">
        <f t="shared" si="9"/>
        <v>7</v>
      </c>
      <c r="BO8">
        <f t="shared" si="10"/>
        <v>7</v>
      </c>
    </row>
    <row r="9" spans="1:71" x14ac:dyDescent="0.3">
      <c r="A9">
        <f t="shared" ref="A9:A13" si="12">ROW()-1</f>
        <v>8</v>
      </c>
      <c r="B9" t="s">
        <v>0</v>
      </c>
      <c r="C9" t="s">
        <v>111</v>
      </c>
      <c r="D9" t="s">
        <v>112</v>
      </c>
      <c r="E9" t="s">
        <v>119</v>
      </c>
      <c r="G9">
        <f>ROW()-1</f>
        <v>8</v>
      </c>
      <c r="H9" t="s">
        <v>224</v>
      </c>
      <c r="I9" t="s">
        <v>225</v>
      </c>
      <c r="J9" t="s">
        <v>226</v>
      </c>
      <c r="K9" t="s">
        <v>223</v>
      </c>
      <c r="M9">
        <f t="shared" si="1"/>
        <v>8</v>
      </c>
      <c r="N9" t="s">
        <v>859</v>
      </c>
      <c r="O9" s="334" t="s">
        <v>993</v>
      </c>
      <c r="P9" s="334" t="s">
        <v>988</v>
      </c>
      <c r="Q9" s="334" t="s">
        <v>1013</v>
      </c>
      <c r="S9">
        <f t="shared" si="2"/>
        <v>8</v>
      </c>
      <c r="Y9">
        <f t="shared" si="3"/>
        <v>8</v>
      </c>
      <c r="AE9">
        <f t="shared" si="4"/>
        <v>8</v>
      </c>
      <c r="AK9">
        <f t="shared" si="5"/>
        <v>8</v>
      </c>
      <c r="AQ9">
        <f t="shared" si="6"/>
        <v>8</v>
      </c>
      <c r="AW9">
        <f t="shared" si="7"/>
        <v>8</v>
      </c>
      <c r="BC9">
        <f t="shared" si="8"/>
        <v>8</v>
      </c>
      <c r="BI9">
        <f t="shared" si="9"/>
        <v>8</v>
      </c>
      <c r="BO9">
        <f t="shared" si="10"/>
        <v>8</v>
      </c>
    </row>
    <row r="10" spans="1:71" x14ac:dyDescent="0.3">
      <c r="A10">
        <f t="shared" si="12"/>
        <v>9</v>
      </c>
      <c r="B10" t="s">
        <v>1</v>
      </c>
      <c r="C10" t="s">
        <v>136</v>
      </c>
      <c r="D10" t="s">
        <v>137</v>
      </c>
      <c r="E10" t="s">
        <v>120</v>
      </c>
      <c r="G10">
        <f t="shared" ref="G10:G14" si="13">ROW()-1</f>
        <v>9</v>
      </c>
      <c r="H10" t="s">
        <v>230</v>
      </c>
      <c r="I10" t="s">
        <v>232</v>
      </c>
      <c r="J10" t="s">
        <v>233</v>
      </c>
      <c r="K10" t="s">
        <v>228</v>
      </c>
      <c r="M10">
        <f t="shared" si="1"/>
        <v>9</v>
      </c>
      <c r="N10" t="s">
        <v>1045</v>
      </c>
      <c r="O10" s="334" t="s">
        <v>1046</v>
      </c>
      <c r="P10" s="334" t="s">
        <v>2196</v>
      </c>
      <c r="Q10" s="334" t="s">
        <v>1031</v>
      </c>
      <c r="S10">
        <f t="shared" si="2"/>
        <v>9</v>
      </c>
      <c r="Y10">
        <f t="shared" si="3"/>
        <v>9</v>
      </c>
      <c r="AE10">
        <f t="shared" si="4"/>
        <v>9</v>
      </c>
      <c r="AK10">
        <f t="shared" si="5"/>
        <v>9</v>
      </c>
      <c r="AQ10">
        <f t="shared" si="6"/>
        <v>9</v>
      </c>
      <c r="AW10">
        <f t="shared" si="7"/>
        <v>9</v>
      </c>
      <c r="BC10">
        <f t="shared" si="8"/>
        <v>9</v>
      </c>
      <c r="BI10">
        <f t="shared" si="9"/>
        <v>9</v>
      </c>
      <c r="BO10">
        <f t="shared" si="10"/>
        <v>9</v>
      </c>
    </row>
    <row r="11" spans="1:71" x14ac:dyDescent="0.3">
      <c r="A11">
        <f t="shared" si="12"/>
        <v>10</v>
      </c>
      <c r="B11" t="s">
        <v>2</v>
      </c>
      <c r="C11" t="s">
        <v>140</v>
      </c>
      <c r="D11" t="s">
        <v>141</v>
      </c>
      <c r="E11" t="s">
        <v>121</v>
      </c>
      <c r="G11">
        <f t="shared" si="13"/>
        <v>10</v>
      </c>
      <c r="H11" t="s">
        <v>231</v>
      </c>
      <c r="I11" t="s">
        <v>234</v>
      </c>
      <c r="J11" t="s">
        <v>235</v>
      </c>
      <c r="K11" t="s">
        <v>229</v>
      </c>
      <c r="M11">
        <f t="shared" si="1"/>
        <v>10</v>
      </c>
      <c r="N11" t="s">
        <v>1427</v>
      </c>
      <c r="O11" s="334" t="s">
        <v>2151</v>
      </c>
      <c r="P11" s="334" t="s">
        <v>2145</v>
      </c>
      <c r="Q11" s="334" t="s">
        <v>2152</v>
      </c>
      <c r="S11">
        <f t="shared" si="2"/>
        <v>10</v>
      </c>
      <c r="Y11">
        <f t="shared" si="3"/>
        <v>10</v>
      </c>
      <c r="AE11">
        <f t="shared" si="4"/>
        <v>10</v>
      </c>
      <c r="AK11">
        <f t="shared" si="5"/>
        <v>10</v>
      </c>
      <c r="AQ11">
        <f t="shared" si="6"/>
        <v>10</v>
      </c>
      <c r="AW11">
        <f t="shared" si="7"/>
        <v>10</v>
      </c>
      <c r="BC11">
        <f t="shared" si="8"/>
        <v>10</v>
      </c>
      <c r="BI11">
        <f t="shared" si="9"/>
        <v>10</v>
      </c>
      <c r="BO11">
        <f t="shared" si="10"/>
        <v>10</v>
      </c>
    </row>
    <row r="12" spans="1:71" x14ac:dyDescent="0.3">
      <c r="A12">
        <f t="shared" si="12"/>
        <v>11</v>
      </c>
      <c r="B12" t="s">
        <v>3</v>
      </c>
      <c r="C12" t="s">
        <v>178</v>
      </c>
      <c r="D12" t="s">
        <v>177</v>
      </c>
      <c r="E12" t="s">
        <v>122</v>
      </c>
      <c r="G12">
        <f t="shared" si="13"/>
        <v>11</v>
      </c>
      <c r="H12" t="s">
        <v>239</v>
      </c>
      <c r="I12" t="s">
        <v>2197</v>
      </c>
      <c r="J12" t="s">
        <v>242</v>
      </c>
      <c r="K12" t="s">
        <v>236</v>
      </c>
      <c r="M12">
        <f t="shared" si="1"/>
        <v>11</v>
      </c>
      <c r="N12" t="s">
        <v>1441</v>
      </c>
      <c r="O12" s="334" t="s">
        <v>2171</v>
      </c>
      <c r="P12" s="334" t="s">
        <v>2157</v>
      </c>
      <c r="Q12" s="334" t="s">
        <v>2176</v>
      </c>
      <c r="S12">
        <f t="shared" si="2"/>
        <v>11</v>
      </c>
      <c r="T12" t="s">
        <v>40</v>
      </c>
      <c r="U12" t="s">
        <v>286</v>
      </c>
      <c r="V12" t="s">
        <v>287</v>
      </c>
      <c r="W12" t="s">
        <v>288</v>
      </c>
      <c r="Y12">
        <f t="shared" si="3"/>
        <v>11</v>
      </c>
      <c r="Z12" t="s">
        <v>394</v>
      </c>
      <c r="AA12" t="s">
        <v>394</v>
      </c>
      <c r="AB12" t="s">
        <v>394</v>
      </c>
      <c r="AC12" t="s">
        <v>394</v>
      </c>
      <c r="AE12">
        <f t="shared" si="4"/>
        <v>11</v>
      </c>
      <c r="AF12" t="s">
        <v>40</v>
      </c>
      <c r="AG12" t="s">
        <v>286</v>
      </c>
      <c r="AH12" t="s">
        <v>287</v>
      </c>
      <c r="AI12" t="s">
        <v>288</v>
      </c>
      <c r="AK12">
        <f t="shared" si="5"/>
        <v>11</v>
      </c>
      <c r="AL12" t="s">
        <v>2381</v>
      </c>
      <c r="AM12" t="s">
        <v>2381</v>
      </c>
      <c r="AN12" t="s">
        <v>2381</v>
      </c>
      <c r="AO12" t="s">
        <v>2381</v>
      </c>
      <c r="AQ12">
        <f t="shared" si="6"/>
        <v>11</v>
      </c>
      <c r="AR12" t="s">
        <v>552</v>
      </c>
      <c r="AS12" t="s">
        <v>562</v>
      </c>
      <c r="AT12" t="s">
        <v>556</v>
      </c>
      <c r="AU12" t="s">
        <v>559</v>
      </c>
      <c r="AW12">
        <f t="shared" si="7"/>
        <v>11</v>
      </c>
      <c r="AX12" t="s">
        <v>804</v>
      </c>
      <c r="AY12" t="s">
        <v>1101</v>
      </c>
      <c r="AZ12" t="s">
        <v>1115</v>
      </c>
      <c r="BA12" t="s">
        <v>1134</v>
      </c>
      <c r="BC12">
        <f t="shared" si="8"/>
        <v>11</v>
      </c>
      <c r="BD12" t="s">
        <v>829</v>
      </c>
      <c r="BE12" t="s">
        <v>1152</v>
      </c>
      <c r="BF12" t="s">
        <v>1210</v>
      </c>
      <c r="BG12" t="s">
        <v>1179</v>
      </c>
      <c r="BI12">
        <f t="shared" si="9"/>
        <v>11</v>
      </c>
      <c r="BJ12" t="s">
        <v>768</v>
      </c>
      <c r="BK12" t="s">
        <v>905</v>
      </c>
      <c r="BL12" t="s">
        <v>907</v>
      </c>
      <c r="BM12" t="s">
        <v>901</v>
      </c>
      <c r="BO12">
        <f t="shared" si="10"/>
        <v>11</v>
      </c>
      <c r="BP12" t="s">
        <v>971</v>
      </c>
      <c r="BQ12" t="s">
        <v>968</v>
      </c>
      <c r="BR12" t="s">
        <v>967</v>
      </c>
      <c r="BS12" t="s">
        <v>965</v>
      </c>
    </row>
    <row r="13" spans="1:71" x14ac:dyDescent="0.3">
      <c r="A13">
        <f t="shared" si="12"/>
        <v>12</v>
      </c>
      <c r="B13" t="s">
        <v>4</v>
      </c>
      <c r="C13" t="s">
        <v>179</v>
      </c>
      <c r="D13" t="s">
        <v>180</v>
      </c>
      <c r="E13" t="s">
        <v>123</v>
      </c>
      <c r="G13">
        <f t="shared" si="13"/>
        <v>12</v>
      </c>
      <c r="H13" t="s">
        <v>240</v>
      </c>
      <c r="I13" t="s">
        <v>2198</v>
      </c>
      <c r="J13" t="s">
        <v>243</v>
      </c>
      <c r="K13" t="s">
        <v>237</v>
      </c>
      <c r="M13">
        <f t="shared" si="1"/>
        <v>12</v>
      </c>
      <c r="O13" s="334"/>
      <c r="P13" s="334"/>
      <c r="Q13" s="334"/>
      <c r="S13">
        <f t="shared" si="2"/>
        <v>12</v>
      </c>
      <c r="T13" t="s">
        <v>46</v>
      </c>
      <c r="U13" t="s">
        <v>46</v>
      </c>
      <c r="V13" t="s">
        <v>46</v>
      </c>
      <c r="W13" t="s">
        <v>46</v>
      </c>
      <c r="Y13">
        <f t="shared" si="3"/>
        <v>12</v>
      </c>
      <c r="Z13" t="s">
        <v>82</v>
      </c>
      <c r="AA13" t="s">
        <v>395</v>
      </c>
      <c r="AB13" t="s">
        <v>396</v>
      </c>
      <c r="AC13" t="s">
        <v>397</v>
      </c>
      <c r="AE13">
        <f t="shared" si="4"/>
        <v>12</v>
      </c>
      <c r="AF13" t="s">
        <v>46</v>
      </c>
      <c r="AG13" t="s">
        <v>46</v>
      </c>
      <c r="AH13" t="s">
        <v>46</v>
      </c>
      <c r="AI13" t="s">
        <v>46</v>
      </c>
      <c r="AK13">
        <f t="shared" si="5"/>
        <v>12</v>
      </c>
      <c r="AL13" t="s">
        <v>46</v>
      </c>
      <c r="AM13" t="s">
        <v>46</v>
      </c>
      <c r="AN13" t="s">
        <v>46</v>
      </c>
      <c r="AO13" t="s">
        <v>46</v>
      </c>
      <c r="AQ13">
        <f t="shared" si="6"/>
        <v>12</v>
      </c>
      <c r="AR13" t="s">
        <v>555</v>
      </c>
      <c r="AS13" t="s">
        <v>1397</v>
      </c>
      <c r="AT13" t="s">
        <v>1398</v>
      </c>
      <c r="AU13" t="s">
        <v>1399</v>
      </c>
      <c r="AW13">
        <f t="shared" si="7"/>
        <v>12</v>
      </c>
      <c r="AX13" t="s">
        <v>1719</v>
      </c>
      <c r="AY13" t="s">
        <v>2199</v>
      </c>
      <c r="AZ13" t="s">
        <v>2200</v>
      </c>
      <c r="BA13" t="s">
        <v>1135</v>
      </c>
      <c r="BC13">
        <f t="shared" si="8"/>
        <v>12</v>
      </c>
      <c r="BD13" t="s">
        <v>838</v>
      </c>
      <c r="BE13" t="s">
        <v>1153</v>
      </c>
      <c r="BF13" t="s">
        <v>1211</v>
      </c>
      <c r="BG13" t="s">
        <v>1180</v>
      </c>
      <c r="BI13">
        <f t="shared" si="9"/>
        <v>12</v>
      </c>
      <c r="BJ13" t="s">
        <v>970</v>
      </c>
      <c r="BK13" t="s">
        <v>969</v>
      </c>
      <c r="BL13" t="s">
        <v>966</v>
      </c>
      <c r="BM13" t="s">
        <v>964</v>
      </c>
      <c r="BO13">
        <f t="shared" si="10"/>
        <v>12</v>
      </c>
      <c r="BP13" t="s">
        <v>838</v>
      </c>
      <c r="BQ13" t="s">
        <v>1153</v>
      </c>
      <c r="BR13" t="s">
        <v>1211</v>
      </c>
      <c r="BS13" t="s">
        <v>1180</v>
      </c>
    </row>
    <row r="14" spans="1:71" x14ac:dyDescent="0.3">
      <c r="A14">
        <f t="shared" ref="A14:A17" si="14">ROW()-1</f>
        <v>13</v>
      </c>
      <c r="B14" t="s">
        <v>5</v>
      </c>
      <c r="C14" t="s">
        <v>142</v>
      </c>
      <c r="D14" t="s">
        <v>143</v>
      </c>
      <c r="E14" t="s">
        <v>113</v>
      </c>
      <c r="G14">
        <f t="shared" si="13"/>
        <v>13</v>
      </c>
      <c r="H14" t="s">
        <v>241</v>
      </c>
      <c r="I14" t="s">
        <v>244</v>
      </c>
      <c r="J14" t="s">
        <v>245</v>
      </c>
      <c r="K14" t="s">
        <v>238</v>
      </c>
      <c r="M14">
        <f t="shared" si="1"/>
        <v>13</v>
      </c>
      <c r="O14" s="334"/>
      <c r="P14" s="334"/>
      <c r="Q14" s="334"/>
      <c r="S14">
        <f t="shared" si="2"/>
        <v>13</v>
      </c>
      <c r="Y14">
        <f t="shared" si="3"/>
        <v>13</v>
      </c>
      <c r="AE14">
        <f t="shared" si="4"/>
        <v>13</v>
      </c>
      <c r="AF14" t="s">
        <v>838</v>
      </c>
      <c r="AG14" t="s">
        <v>1153</v>
      </c>
      <c r="AH14" t="s">
        <v>1211</v>
      </c>
      <c r="AI14" t="s">
        <v>1180</v>
      </c>
      <c r="AK14">
        <f t="shared" si="5"/>
        <v>13</v>
      </c>
      <c r="AQ14">
        <f t="shared" si="6"/>
        <v>13</v>
      </c>
      <c r="AR14" t="s">
        <v>553</v>
      </c>
      <c r="AS14" t="s">
        <v>563</v>
      </c>
      <c r="AT14" t="s">
        <v>557</v>
      </c>
      <c r="AU14" t="s">
        <v>560</v>
      </c>
      <c r="AW14">
        <f t="shared" si="7"/>
        <v>13</v>
      </c>
      <c r="AX14" t="s">
        <v>46</v>
      </c>
      <c r="AY14" t="s">
        <v>46</v>
      </c>
      <c r="AZ14" t="s">
        <v>46</v>
      </c>
      <c r="BA14" t="s">
        <v>46</v>
      </c>
      <c r="BC14">
        <f t="shared" si="8"/>
        <v>13</v>
      </c>
      <c r="BD14" t="s">
        <v>40</v>
      </c>
      <c r="BE14" t="s">
        <v>286</v>
      </c>
      <c r="BF14" t="s">
        <v>287</v>
      </c>
      <c r="BG14" t="s">
        <v>288</v>
      </c>
      <c r="BI14">
        <f t="shared" si="9"/>
        <v>13</v>
      </c>
      <c r="BJ14" t="s">
        <v>971</v>
      </c>
      <c r="BK14" t="s">
        <v>968</v>
      </c>
      <c r="BL14" t="s">
        <v>967</v>
      </c>
      <c r="BM14" t="s">
        <v>965</v>
      </c>
      <c r="BO14">
        <f t="shared" si="10"/>
        <v>13</v>
      </c>
      <c r="BP14" t="s">
        <v>1325</v>
      </c>
      <c r="BQ14" t="s">
        <v>1259</v>
      </c>
      <c r="BR14" t="s">
        <v>1298</v>
      </c>
      <c r="BS14" t="s">
        <v>1324</v>
      </c>
    </row>
    <row r="15" spans="1:71" x14ac:dyDescent="0.3">
      <c r="A15">
        <f t="shared" si="14"/>
        <v>14</v>
      </c>
      <c r="B15" t="s">
        <v>6</v>
      </c>
      <c r="C15" t="s">
        <v>6</v>
      </c>
      <c r="D15" t="s">
        <v>144</v>
      </c>
      <c r="E15" t="s">
        <v>114</v>
      </c>
      <c r="G15">
        <f t="shared" ref="G15:G20" si="15">ROW()-1</f>
        <v>14</v>
      </c>
      <c r="H15" t="s">
        <v>266</v>
      </c>
      <c r="I15" t="s">
        <v>275</v>
      </c>
      <c r="J15" t="s">
        <v>276</v>
      </c>
      <c r="K15" t="s">
        <v>260</v>
      </c>
      <c r="M15">
        <f t="shared" si="1"/>
        <v>14</v>
      </c>
      <c r="O15" s="334"/>
      <c r="P15" s="334"/>
      <c r="Q15" s="334"/>
      <c r="S15">
        <f t="shared" si="2"/>
        <v>14</v>
      </c>
      <c r="Y15">
        <f t="shared" si="3"/>
        <v>14</v>
      </c>
      <c r="AE15">
        <f t="shared" si="4"/>
        <v>14</v>
      </c>
      <c r="AF15" t="s">
        <v>1404</v>
      </c>
      <c r="AG15" t="s">
        <v>1602</v>
      </c>
      <c r="AH15" t="s">
        <v>1603</v>
      </c>
      <c r="AI15" t="s">
        <v>1604</v>
      </c>
      <c r="AK15">
        <f t="shared" si="5"/>
        <v>14</v>
      </c>
      <c r="AQ15">
        <f t="shared" si="6"/>
        <v>14</v>
      </c>
      <c r="AR15" t="s">
        <v>554</v>
      </c>
      <c r="AS15" t="s">
        <v>564</v>
      </c>
      <c r="AT15" t="s">
        <v>558</v>
      </c>
      <c r="AU15" t="s">
        <v>561</v>
      </c>
      <c r="AW15">
        <f t="shared" si="7"/>
        <v>14</v>
      </c>
      <c r="AX15" t="s">
        <v>1522</v>
      </c>
      <c r="AY15" t="s">
        <v>1727</v>
      </c>
      <c r="AZ15" t="s">
        <v>1727</v>
      </c>
      <c r="BA15" t="s">
        <v>1522</v>
      </c>
      <c r="BC15">
        <f t="shared" si="8"/>
        <v>14</v>
      </c>
      <c r="BD15" t="s">
        <v>846</v>
      </c>
      <c r="BE15" t="s">
        <v>2201</v>
      </c>
      <c r="BF15" t="s">
        <v>1212</v>
      </c>
      <c r="BG15" t="s">
        <v>1181</v>
      </c>
      <c r="BI15">
        <f t="shared" si="9"/>
        <v>14</v>
      </c>
      <c r="BJ15" t="s">
        <v>838</v>
      </c>
      <c r="BK15" t="s">
        <v>1153</v>
      </c>
      <c r="BL15" t="s">
        <v>1211</v>
      </c>
      <c r="BM15" t="s">
        <v>1180</v>
      </c>
      <c r="BO15">
        <f t="shared" si="10"/>
        <v>14</v>
      </c>
    </row>
    <row r="16" spans="1:71" x14ac:dyDescent="0.3">
      <c r="A16">
        <f t="shared" si="14"/>
        <v>15</v>
      </c>
      <c r="B16" t="s">
        <v>7</v>
      </c>
      <c r="C16" t="s">
        <v>115</v>
      </c>
      <c r="D16" t="s">
        <v>145</v>
      </c>
      <c r="E16" t="s">
        <v>115</v>
      </c>
      <c r="G16">
        <f t="shared" si="15"/>
        <v>15</v>
      </c>
      <c r="H16" t="s">
        <v>267</v>
      </c>
      <c r="I16" t="s">
        <v>2202</v>
      </c>
      <c r="J16" t="s">
        <v>277</v>
      </c>
      <c r="K16" t="s">
        <v>261</v>
      </c>
      <c r="M16">
        <f t="shared" si="1"/>
        <v>15</v>
      </c>
      <c r="O16" s="334"/>
      <c r="P16" s="334"/>
      <c r="Q16" s="334"/>
      <c r="S16">
        <f t="shared" si="2"/>
        <v>15</v>
      </c>
      <c r="Y16">
        <f t="shared" si="3"/>
        <v>15</v>
      </c>
      <c r="AE16">
        <f t="shared" si="4"/>
        <v>15</v>
      </c>
      <c r="AF16" t="s">
        <v>766</v>
      </c>
      <c r="AG16" t="s">
        <v>904</v>
      </c>
      <c r="AH16" t="s">
        <v>906</v>
      </c>
      <c r="AI16" t="s">
        <v>908</v>
      </c>
      <c r="AK16">
        <f t="shared" si="5"/>
        <v>15</v>
      </c>
      <c r="AQ16">
        <f t="shared" si="6"/>
        <v>15</v>
      </c>
      <c r="AR16" t="s">
        <v>46</v>
      </c>
      <c r="AS16" t="s">
        <v>46</v>
      </c>
      <c r="AT16" t="s">
        <v>46</v>
      </c>
      <c r="AU16" t="s">
        <v>46</v>
      </c>
      <c r="AW16">
        <f t="shared" si="7"/>
        <v>15</v>
      </c>
      <c r="BC16">
        <f t="shared" si="8"/>
        <v>15</v>
      </c>
      <c r="BD16" t="s">
        <v>853</v>
      </c>
      <c r="BE16" t="s">
        <v>1154</v>
      </c>
      <c r="BF16" t="s">
        <v>2203</v>
      </c>
      <c r="BG16" t="s">
        <v>1182</v>
      </c>
      <c r="BI16">
        <f t="shared" si="9"/>
        <v>15</v>
      </c>
      <c r="BJ16" t="s">
        <v>1537</v>
      </c>
      <c r="BK16" t="s">
        <v>1812</v>
      </c>
      <c r="BL16" t="s">
        <v>1814</v>
      </c>
      <c r="BM16" t="s">
        <v>1812</v>
      </c>
      <c r="BO16">
        <f t="shared" si="10"/>
        <v>15</v>
      </c>
    </row>
    <row r="17" spans="1:71" x14ac:dyDescent="0.3">
      <c r="A17">
        <f t="shared" si="14"/>
        <v>16</v>
      </c>
      <c r="B17" t="s">
        <v>8</v>
      </c>
      <c r="C17" t="s">
        <v>146</v>
      </c>
      <c r="D17" t="s">
        <v>147</v>
      </c>
      <c r="E17" t="s">
        <v>124</v>
      </c>
      <c r="G17">
        <f t="shared" si="15"/>
        <v>16</v>
      </c>
      <c r="H17" t="s">
        <v>268</v>
      </c>
      <c r="I17" t="s">
        <v>272</v>
      </c>
      <c r="J17" t="s">
        <v>278</v>
      </c>
      <c r="K17" t="s">
        <v>262</v>
      </c>
      <c r="M17">
        <f t="shared" si="1"/>
        <v>16</v>
      </c>
      <c r="O17" s="334"/>
      <c r="P17" s="334"/>
      <c r="Q17" s="334"/>
      <c r="S17">
        <f t="shared" si="2"/>
        <v>16</v>
      </c>
      <c r="Y17">
        <f t="shared" si="3"/>
        <v>16</v>
      </c>
      <c r="AE17">
        <f t="shared" si="4"/>
        <v>16</v>
      </c>
      <c r="AF17" t="s">
        <v>768</v>
      </c>
      <c r="AG17" t="s">
        <v>905</v>
      </c>
      <c r="AH17" t="s">
        <v>907</v>
      </c>
      <c r="AI17" t="s">
        <v>901</v>
      </c>
      <c r="AK17">
        <f t="shared" si="5"/>
        <v>16</v>
      </c>
      <c r="AQ17">
        <f t="shared" si="6"/>
        <v>16</v>
      </c>
      <c r="AR17" t="s">
        <v>1071</v>
      </c>
      <c r="AS17" t="s">
        <v>1072</v>
      </c>
      <c r="AT17" t="s">
        <v>1071</v>
      </c>
      <c r="AU17" t="s">
        <v>1071</v>
      </c>
      <c r="AW17">
        <f t="shared" si="7"/>
        <v>16</v>
      </c>
      <c r="BC17">
        <f t="shared" si="8"/>
        <v>16</v>
      </c>
      <c r="BI17">
        <f t="shared" si="9"/>
        <v>16</v>
      </c>
      <c r="BO17">
        <f t="shared" si="10"/>
        <v>16</v>
      </c>
    </row>
    <row r="18" spans="1:71" x14ac:dyDescent="0.3">
      <c r="A18">
        <f t="shared" ref="A18:A31" si="16">ROW()-1</f>
        <v>17</v>
      </c>
      <c r="B18" t="s">
        <v>9</v>
      </c>
      <c r="C18" t="s">
        <v>148</v>
      </c>
      <c r="D18" t="s">
        <v>149</v>
      </c>
      <c r="E18" t="s">
        <v>116</v>
      </c>
      <c r="G18">
        <f t="shared" si="15"/>
        <v>17</v>
      </c>
      <c r="H18" t="s">
        <v>269</v>
      </c>
      <c r="I18" t="s">
        <v>273</v>
      </c>
      <c r="J18" t="s">
        <v>279</v>
      </c>
      <c r="K18" t="s">
        <v>263</v>
      </c>
      <c r="M18">
        <f t="shared" si="1"/>
        <v>17</v>
      </c>
      <c r="O18" s="334"/>
      <c r="P18" s="334"/>
      <c r="Q18" s="334"/>
      <c r="S18">
        <f t="shared" si="2"/>
        <v>17</v>
      </c>
      <c r="Y18">
        <f t="shared" si="3"/>
        <v>17</v>
      </c>
      <c r="AE18">
        <f t="shared" si="4"/>
        <v>17</v>
      </c>
      <c r="AF18" t="s">
        <v>1522</v>
      </c>
      <c r="AG18" t="s">
        <v>1727</v>
      </c>
      <c r="AH18" t="s">
        <v>1727</v>
      </c>
      <c r="AI18" t="s">
        <v>1522</v>
      </c>
      <c r="AK18">
        <f t="shared" si="5"/>
        <v>17</v>
      </c>
      <c r="AQ18">
        <f t="shared" si="6"/>
        <v>17</v>
      </c>
      <c r="AR18" t="s">
        <v>227</v>
      </c>
      <c r="AS18" t="s">
        <v>434</v>
      </c>
      <c r="AT18" t="s">
        <v>227</v>
      </c>
      <c r="AU18" t="s">
        <v>227</v>
      </c>
      <c r="AW18">
        <f t="shared" si="7"/>
        <v>17</v>
      </c>
      <c r="BC18">
        <f t="shared" si="8"/>
        <v>17</v>
      </c>
      <c r="BI18">
        <f t="shared" si="9"/>
        <v>17</v>
      </c>
      <c r="BO18">
        <f t="shared" si="10"/>
        <v>17</v>
      </c>
    </row>
    <row r="19" spans="1:71" x14ac:dyDescent="0.3">
      <c r="A19">
        <f t="shared" si="16"/>
        <v>18</v>
      </c>
      <c r="B19" t="s">
        <v>10</v>
      </c>
      <c r="C19" t="s">
        <v>151</v>
      </c>
      <c r="D19" t="s">
        <v>152</v>
      </c>
      <c r="E19" t="s">
        <v>150</v>
      </c>
      <c r="G19">
        <f t="shared" si="15"/>
        <v>18</v>
      </c>
      <c r="H19" t="s">
        <v>270</v>
      </c>
      <c r="I19" t="s">
        <v>2204</v>
      </c>
      <c r="J19" t="s">
        <v>280</v>
      </c>
      <c r="K19" t="s">
        <v>264</v>
      </c>
      <c r="M19">
        <f t="shared" si="1"/>
        <v>18</v>
      </c>
      <c r="O19" s="334"/>
      <c r="P19" s="334"/>
      <c r="Q19" s="334"/>
      <c r="S19">
        <f t="shared" si="2"/>
        <v>18</v>
      </c>
      <c r="Y19">
        <f t="shared" si="3"/>
        <v>18</v>
      </c>
      <c r="AE19">
        <f t="shared" si="4"/>
        <v>18</v>
      </c>
      <c r="AK19">
        <f t="shared" si="5"/>
        <v>18</v>
      </c>
      <c r="AQ19">
        <f t="shared" si="6"/>
        <v>18</v>
      </c>
      <c r="AW19">
        <f t="shared" si="7"/>
        <v>18</v>
      </c>
      <c r="BC19">
        <f t="shared" si="8"/>
        <v>18</v>
      </c>
      <c r="BI19">
        <f t="shared" si="9"/>
        <v>18</v>
      </c>
      <c r="BO19">
        <f t="shared" si="10"/>
        <v>18</v>
      </c>
    </row>
    <row r="20" spans="1:71" ht="15" x14ac:dyDescent="0.4">
      <c r="A20">
        <f t="shared" si="16"/>
        <v>19</v>
      </c>
      <c r="B20" t="s">
        <v>11</v>
      </c>
      <c r="C20" t="s">
        <v>153</v>
      </c>
      <c r="D20" t="s">
        <v>155</v>
      </c>
      <c r="E20" t="s">
        <v>125</v>
      </c>
      <c r="G20">
        <f t="shared" si="15"/>
        <v>19</v>
      </c>
      <c r="H20" t="s">
        <v>271</v>
      </c>
      <c r="I20" t="s">
        <v>274</v>
      </c>
      <c r="J20" t="s">
        <v>281</v>
      </c>
      <c r="K20" t="s">
        <v>265</v>
      </c>
      <c r="M20">
        <f t="shared" si="1"/>
        <v>19</v>
      </c>
      <c r="O20" s="334"/>
      <c r="P20" s="334"/>
      <c r="Q20" s="334"/>
      <c r="S20">
        <f t="shared" si="2"/>
        <v>19</v>
      </c>
      <c r="Y20">
        <f t="shared" si="3"/>
        <v>19</v>
      </c>
      <c r="AE20">
        <f t="shared" si="4"/>
        <v>19</v>
      </c>
      <c r="AK20">
        <f t="shared" si="5"/>
        <v>19</v>
      </c>
      <c r="AQ20">
        <f t="shared" si="6"/>
        <v>19</v>
      </c>
      <c r="AW20">
        <f t="shared" si="7"/>
        <v>19</v>
      </c>
      <c r="BC20">
        <f t="shared" si="8"/>
        <v>19</v>
      </c>
      <c r="BI20">
        <f t="shared" si="9"/>
        <v>19</v>
      </c>
      <c r="BO20">
        <f t="shared" si="10"/>
        <v>19</v>
      </c>
    </row>
    <row r="21" spans="1:71" x14ac:dyDescent="0.3">
      <c r="A21">
        <f t="shared" si="16"/>
        <v>20</v>
      </c>
      <c r="B21" t="s">
        <v>12</v>
      </c>
      <c r="C21" t="s">
        <v>161</v>
      </c>
      <c r="D21" t="s">
        <v>156</v>
      </c>
      <c r="E21" t="s">
        <v>126</v>
      </c>
      <c r="M21">
        <f t="shared" si="1"/>
        <v>20</v>
      </c>
      <c r="O21" s="334"/>
      <c r="P21" s="334"/>
      <c r="Q21" s="334"/>
      <c r="S21">
        <f t="shared" si="2"/>
        <v>20</v>
      </c>
      <c r="Y21">
        <f t="shared" si="3"/>
        <v>20</v>
      </c>
      <c r="AE21">
        <f t="shared" si="4"/>
        <v>20</v>
      </c>
      <c r="AK21">
        <f t="shared" si="5"/>
        <v>20</v>
      </c>
      <c r="AQ21">
        <f t="shared" si="6"/>
        <v>20</v>
      </c>
      <c r="AW21">
        <f t="shared" si="7"/>
        <v>20</v>
      </c>
      <c r="BC21">
        <f t="shared" si="8"/>
        <v>20</v>
      </c>
      <c r="BI21">
        <f t="shared" si="9"/>
        <v>20</v>
      </c>
      <c r="BO21">
        <f t="shared" si="10"/>
        <v>20</v>
      </c>
    </row>
    <row r="22" spans="1:71" x14ac:dyDescent="0.3">
      <c r="A22">
        <f t="shared" si="16"/>
        <v>21</v>
      </c>
      <c r="B22" t="s">
        <v>13</v>
      </c>
      <c r="C22" t="s">
        <v>154</v>
      </c>
      <c r="D22" t="s">
        <v>157</v>
      </c>
      <c r="E22" t="s">
        <v>117</v>
      </c>
      <c r="M22">
        <f t="shared" si="1"/>
        <v>21</v>
      </c>
      <c r="N22" t="s">
        <v>46</v>
      </c>
      <c r="O22" s="334" t="s">
        <v>46</v>
      </c>
      <c r="P22" s="334" t="s">
        <v>46</v>
      </c>
      <c r="Q22" s="334" t="s">
        <v>46</v>
      </c>
      <c r="S22">
        <f t="shared" si="2"/>
        <v>21</v>
      </c>
      <c r="Y22">
        <f t="shared" si="3"/>
        <v>21</v>
      </c>
      <c r="AE22">
        <f t="shared" si="4"/>
        <v>21</v>
      </c>
      <c r="AK22">
        <f t="shared" si="5"/>
        <v>21</v>
      </c>
      <c r="AQ22">
        <f t="shared" si="6"/>
        <v>21</v>
      </c>
      <c r="AW22">
        <f t="shared" si="7"/>
        <v>21</v>
      </c>
      <c r="BC22">
        <f t="shared" si="8"/>
        <v>21</v>
      </c>
      <c r="BI22">
        <f t="shared" si="9"/>
        <v>21</v>
      </c>
      <c r="BO22">
        <f t="shared" si="10"/>
        <v>21</v>
      </c>
    </row>
    <row r="23" spans="1:71" x14ac:dyDescent="0.3">
      <c r="A23">
        <f t="shared" si="16"/>
        <v>22</v>
      </c>
      <c r="B23" t="s">
        <v>14</v>
      </c>
      <c r="C23" t="s">
        <v>127</v>
      </c>
      <c r="D23" t="s">
        <v>158</v>
      </c>
      <c r="E23" t="s">
        <v>127</v>
      </c>
      <c r="M23">
        <f t="shared" si="1"/>
        <v>22</v>
      </c>
      <c r="N23" t="s">
        <v>40</v>
      </c>
      <c r="O23" s="334" t="s">
        <v>286</v>
      </c>
      <c r="P23" s="334" t="s">
        <v>287</v>
      </c>
      <c r="Q23" s="334" t="s">
        <v>288</v>
      </c>
      <c r="S23">
        <f t="shared" si="2"/>
        <v>22</v>
      </c>
      <c r="Y23">
        <f t="shared" si="3"/>
        <v>22</v>
      </c>
      <c r="AE23">
        <f t="shared" si="4"/>
        <v>22</v>
      </c>
      <c r="AK23">
        <f t="shared" si="5"/>
        <v>22</v>
      </c>
      <c r="AQ23">
        <f t="shared" si="6"/>
        <v>22</v>
      </c>
      <c r="AW23">
        <f t="shared" si="7"/>
        <v>22</v>
      </c>
      <c r="BC23">
        <f t="shared" si="8"/>
        <v>22</v>
      </c>
      <c r="BI23">
        <f t="shared" si="9"/>
        <v>22</v>
      </c>
      <c r="BO23">
        <f t="shared" si="10"/>
        <v>22</v>
      </c>
    </row>
    <row r="24" spans="1:71" x14ac:dyDescent="0.3">
      <c r="A24">
        <f t="shared" si="16"/>
        <v>23</v>
      </c>
      <c r="B24" t="s">
        <v>15</v>
      </c>
      <c r="C24" t="s">
        <v>160</v>
      </c>
      <c r="D24" t="s">
        <v>176</v>
      </c>
      <c r="E24" t="s">
        <v>128</v>
      </c>
      <c r="M24">
        <f t="shared" si="1"/>
        <v>23</v>
      </c>
      <c r="N24" t="s">
        <v>1443</v>
      </c>
      <c r="O24" s="334" t="s">
        <v>2205</v>
      </c>
      <c r="P24" s="334" t="s">
        <v>2055</v>
      </c>
      <c r="Q24" s="334" t="s">
        <v>2063</v>
      </c>
      <c r="S24">
        <f t="shared" si="2"/>
        <v>23</v>
      </c>
      <c r="Y24">
        <f t="shared" si="3"/>
        <v>23</v>
      </c>
      <c r="AE24">
        <f t="shared" si="4"/>
        <v>23</v>
      </c>
      <c r="AK24">
        <f t="shared" si="5"/>
        <v>23</v>
      </c>
      <c r="AQ24">
        <f t="shared" si="6"/>
        <v>23</v>
      </c>
      <c r="AW24">
        <f t="shared" si="7"/>
        <v>23</v>
      </c>
      <c r="BC24">
        <f t="shared" si="8"/>
        <v>23</v>
      </c>
      <c r="BI24">
        <f t="shared" si="9"/>
        <v>23</v>
      </c>
      <c r="BO24">
        <f t="shared" si="10"/>
        <v>23</v>
      </c>
    </row>
    <row r="25" spans="1:71" x14ac:dyDescent="0.3">
      <c r="A25">
        <f t="shared" si="16"/>
        <v>24</v>
      </c>
      <c r="B25" t="s">
        <v>16</v>
      </c>
      <c r="C25" t="s">
        <v>159</v>
      </c>
      <c r="D25" t="s">
        <v>175</v>
      </c>
      <c r="E25" t="s">
        <v>129</v>
      </c>
      <c r="M25">
        <f t="shared" si="1"/>
        <v>24</v>
      </c>
      <c r="N25" t="s">
        <v>554</v>
      </c>
      <c r="O25" s="334" t="s">
        <v>2072</v>
      </c>
      <c r="P25" s="334" t="s">
        <v>558</v>
      </c>
      <c r="Q25" s="334" t="s">
        <v>2064</v>
      </c>
      <c r="S25">
        <f t="shared" si="2"/>
        <v>24</v>
      </c>
      <c r="Y25">
        <f t="shared" si="3"/>
        <v>24</v>
      </c>
      <c r="AE25">
        <f t="shared" si="4"/>
        <v>24</v>
      </c>
      <c r="AK25">
        <f t="shared" si="5"/>
        <v>24</v>
      </c>
      <c r="AQ25">
        <f t="shared" si="6"/>
        <v>24</v>
      </c>
      <c r="AW25">
        <f t="shared" si="7"/>
        <v>24</v>
      </c>
      <c r="BC25">
        <f t="shared" si="8"/>
        <v>24</v>
      </c>
      <c r="BI25">
        <f t="shared" si="9"/>
        <v>24</v>
      </c>
      <c r="BO25">
        <f t="shared" si="10"/>
        <v>24</v>
      </c>
    </row>
    <row r="26" spans="1:71" x14ac:dyDescent="0.3">
      <c r="A26">
        <f t="shared" si="16"/>
        <v>25</v>
      </c>
      <c r="B26" t="s">
        <v>17</v>
      </c>
      <c r="C26" t="s">
        <v>162</v>
      </c>
      <c r="D26" t="s">
        <v>174</v>
      </c>
      <c r="E26" t="s">
        <v>130</v>
      </c>
      <c r="M26">
        <f t="shared" si="1"/>
        <v>25</v>
      </c>
      <c r="N26" t="s">
        <v>2053</v>
      </c>
      <c r="O26" s="334" t="s">
        <v>2080</v>
      </c>
      <c r="P26" s="334" t="s">
        <v>2056</v>
      </c>
      <c r="Q26" s="334" t="s">
        <v>2065</v>
      </c>
      <c r="S26">
        <f t="shared" si="2"/>
        <v>25</v>
      </c>
      <c r="Y26">
        <f t="shared" si="3"/>
        <v>25</v>
      </c>
      <c r="AE26">
        <f t="shared" si="4"/>
        <v>25</v>
      </c>
      <c r="AK26">
        <f t="shared" si="5"/>
        <v>25</v>
      </c>
      <c r="AQ26">
        <f t="shared" si="6"/>
        <v>25</v>
      </c>
      <c r="AW26">
        <f t="shared" si="7"/>
        <v>25</v>
      </c>
      <c r="BC26">
        <f t="shared" si="8"/>
        <v>25</v>
      </c>
      <c r="BI26">
        <f t="shared" si="9"/>
        <v>25</v>
      </c>
      <c r="BO26">
        <f t="shared" si="10"/>
        <v>25</v>
      </c>
    </row>
    <row r="27" spans="1:71" x14ac:dyDescent="0.3">
      <c r="A27">
        <f t="shared" si="16"/>
        <v>26</v>
      </c>
      <c r="B27" t="s">
        <v>164</v>
      </c>
      <c r="C27" t="s">
        <v>166</v>
      </c>
      <c r="D27" t="s">
        <v>165</v>
      </c>
      <c r="E27" t="s">
        <v>131</v>
      </c>
      <c r="M27">
        <f t="shared" si="1"/>
        <v>26</v>
      </c>
      <c r="N27" t="s">
        <v>1467</v>
      </c>
      <c r="O27" s="334" t="s">
        <v>2079</v>
      </c>
      <c r="P27" s="334" t="s">
        <v>2062</v>
      </c>
      <c r="Q27" s="334" t="s">
        <v>2066</v>
      </c>
      <c r="S27">
        <f t="shared" si="2"/>
        <v>26</v>
      </c>
      <c r="Y27">
        <f t="shared" si="3"/>
        <v>26</v>
      </c>
      <c r="AE27">
        <f t="shared" si="4"/>
        <v>26</v>
      </c>
      <c r="AK27">
        <f t="shared" si="5"/>
        <v>26</v>
      </c>
      <c r="AQ27">
        <f t="shared" si="6"/>
        <v>26</v>
      </c>
      <c r="AW27">
        <f t="shared" si="7"/>
        <v>26</v>
      </c>
      <c r="BC27">
        <f t="shared" si="8"/>
        <v>26</v>
      </c>
      <c r="BI27">
        <f t="shared" si="9"/>
        <v>26</v>
      </c>
      <c r="BO27">
        <f t="shared" si="10"/>
        <v>26</v>
      </c>
    </row>
    <row r="28" spans="1:71" x14ac:dyDescent="0.3">
      <c r="A28">
        <f t="shared" si="16"/>
        <v>27</v>
      </c>
      <c r="B28" t="s">
        <v>18</v>
      </c>
      <c r="C28" t="s">
        <v>167</v>
      </c>
      <c r="D28" t="s">
        <v>168</v>
      </c>
      <c r="E28" t="s">
        <v>132</v>
      </c>
      <c r="M28">
        <f t="shared" si="1"/>
        <v>27</v>
      </c>
      <c r="N28" t="s">
        <v>1474</v>
      </c>
      <c r="O28" s="334" t="s">
        <v>2077</v>
      </c>
      <c r="P28" s="334" t="s">
        <v>2061</v>
      </c>
      <c r="Q28" s="334" t="s">
        <v>2067</v>
      </c>
      <c r="S28">
        <f t="shared" si="2"/>
        <v>27</v>
      </c>
      <c r="Y28">
        <f t="shared" si="3"/>
        <v>27</v>
      </c>
      <c r="AE28">
        <f t="shared" si="4"/>
        <v>27</v>
      </c>
      <c r="AK28">
        <f t="shared" si="5"/>
        <v>27</v>
      </c>
      <c r="AQ28">
        <f t="shared" si="6"/>
        <v>27</v>
      </c>
      <c r="AW28">
        <f t="shared" si="7"/>
        <v>27</v>
      </c>
      <c r="BC28">
        <f t="shared" si="8"/>
        <v>27</v>
      </c>
      <c r="BI28">
        <f t="shared" si="9"/>
        <v>27</v>
      </c>
      <c r="BO28">
        <f t="shared" si="10"/>
        <v>27</v>
      </c>
    </row>
    <row r="29" spans="1:71" x14ac:dyDescent="0.3">
      <c r="A29">
        <f t="shared" si="16"/>
        <v>28</v>
      </c>
      <c r="B29" t="s">
        <v>19</v>
      </c>
      <c r="C29" t="s">
        <v>163</v>
      </c>
      <c r="D29" t="s">
        <v>171</v>
      </c>
      <c r="E29" t="s">
        <v>133</v>
      </c>
      <c r="M29">
        <f t="shared" si="1"/>
        <v>28</v>
      </c>
      <c r="N29" t="s">
        <v>838</v>
      </c>
      <c r="O29" s="334" t="s">
        <v>1153</v>
      </c>
      <c r="P29" s="334" t="s">
        <v>1211</v>
      </c>
      <c r="Q29" s="334" t="s">
        <v>1180</v>
      </c>
      <c r="S29">
        <f t="shared" si="2"/>
        <v>28</v>
      </c>
      <c r="Y29">
        <f t="shared" si="3"/>
        <v>28</v>
      </c>
      <c r="AE29">
        <f t="shared" si="4"/>
        <v>28</v>
      </c>
      <c r="AK29">
        <f t="shared" si="5"/>
        <v>28</v>
      </c>
      <c r="AQ29">
        <f t="shared" si="6"/>
        <v>28</v>
      </c>
      <c r="AW29">
        <f t="shared" si="7"/>
        <v>28</v>
      </c>
      <c r="BC29">
        <f t="shared" si="8"/>
        <v>28</v>
      </c>
      <c r="BI29">
        <f t="shared" si="9"/>
        <v>28</v>
      </c>
      <c r="BO29">
        <f t="shared" si="10"/>
        <v>28</v>
      </c>
    </row>
    <row r="30" spans="1:71" x14ac:dyDescent="0.3">
      <c r="A30">
        <f t="shared" si="16"/>
        <v>29</v>
      </c>
      <c r="B30" t="s">
        <v>20</v>
      </c>
      <c r="C30" t="s">
        <v>169</v>
      </c>
      <c r="D30" t="s">
        <v>170</v>
      </c>
      <c r="E30" t="s">
        <v>134</v>
      </c>
      <c r="M30">
        <f t="shared" si="1"/>
        <v>29</v>
      </c>
      <c r="N30" t="s">
        <v>1478</v>
      </c>
      <c r="O30" s="334" t="s">
        <v>2078</v>
      </c>
      <c r="P30" s="334" t="s">
        <v>1478</v>
      </c>
      <c r="Q30" s="334" t="s">
        <v>1478</v>
      </c>
      <c r="S30">
        <f t="shared" si="2"/>
        <v>29</v>
      </c>
      <c r="Y30">
        <f t="shared" si="3"/>
        <v>29</v>
      </c>
      <c r="AE30">
        <f t="shared" si="4"/>
        <v>29</v>
      </c>
      <c r="AK30">
        <f t="shared" si="5"/>
        <v>29</v>
      </c>
      <c r="AQ30">
        <f t="shared" si="6"/>
        <v>29</v>
      </c>
      <c r="AW30">
        <f t="shared" si="7"/>
        <v>29</v>
      </c>
      <c r="BC30">
        <f t="shared" si="8"/>
        <v>29</v>
      </c>
      <c r="BI30">
        <f t="shared" si="9"/>
        <v>29</v>
      </c>
      <c r="BO30">
        <f t="shared" si="10"/>
        <v>29</v>
      </c>
    </row>
    <row r="31" spans="1:71" x14ac:dyDescent="0.3">
      <c r="A31">
        <f t="shared" si="16"/>
        <v>30</v>
      </c>
      <c r="B31" t="s">
        <v>37</v>
      </c>
      <c r="C31" t="s">
        <v>172</v>
      </c>
      <c r="D31" t="s">
        <v>173</v>
      </c>
      <c r="E31" t="s">
        <v>135</v>
      </c>
      <c r="M31">
        <f t="shared" si="1"/>
        <v>30</v>
      </c>
      <c r="N31" t="s">
        <v>1483</v>
      </c>
      <c r="O31" s="334" t="s">
        <v>2076</v>
      </c>
      <c r="P31" s="334" t="s">
        <v>2057</v>
      </c>
      <c r="Q31" s="334" t="s">
        <v>2068</v>
      </c>
      <c r="S31">
        <f t="shared" si="2"/>
        <v>30</v>
      </c>
      <c r="Y31">
        <f t="shared" si="3"/>
        <v>30</v>
      </c>
      <c r="AE31">
        <f t="shared" si="4"/>
        <v>30</v>
      </c>
      <c r="AK31">
        <f t="shared" si="5"/>
        <v>30</v>
      </c>
      <c r="AQ31">
        <f t="shared" si="6"/>
        <v>30</v>
      </c>
      <c r="AW31">
        <f t="shared" si="7"/>
        <v>30</v>
      </c>
      <c r="BC31">
        <f t="shared" si="8"/>
        <v>30</v>
      </c>
      <c r="BI31">
        <f t="shared" si="9"/>
        <v>30</v>
      </c>
      <c r="BO31">
        <f t="shared" si="10"/>
        <v>30</v>
      </c>
    </row>
    <row r="32" spans="1:71" x14ac:dyDescent="0.3">
      <c r="A32">
        <f>ROW()-1</f>
        <v>31</v>
      </c>
      <c r="B32" t="s">
        <v>181</v>
      </c>
      <c r="C32" t="s">
        <v>182</v>
      </c>
      <c r="D32" t="s">
        <v>183</v>
      </c>
      <c r="E32" t="s">
        <v>68</v>
      </c>
      <c r="M32">
        <f t="shared" si="1"/>
        <v>31</v>
      </c>
      <c r="N32" t="s">
        <v>2054</v>
      </c>
      <c r="O32" s="334" t="s">
        <v>2075</v>
      </c>
      <c r="P32" s="334" t="s">
        <v>2058</v>
      </c>
      <c r="Q32" s="334" t="s">
        <v>2069</v>
      </c>
      <c r="S32">
        <f t="shared" si="2"/>
        <v>31</v>
      </c>
      <c r="T32" t="s">
        <v>39</v>
      </c>
      <c r="U32" t="s">
        <v>289</v>
      </c>
      <c r="V32" t="s">
        <v>355</v>
      </c>
      <c r="W32" t="s">
        <v>356</v>
      </c>
      <c r="Y32">
        <f t="shared" si="3"/>
        <v>31</v>
      </c>
      <c r="Z32" t="s">
        <v>77</v>
      </c>
      <c r="AA32" t="s">
        <v>2206</v>
      </c>
      <c r="AB32" t="s">
        <v>2207</v>
      </c>
      <c r="AC32" t="s">
        <v>398</v>
      </c>
      <c r="AE32">
        <f t="shared" si="4"/>
        <v>31</v>
      </c>
      <c r="AF32" t="s">
        <v>199</v>
      </c>
      <c r="AG32" t="s">
        <v>413</v>
      </c>
      <c r="AH32" t="s">
        <v>421</v>
      </c>
      <c r="AI32" t="s">
        <v>413</v>
      </c>
      <c r="AK32">
        <f t="shared" si="5"/>
        <v>31</v>
      </c>
      <c r="AL32" t="s">
        <v>246</v>
      </c>
      <c r="AM32" t="s">
        <v>436</v>
      </c>
      <c r="AN32" t="s">
        <v>445</v>
      </c>
      <c r="AO32" t="s">
        <v>454</v>
      </c>
      <c r="AQ32">
        <f t="shared" si="6"/>
        <v>31</v>
      </c>
      <c r="AR32" t="s">
        <v>565</v>
      </c>
      <c r="AS32" t="s">
        <v>601</v>
      </c>
      <c r="AT32" t="s">
        <v>631</v>
      </c>
      <c r="AU32" t="s">
        <v>669</v>
      </c>
      <c r="AW32">
        <f t="shared" si="7"/>
        <v>31</v>
      </c>
      <c r="AX32" t="s">
        <v>814</v>
      </c>
      <c r="AY32" t="s">
        <v>1102</v>
      </c>
      <c r="AZ32" t="s">
        <v>1116</v>
      </c>
      <c r="BA32" t="s">
        <v>1136</v>
      </c>
      <c r="BC32">
        <f t="shared" si="8"/>
        <v>31</v>
      </c>
      <c r="BD32" t="s">
        <v>827</v>
      </c>
      <c r="BE32" t="s">
        <v>1155</v>
      </c>
      <c r="BF32" t="s">
        <v>1213</v>
      </c>
      <c r="BG32" t="s">
        <v>1155</v>
      </c>
      <c r="BI32">
        <f t="shared" si="9"/>
        <v>31</v>
      </c>
      <c r="BJ32" t="s">
        <v>1405</v>
      </c>
      <c r="BK32" t="s">
        <v>1748</v>
      </c>
      <c r="BL32" t="s">
        <v>1765</v>
      </c>
      <c r="BM32" t="s">
        <v>1802</v>
      </c>
      <c r="BO32">
        <f t="shared" si="10"/>
        <v>31</v>
      </c>
      <c r="BP32" t="s">
        <v>877</v>
      </c>
      <c r="BQ32" t="s">
        <v>1242</v>
      </c>
      <c r="BR32" t="s">
        <v>1272</v>
      </c>
      <c r="BS32" t="s">
        <v>1300</v>
      </c>
    </row>
    <row r="33" spans="1:71" x14ac:dyDescent="0.3">
      <c r="A33">
        <f t="shared" ref="A33:A36" si="17">ROW()-1</f>
        <v>32</v>
      </c>
      <c r="B33" t="s">
        <v>71</v>
      </c>
      <c r="C33" t="s">
        <v>186</v>
      </c>
      <c r="D33" t="s">
        <v>187</v>
      </c>
      <c r="E33" t="s">
        <v>185</v>
      </c>
      <c r="M33">
        <f t="shared" si="1"/>
        <v>32</v>
      </c>
      <c r="N33" t="s">
        <v>1494</v>
      </c>
      <c r="O33" s="334" t="s">
        <v>2073</v>
      </c>
      <c r="P33" s="334" t="s">
        <v>2059</v>
      </c>
      <c r="Q33" s="334" t="s">
        <v>2070</v>
      </c>
      <c r="S33">
        <f t="shared" si="2"/>
        <v>32</v>
      </c>
      <c r="T33" t="s">
        <v>2573</v>
      </c>
      <c r="U33" t="s">
        <v>2576</v>
      </c>
      <c r="V33" t="s">
        <v>2575</v>
      </c>
      <c r="W33" t="s">
        <v>2574</v>
      </c>
      <c r="Y33">
        <f t="shared" si="3"/>
        <v>32</v>
      </c>
      <c r="Z33" t="s">
        <v>2361</v>
      </c>
      <c r="AA33" t="s">
        <v>2362</v>
      </c>
      <c r="AB33" t="s">
        <v>2368</v>
      </c>
      <c r="AC33" t="s">
        <v>2367</v>
      </c>
      <c r="AE33">
        <f t="shared" si="4"/>
        <v>32</v>
      </c>
      <c r="AF33" t="s">
        <v>200</v>
      </c>
      <c r="AG33" t="s">
        <v>414</v>
      </c>
      <c r="AH33" t="s">
        <v>422</v>
      </c>
      <c r="AI33" t="s">
        <v>428</v>
      </c>
      <c r="AK33">
        <f t="shared" si="5"/>
        <v>32</v>
      </c>
      <c r="AL33" t="s">
        <v>470</v>
      </c>
      <c r="AM33" t="s">
        <v>492</v>
      </c>
      <c r="AN33" t="s">
        <v>2208</v>
      </c>
      <c r="AO33" t="s">
        <v>514</v>
      </c>
      <c r="AQ33">
        <f t="shared" si="6"/>
        <v>32</v>
      </c>
      <c r="AR33" t="s">
        <v>566</v>
      </c>
      <c r="AS33" t="s">
        <v>602</v>
      </c>
      <c r="AT33" t="s">
        <v>632</v>
      </c>
      <c r="AU33" t="s">
        <v>670</v>
      </c>
      <c r="AW33">
        <f t="shared" si="7"/>
        <v>32</v>
      </c>
      <c r="AX33" t="s">
        <v>815</v>
      </c>
      <c r="AY33" t="s">
        <v>973</v>
      </c>
      <c r="AZ33" t="s">
        <v>1117</v>
      </c>
      <c r="BA33" t="s">
        <v>963</v>
      </c>
      <c r="BC33">
        <f t="shared" si="8"/>
        <v>32</v>
      </c>
      <c r="BD33" t="s">
        <v>828</v>
      </c>
      <c r="BE33" t="s">
        <v>1156</v>
      </c>
      <c r="BF33" t="s">
        <v>1214</v>
      </c>
      <c r="BG33" t="s">
        <v>1183</v>
      </c>
      <c r="BI33">
        <f t="shared" si="9"/>
        <v>32</v>
      </c>
      <c r="BJ33" t="s">
        <v>1407</v>
      </c>
      <c r="BK33" t="s">
        <v>1749</v>
      </c>
      <c r="BL33" t="s">
        <v>1766</v>
      </c>
      <c r="BM33" t="s">
        <v>1783</v>
      </c>
      <c r="BO33">
        <f t="shared" si="10"/>
        <v>32</v>
      </c>
      <c r="BP33" t="s">
        <v>878</v>
      </c>
      <c r="BQ33" t="s">
        <v>1243</v>
      </c>
      <c r="BR33" t="s">
        <v>1273</v>
      </c>
      <c r="BS33" t="s">
        <v>1301</v>
      </c>
    </row>
    <row r="34" spans="1:71" x14ac:dyDescent="0.3">
      <c r="A34">
        <f t="shared" si="17"/>
        <v>33</v>
      </c>
      <c r="B34" t="s">
        <v>38</v>
      </c>
      <c r="C34" t="s">
        <v>189</v>
      </c>
      <c r="D34" t="s">
        <v>190</v>
      </c>
      <c r="E34" t="s">
        <v>188</v>
      </c>
      <c r="M34">
        <f t="shared" si="1"/>
        <v>33</v>
      </c>
      <c r="N34" t="s">
        <v>1497</v>
      </c>
      <c r="O34" s="334" t="s">
        <v>2074</v>
      </c>
      <c r="P34" s="334" t="s">
        <v>2060</v>
      </c>
      <c r="Q34" s="334" t="s">
        <v>2071</v>
      </c>
      <c r="S34">
        <f t="shared" si="2"/>
        <v>33</v>
      </c>
      <c r="T34" t="s">
        <v>41</v>
      </c>
      <c r="U34" t="s">
        <v>290</v>
      </c>
      <c r="V34" t="s">
        <v>357</v>
      </c>
      <c r="W34" t="s">
        <v>358</v>
      </c>
      <c r="Y34">
        <f t="shared" si="3"/>
        <v>33</v>
      </c>
      <c r="Z34" t="s">
        <v>78</v>
      </c>
      <c r="AA34" t="s">
        <v>399</v>
      </c>
      <c r="AB34" t="s">
        <v>400</v>
      </c>
      <c r="AC34" t="s">
        <v>401</v>
      </c>
      <c r="AE34">
        <f t="shared" si="4"/>
        <v>33</v>
      </c>
      <c r="AF34" t="s">
        <v>201</v>
      </c>
      <c r="AG34" t="s">
        <v>415</v>
      </c>
      <c r="AH34" t="s">
        <v>423</v>
      </c>
      <c r="AI34" t="s">
        <v>429</v>
      </c>
      <c r="AK34">
        <f t="shared" si="5"/>
        <v>33</v>
      </c>
      <c r="AL34" t="s">
        <v>471</v>
      </c>
      <c r="AM34" t="s">
        <v>493</v>
      </c>
      <c r="AN34" t="s">
        <v>2209</v>
      </c>
      <c r="AO34" t="s">
        <v>515</v>
      </c>
      <c r="AQ34">
        <f t="shared" si="6"/>
        <v>33</v>
      </c>
      <c r="AR34" t="s">
        <v>567</v>
      </c>
      <c r="AS34" t="s">
        <v>603</v>
      </c>
      <c r="AT34" t="s">
        <v>633</v>
      </c>
      <c r="AU34" t="s">
        <v>671</v>
      </c>
      <c r="AW34">
        <f t="shared" si="7"/>
        <v>33</v>
      </c>
      <c r="AX34" t="s">
        <v>816</v>
      </c>
      <c r="AY34" t="s">
        <v>816</v>
      </c>
      <c r="AZ34" t="s">
        <v>1118</v>
      </c>
      <c r="BA34" t="s">
        <v>816</v>
      </c>
      <c r="BC34">
        <f t="shared" si="8"/>
        <v>33</v>
      </c>
      <c r="BD34" t="s">
        <v>830</v>
      </c>
      <c r="BE34" t="s">
        <v>1157</v>
      </c>
      <c r="BF34" t="s">
        <v>1215</v>
      </c>
      <c r="BG34" t="s">
        <v>1184</v>
      </c>
      <c r="BI34">
        <f t="shared" si="9"/>
        <v>33</v>
      </c>
      <c r="BJ34" t="s">
        <v>1408</v>
      </c>
      <c r="BK34" t="s">
        <v>1750</v>
      </c>
      <c r="BL34" t="s">
        <v>1767</v>
      </c>
      <c r="BM34" t="s">
        <v>1784</v>
      </c>
      <c r="BO34">
        <f t="shared" si="10"/>
        <v>33</v>
      </c>
      <c r="BP34" t="s">
        <v>879</v>
      </c>
      <c r="BQ34" t="s">
        <v>1244</v>
      </c>
      <c r="BR34" t="s">
        <v>1274</v>
      </c>
      <c r="BS34" t="s">
        <v>1302</v>
      </c>
    </row>
    <row r="35" spans="1:71" x14ac:dyDescent="0.3">
      <c r="A35">
        <f t="shared" si="17"/>
        <v>34</v>
      </c>
      <c r="B35" t="s">
        <v>184</v>
      </c>
      <c r="C35" t="s">
        <v>184</v>
      </c>
      <c r="D35" t="s">
        <v>184</v>
      </c>
      <c r="E35" t="s">
        <v>184</v>
      </c>
      <c r="M35">
        <f t="shared" si="1"/>
        <v>34</v>
      </c>
      <c r="N35" t="s">
        <v>766</v>
      </c>
      <c r="O35" s="334" t="s">
        <v>904</v>
      </c>
      <c r="P35" s="334" t="s">
        <v>906</v>
      </c>
      <c r="Q35" s="334" t="s">
        <v>908</v>
      </c>
      <c r="S35">
        <f t="shared" si="2"/>
        <v>34</v>
      </c>
      <c r="T35" t="s">
        <v>42</v>
      </c>
      <c r="U35" t="s">
        <v>291</v>
      </c>
      <c r="V35" t="s">
        <v>359</v>
      </c>
      <c r="W35" t="s">
        <v>360</v>
      </c>
      <c r="Y35">
        <f t="shared" si="3"/>
        <v>34</v>
      </c>
      <c r="Z35" t="s">
        <v>2364</v>
      </c>
      <c r="AA35" t="s">
        <v>2363</v>
      </c>
      <c r="AB35" t="s">
        <v>2365</v>
      </c>
      <c r="AC35" t="s">
        <v>2366</v>
      </c>
      <c r="AE35">
        <f t="shared" si="4"/>
        <v>34</v>
      </c>
      <c r="AF35" t="s">
        <v>202</v>
      </c>
      <c r="AG35" t="s">
        <v>416</v>
      </c>
      <c r="AH35" t="s">
        <v>424</v>
      </c>
      <c r="AI35" t="s">
        <v>430</v>
      </c>
      <c r="AK35">
        <f t="shared" si="5"/>
        <v>34</v>
      </c>
      <c r="AL35" t="s">
        <v>472</v>
      </c>
      <c r="AM35" t="s">
        <v>494</v>
      </c>
      <c r="AN35" t="s">
        <v>2210</v>
      </c>
      <c r="AO35" t="s">
        <v>516</v>
      </c>
      <c r="AQ35">
        <f t="shared" si="6"/>
        <v>34</v>
      </c>
      <c r="AR35" t="s">
        <v>568</v>
      </c>
      <c r="AS35" t="s">
        <v>604</v>
      </c>
      <c r="AT35" t="s">
        <v>634</v>
      </c>
      <c r="AU35" t="s">
        <v>672</v>
      </c>
      <c r="AW35">
        <f t="shared" si="7"/>
        <v>34</v>
      </c>
      <c r="AX35" t="s">
        <v>817</v>
      </c>
      <c r="AY35" t="s">
        <v>817</v>
      </c>
      <c r="AZ35" t="s">
        <v>817</v>
      </c>
      <c r="BA35" t="s">
        <v>1137</v>
      </c>
      <c r="BC35">
        <f t="shared" si="8"/>
        <v>34</v>
      </c>
      <c r="BD35" t="s">
        <v>831</v>
      </c>
      <c r="BE35" t="s">
        <v>1158</v>
      </c>
      <c r="BF35" t="s">
        <v>1216</v>
      </c>
      <c r="BG35" t="s">
        <v>1185</v>
      </c>
      <c r="BI35">
        <f t="shared" si="9"/>
        <v>34</v>
      </c>
      <c r="BJ35" t="s">
        <v>1409</v>
      </c>
      <c r="BK35" t="s">
        <v>1751</v>
      </c>
      <c r="BL35" t="s">
        <v>1768</v>
      </c>
      <c r="BM35" t="s">
        <v>1785</v>
      </c>
      <c r="BO35">
        <f t="shared" si="10"/>
        <v>34</v>
      </c>
      <c r="BP35" t="s">
        <v>1326</v>
      </c>
      <c r="BQ35" t="s">
        <v>1245</v>
      </c>
      <c r="BR35" t="s">
        <v>1336</v>
      </c>
      <c r="BS35" t="s">
        <v>1335</v>
      </c>
    </row>
    <row r="36" spans="1:71" x14ac:dyDescent="0.3">
      <c r="A36">
        <f t="shared" si="17"/>
        <v>35</v>
      </c>
      <c r="B36" t="s">
        <v>1396</v>
      </c>
      <c r="C36" t="s">
        <v>1401</v>
      </c>
      <c r="D36" t="s">
        <v>1402</v>
      </c>
      <c r="E36" t="s">
        <v>1400</v>
      </c>
      <c r="M36">
        <f t="shared" si="1"/>
        <v>35</v>
      </c>
      <c r="N36" t="s">
        <v>768</v>
      </c>
      <c r="O36" s="334" t="s">
        <v>905</v>
      </c>
      <c r="P36" s="334" t="s">
        <v>907</v>
      </c>
      <c r="Q36" s="334" t="s">
        <v>901</v>
      </c>
      <c r="S36">
        <f t="shared" si="2"/>
        <v>35</v>
      </c>
      <c r="T36" t="s">
        <v>43</v>
      </c>
      <c r="U36" t="s">
        <v>292</v>
      </c>
      <c r="V36" t="s">
        <v>361</v>
      </c>
      <c r="W36" t="s">
        <v>362</v>
      </c>
      <c r="Y36">
        <f t="shared" si="3"/>
        <v>35</v>
      </c>
      <c r="Z36" t="s">
        <v>80</v>
      </c>
      <c r="AA36" t="s">
        <v>402</v>
      </c>
      <c r="AB36" t="s">
        <v>403</v>
      </c>
      <c r="AC36" t="s">
        <v>404</v>
      </c>
      <c r="AE36">
        <f t="shared" si="4"/>
        <v>35</v>
      </c>
      <c r="AF36" t="s">
        <v>203</v>
      </c>
      <c r="AG36" t="s">
        <v>417</v>
      </c>
      <c r="AH36" t="s">
        <v>425</v>
      </c>
      <c r="AI36" t="s">
        <v>431</v>
      </c>
      <c r="AK36">
        <f t="shared" si="5"/>
        <v>35</v>
      </c>
      <c r="AL36" t="s">
        <v>473</v>
      </c>
      <c r="AM36" t="s">
        <v>495</v>
      </c>
      <c r="AN36" t="s">
        <v>2211</v>
      </c>
      <c r="AO36" t="s">
        <v>517</v>
      </c>
      <c r="AQ36">
        <f t="shared" si="6"/>
        <v>35</v>
      </c>
      <c r="AR36" t="s">
        <v>248</v>
      </c>
      <c r="AS36" t="s">
        <v>438</v>
      </c>
      <c r="AT36" t="s">
        <v>635</v>
      </c>
      <c r="AU36" t="s">
        <v>456</v>
      </c>
      <c r="AW36">
        <f t="shared" si="7"/>
        <v>35</v>
      </c>
      <c r="AX36" t="s">
        <v>818</v>
      </c>
      <c r="AY36" t="s">
        <v>1103</v>
      </c>
      <c r="AZ36" t="s">
        <v>1119</v>
      </c>
      <c r="BA36" t="s">
        <v>1138</v>
      </c>
      <c r="BC36">
        <f t="shared" si="8"/>
        <v>35</v>
      </c>
      <c r="BD36" t="s">
        <v>832</v>
      </c>
      <c r="BE36" t="s">
        <v>1159</v>
      </c>
      <c r="BF36" t="s">
        <v>1217</v>
      </c>
      <c r="BG36" t="s">
        <v>1186</v>
      </c>
      <c r="BI36">
        <f t="shared" si="9"/>
        <v>35</v>
      </c>
      <c r="BJ36" t="s">
        <v>1410</v>
      </c>
      <c r="BK36" t="s">
        <v>1752</v>
      </c>
      <c r="BL36" t="s">
        <v>1769</v>
      </c>
      <c r="BM36" t="s">
        <v>1786</v>
      </c>
      <c r="BO36">
        <f t="shared" si="10"/>
        <v>35</v>
      </c>
      <c r="BP36" t="s">
        <v>1327</v>
      </c>
      <c r="BQ36" t="s">
        <v>1328</v>
      </c>
      <c r="BR36" t="s">
        <v>1332</v>
      </c>
      <c r="BS36" t="s">
        <v>1333</v>
      </c>
    </row>
    <row r="37" spans="1:71" x14ac:dyDescent="0.3">
      <c r="A37">
        <f t="shared" ref="A37:A47" si="18">ROW()-1</f>
        <v>36</v>
      </c>
      <c r="B37" t="s">
        <v>312</v>
      </c>
      <c r="C37" t="s">
        <v>313</v>
      </c>
      <c r="D37" t="s">
        <v>314</v>
      </c>
      <c r="E37" t="s">
        <v>315</v>
      </c>
      <c r="M37">
        <f t="shared" si="1"/>
        <v>36</v>
      </c>
      <c r="N37" t="s">
        <v>970</v>
      </c>
      <c r="O37" s="334" t="s">
        <v>969</v>
      </c>
      <c r="P37" s="334" t="s">
        <v>966</v>
      </c>
      <c r="Q37" s="334" t="s">
        <v>964</v>
      </c>
      <c r="S37">
        <f t="shared" si="2"/>
        <v>36</v>
      </c>
      <c r="T37" t="s">
        <v>44</v>
      </c>
      <c r="U37" t="s">
        <v>293</v>
      </c>
      <c r="V37" t="s">
        <v>363</v>
      </c>
      <c r="W37" t="s">
        <v>364</v>
      </c>
      <c r="Y37">
        <f t="shared" si="3"/>
        <v>36</v>
      </c>
      <c r="Z37" t="s">
        <v>81</v>
      </c>
      <c r="AA37" t="s">
        <v>405</v>
      </c>
      <c r="AB37" t="s">
        <v>406</v>
      </c>
      <c r="AC37" t="s">
        <v>407</v>
      </c>
      <c r="AE37">
        <f t="shared" si="4"/>
        <v>36</v>
      </c>
      <c r="AF37" t="s">
        <v>204</v>
      </c>
      <c r="AG37" t="s">
        <v>418</v>
      </c>
      <c r="AH37" t="s">
        <v>426</v>
      </c>
      <c r="AI37" t="s">
        <v>432</v>
      </c>
      <c r="AK37">
        <f t="shared" si="5"/>
        <v>36</v>
      </c>
      <c r="AL37" t="s">
        <v>474</v>
      </c>
      <c r="AM37" t="s">
        <v>496</v>
      </c>
      <c r="AN37" t="s">
        <v>2212</v>
      </c>
      <c r="AO37" t="s">
        <v>518</v>
      </c>
      <c r="AQ37">
        <f t="shared" si="6"/>
        <v>36</v>
      </c>
      <c r="AR37" t="s">
        <v>569</v>
      </c>
      <c r="AS37" t="s">
        <v>605</v>
      </c>
      <c r="AT37" t="s">
        <v>636</v>
      </c>
      <c r="AU37" t="s">
        <v>673</v>
      </c>
      <c r="AW37">
        <f t="shared" si="7"/>
        <v>36</v>
      </c>
      <c r="AX37" t="s">
        <v>819</v>
      </c>
      <c r="AY37" t="s">
        <v>972</v>
      </c>
      <c r="AZ37" t="s">
        <v>1120</v>
      </c>
      <c r="BA37" t="s">
        <v>962</v>
      </c>
      <c r="BC37">
        <f t="shared" si="8"/>
        <v>36</v>
      </c>
      <c r="BD37" t="s">
        <v>833</v>
      </c>
      <c r="BE37" t="s">
        <v>1160</v>
      </c>
      <c r="BF37" t="s">
        <v>1218</v>
      </c>
      <c r="BG37" t="s">
        <v>1187</v>
      </c>
      <c r="BI37">
        <f t="shared" si="9"/>
        <v>36</v>
      </c>
      <c r="BJ37" t="s">
        <v>1411</v>
      </c>
      <c r="BK37" t="s">
        <v>1753</v>
      </c>
      <c r="BL37" t="s">
        <v>1770</v>
      </c>
      <c r="BM37" t="s">
        <v>1787</v>
      </c>
      <c r="BO37">
        <f t="shared" si="10"/>
        <v>36</v>
      </c>
      <c r="BP37" t="s">
        <v>1330</v>
      </c>
      <c r="BQ37" t="s">
        <v>1329</v>
      </c>
      <c r="BR37" t="s">
        <v>1331</v>
      </c>
      <c r="BS37" t="s">
        <v>1334</v>
      </c>
    </row>
    <row r="38" spans="1:71" x14ac:dyDescent="0.3">
      <c r="A38">
        <f t="shared" si="18"/>
        <v>37</v>
      </c>
      <c r="B38" t="s">
        <v>74</v>
      </c>
      <c r="C38" t="s">
        <v>410</v>
      </c>
      <c r="D38" t="s">
        <v>316</v>
      </c>
      <c r="E38" t="s">
        <v>317</v>
      </c>
      <c r="M38">
        <f t="shared" si="1"/>
        <v>37</v>
      </c>
      <c r="N38" t="s">
        <v>971</v>
      </c>
      <c r="O38" s="334" t="s">
        <v>968</v>
      </c>
      <c r="P38" s="334" t="s">
        <v>967</v>
      </c>
      <c r="Q38" s="334" t="s">
        <v>965</v>
      </c>
      <c r="S38">
        <f t="shared" si="2"/>
        <v>37</v>
      </c>
      <c r="T38" t="s">
        <v>45</v>
      </c>
      <c r="U38" t="s">
        <v>294</v>
      </c>
      <c r="V38" t="s">
        <v>365</v>
      </c>
      <c r="W38" t="s">
        <v>366</v>
      </c>
      <c r="Y38">
        <f t="shared" si="3"/>
        <v>37</v>
      </c>
      <c r="Z38" t="s">
        <v>2332</v>
      </c>
      <c r="AA38" t="s">
        <v>2333</v>
      </c>
      <c r="AB38" t="s">
        <v>2334</v>
      </c>
      <c r="AC38" t="s">
        <v>2335</v>
      </c>
      <c r="AE38">
        <f t="shared" si="4"/>
        <v>37</v>
      </c>
      <c r="AF38" s="334" t="s">
        <v>2522</v>
      </c>
      <c r="AG38" s="334" t="s">
        <v>2600</v>
      </c>
      <c r="AH38" s="334" t="s">
        <v>2601</v>
      </c>
      <c r="AI38" s="334" t="s">
        <v>2602</v>
      </c>
      <c r="AK38">
        <f t="shared" si="5"/>
        <v>37</v>
      </c>
      <c r="AL38" t="s">
        <v>475</v>
      </c>
      <c r="AM38" t="s">
        <v>497</v>
      </c>
      <c r="AN38" t="s">
        <v>2213</v>
      </c>
      <c r="AO38" t="s">
        <v>519</v>
      </c>
      <c r="AQ38">
        <f t="shared" si="6"/>
        <v>37</v>
      </c>
      <c r="AR38" t="s">
        <v>570</v>
      </c>
      <c r="AS38" t="s">
        <v>606</v>
      </c>
      <c r="AT38" t="s">
        <v>637</v>
      </c>
      <c r="AU38" t="s">
        <v>674</v>
      </c>
      <c r="AW38">
        <f t="shared" si="7"/>
        <v>37</v>
      </c>
      <c r="AX38" t="s">
        <v>816</v>
      </c>
      <c r="AY38" t="s">
        <v>816</v>
      </c>
      <c r="AZ38" t="s">
        <v>1118</v>
      </c>
      <c r="BA38" t="s">
        <v>816</v>
      </c>
      <c r="BC38">
        <f t="shared" si="8"/>
        <v>37</v>
      </c>
      <c r="BD38" t="s">
        <v>834</v>
      </c>
      <c r="BE38" t="s">
        <v>1161</v>
      </c>
      <c r="BF38" t="s">
        <v>1219</v>
      </c>
      <c r="BG38" t="s">
        <v>1188</v>
      </c>
      <c r="BI38">
        <f t="shared" si="9"/>
        <v>37</v>
      </c>
      <c r="BJ38" t="s">
        <v>1412</v>
      </c>
      <c r="BK38" t="s">
        <v>1754</v>
      </c>
      <c r="BL38" t="s">
        <v>1771</v>
      </c>
      <c r="BM38" t="s">
        <v>1788</v>
      </c>
      <c r="BO38">
        <f t="shared" si="10"/>
        <v>37</v>
      </c>
    </row>
    <row r="39" spans="1:71" x14ac:dyDescent="0.3">
      <c r="A39">
        <f t="shared" si="18"/>
        <v>38</v>
      </c>
      <c r="B39" t="s">
        <v>318</v>
      </c>
      <c r="C39" t="s">
        <v>319</v>
      </c>
      <c r="D39" t="s">
        <v>320</v>
      </c>
      <c r="E39" t="s">
        <v>321</v>
      </c>
      <c r="M39">
        <f t="shared" si="1"/>
        <v>38</v>
      </c>
      <c r="N39" t="s">
        <v>1522</v>
      </c>
      <c r="O39" s="334" t="s">
        <v>1727</v>
      </c>
      <c r="P39" s="334" t="s">
        <v>1727</v>
      </c>
      <c r="Q39" s="334" t="s">
        <v>1522</v>
      </c>
      <c r="S39">
        <f t="shared" si="2"/>
        <v>38</v>
      </c>
      <c r="T39" t="s">
        <v>311</v>
      </c>
      <c r="U39" t="s">
        <v>294</v>
      </c>
      <c r="V39" t="s">
        <v>367</v>
      </c>
      <c r="W39" t="s">
        <v>368</v>
      </c>
      <c r="Y39">
        <f t="shared" si="3"/>
        <v>38</v>
      </c>
      <c r="AE39">
        <f t="shared" si="4"/>
        <v>38</v>
      </c>
      <c r="AK39">
        <f t="shared" si="5"/>
        <v>38</v>
      </c>
      <c r="AL39" t="s">
        <v>476</v>
      </c>
      <c r="AM39" t="s">
        <v>498</v>
      </c>
      <c r="AN39" t="s">
        <v>2214</v>
      </c>
      <c r="AO39" t="s">
        <v>520</v>
      </c>
      <c r="AQ39">
        <f t="shared" si="6"/>
        <v>38</v>
      </c>
      <c r="AR39" t="s">
        <v>571</v>
      </c>
      <c r="AS39" t="s">
        <v>607</v>
      </c>
      <c r="AT39" t="s">
        <v>638</v>
      </c>
      <c r="AU39" t="s">
        <v>675</v>
      </c>
      <c r="AW39">
        <f t="shared" si="7"/>
        <v>38</v>
      </c>
      <c r="AX39" t="s">
        <v>817</v>
      </c>
      <c r="AY39" t="s">
        <v>817</v>
      </c>
      <c r="AZ39" t="s">
        <v>817</v>
      </c>
      <c r="BA39" t="s">
        <v>1137</v>
      </c>
      <c r="BC39">
        <f t="shared" si="8"/>
        <v>38</v>
      </c>
      <c r="BD39" t="s">
        <v>835</v>
      </c>
      <c r="BE39" t="s">
        <v>1162</v>
      </c>
      <c r="BF39" t="s">
        <v>1220</v>
      </c>
      <c r="BG39" t="s">
        <v>1189</v>
      </c>
      <c r="BI39">
        <f t="shared" si="9"/>
        <v>38</v>
      </c>
      <c r="BJ39" t="s">
        <v>1413</v>
      </c>
      <c r="BK39" t="s">
        <v>1755</v>
      </c>
      <c r="BL39" t="s">
        <v>1772</v>
      </c>
      <c r="BM39" t="s">
        <v>1789</v>
      </c>
      <c r="BO39">
        <f t="shared" si="10"/>
        <v>38</v>
      </c>
    </row>
    <row r="40" spans="1:71" x14ac:dyDescent="0.3">
      <c r="A40">
        <f t="shared" si="18"/>
        <v>39</v>
      </c>
      <c r="B40" t="s">
        <v>322</v>
      </c>
      <c r="C40" t="s">
        <v>323</v>
      </c>
      <c r="D40" t="s">
        <v>324</v>
      </c>
      <c r="E40" t="s">
        <v>325</v>
      </c>
      <c r="M40">
        <f t="shared" si="1"/>
        <v>39</v>
      </c>
      <c r="O40" s="334"/>
      <c r="P40" s="334"/>
      <c r="Q40" s="334"/>
      <c r="S40">
        <f t="shared" si="2"/>
        <v>39</v>
      </c>
      <c r="T40" t="s">
        <v>2573</v>
      </c>
      <c r="U40" t="s">
        <v>2576</v>
      </c>
      <c r="V40" t="s">
        <v>2575</v>
      </c>
      <c r="W40" t="s">
        <v>2574</v>
      </c>
      <c r="Y40">
        <f t="shared" si="3"/>
        <v>39</v>
      </c>
      <c r="AE40">
        <f t="shared" si="4"/>
        <v>39</v>
      </c>
      <c r="AK40">
        <f t="shared" si="5"/>
        <v>39</v>
      </c>
      <c r="AL40" t="s">
        <v>477</v>
      </c>
      <c r="AM40" t="s">
        <v>499</v>
      </c>
      <c r="AN40" t="s">
        <v>2215</v>
      </c>
      <c r="AO40" t="s">
        <v>521</v>
      </c>
      <c r="AQ40">
        <f t="shared" si="6"/>
        <v>39</v>
      </c>
      <c r="AR40" t="s">
        <v>572</v>
      </c>
      <c r="AS40" t="s">
        <v>608</v>
      </c>
      <c r="AT40" t="s">
        <v>639</v>
      </c>
      <c r="AU40" t="s">
        <v>676</v>
      </c>
      <c r="AW40">
        <f t="shared" si="7"/>
        <v>39</v>
      </c>
      <c r="AX40" t="s">
        <v>818</v>
      </c>
      <c r="AY40" t="s">
        <v>1103</v>
      </c>
      <c r="AZ40" t="s">
        <v>1119</v>
      </c>
      <c r="BA40" t="s">
        <v>1138</v>
      </c>
      <c r="BC40">
        <f t="shared" si="8"/>
        <v>39</v>
      </c>
      <c r="BD40" t="s">
        <v>836</v>
      </c>
      <c r="BE40" t="s">
        <v>1163</v>
      </c>
      <c r="BF40" t="s">
        <v>1221</v>
      </c>
      <c r="BG40" t="s">
        <v>1190</v>
      </c>
      <c r="BI40">
        <f t="shared" si="9"/>
        <v>39</v>
      </c>
      <c r="BJ40" t="s">
        <v>1414</v>
      </c>
      <c r="BK40" t="s">
        <v>1756</v>
      </c>
      <c r="BL40" t="s">
        <v>1773</v>
      </c>
      <c r="BM40" t="s">
        <v>1790</v>
      </c>
      <c r="BO40">
        <f t="shared" si="10"/>
        <v>39</v>
      </c>
    </row>
    <row r="41" spans="1:71" x14ac:dyDescent="0.3">
      <c r="A41">
        <f t="shared" si="18"/>
        <v>40</v>
      </c>
      <c r="B41" t="s">
        <v>326</v>
      </c>
      <c r="C41" t="s">
        <v>327</v>
      </c>
      <c r="D41" t="s">
        <v>328</v>
      </c>
      <c r="E41" t="s">
        <v>329</v>
      </c>
      <c r="M41">
        <f t="shared" si="1"/>
        <v>40</v>
      </c>
      <c r="O41" s="334"/>
      <c r="P41" s="334"/>
      <c r="Q41" s="334"/>
      <c r="S41">
        <f t="shared" si="2"/>
        <v>40</v>
      </c>
      <c r="T41" t="s">
        <v>47</v>
      </c>
      <c r="U41" t="s">
        <v>295</v>
      </c>
      <c r="V41" t="s">
        <v>369</v>
      </c>
      <c r="W41" t="s">
        <v>370</v>
      </c>
      <c r="Y41">
        <f t="shared" si="3"/>
        <v>40</v>
      </c>
      <c r="AE41">
        <f t="shared" si="4"/>
        <v>40</v>
      </c>
      <c r="AK41">
        <f t="shared" si="5"/>
        <v>40</v>
      </c>
      <c r="AL41" t="s">
        <v>478</v>
      </c>
      <c r="AM41" t="s">
        <v>2216</v>
      </c>
      <c r="AN41" t="s">
        <v>2217</v>
      </c>
      <c r="AO41" t="s">
        <v>522</v>
      </c>
      <c r="AQ41">
        <f t="shared" si="6"/>
        <v>40</v>
      </c>
      <c r="AR41" t="s">
        <v>573</v>
      </c>
      <c r="AS41" t="s">
        <v>2218</v>
      </c>
      <c r="AT41" t="s">
        <v>640</v>
      </c>
      <c r="AU41" t="s">
        <v>677</v>
      </c>
      <c r="AW41">
        <f t="shared" si="7"/>
        <v>40</v>
      </c>
      <c r="AX41" t="s">
        <v>1096</v>
      </c>
      <c r="AY41" t="s">
        <v>1104</v>
      </c>
      <c r="AZ41" t="s">
        <v>1121</v>
      </c>
      <c r="BA41" t="s">
        <v>1139</v>
      </c>
      <c r="BC41">
        <f t="shared" si="8"/>
        <v>40</v>
      </c>
      <c r="BD41" t="s">
        <v>837</v>
      </c>
      <c r="BE41" t="s">
        <v>1164</v>
      </c>
      <c r="BF41" t="s">
        <v>1222</v>
      </c>
      <c r="BG41" t="s">
        <v>1191</v>
      </c>
      <c r="BI41">
        <f t="shared" si="9"/>
        <v>40</v>
      </c>
      <c r="BJ41" t="s">
        <v>1415</v>
      </c>
      <c r="BK41" t="s">
        <v>1757</v>
      </c>
      <c r="BL41" t="s">
        <v>1774</v>
      </c>
      <c r="BM41" t="s">
        <v>1791</v>
      </c>
      <c r="BO41">
        <f t="shared" si="10"/>
        <v>40</v>
      </c>
    </row>
    <row r="42" spans="1:71" x14ac:dyDescent="0.3">
      <c r="A42">
        <f t="shared" si="18"/>
        <v>41</v>
      </c>
      <c r="B42" t="s">
        <v>330</v>
      </c>
      <c r="C42" t="s">
        <v>331</v>
      </c>
      <c r="D42" t="s">
        <v>332</v>
      </c>
      <c r="E42" t="s">
        <v>333</v>
      </c>
      <c r="M42">
        <f t="shared" si="1"/>
        <v>41</v>
      </c>
      <c r="N42" t="s">
        <v>1819</v>
      </c>
      <c r="O42" s="334" t="s">
        <v>1838</v>
      </c>
      <c r="P42" s="334" t="s">
        <v>1848</v>
      </c>
      <c r="Q42" s="334" t="s">
        <v>1821</v>
      </c>
      <c r="S42">
        <f t="shared" si="2"/>
        <v>41</v>
      </c>
      <c r="T42" t="s">
        <v>48</v>
      </c>
      <c r="U42" t="s">
        <v>296</v>
      </c>
      <c r="V42" t="s">
        <v>371</v>
      </c>
      <c r="W42" t="s">
        <v>372</v>
      </c>
      <c r="Y42">
        <f t="shared" si="3"/>
        <v>41</v>
      </c>
      <c r="AE42">
        <f t="shared" si="4"/>
        <v>41</v>
      </c>
      <c r="AF42" t="s">
        <v>1605</v>
      </c>
      <c r="AG42" t="s">
        <v>1619</v>
      </c>
      <c r="AH42" t="s">
        <v>1626</v>
      </c>
      <c r="AI42" t="s">
        <v>1612</v>
      </c>
      <c r="AK42">
        <f t="shared" si="5"/>
        <v>41</v>
      </c>
      <c r="AL42" t="s">
        <v>479</v>
      </c>
      <c r="AM42" t="s">
        <v>500</v>
      </c>
      <c r="AN42" t="s">
        <v>2219</v>
      </c>
      <c r="AO42" t="s">
        <v>523</v>
      </c>
      <c r="AQ42">
        <f t="shared" si="6"/>
        <v>41</v>
      </c>
      <c r="AR42" t="s">
        <v>574</v>
      </c>
      <c r="AS42" t="s">
        <v>609</v>
      </c>
      <c r="AT42" t="s">
        <v>641</v>
      </c>
      <c r="AU42" t="s">
        <v>678</v>
      </c>
      <c r="AW42">
        <f t="shared" si="7"/>
        <v>41</v>
      </c>
      <c r="AX42" t="s">
        <v>805</v>
      </c>
      <c r="AY42" t="s">
        <v>1105</v>
      </c>
      <c r="AZ42" t="s">
        <v>1122</v>
      </c>
      <c r="BA42" t="s">
        <v>1140</v>
      </c>
      <c r="BC42">
        <f t="shared" si="8"/>
        <v>41</v>
      </c>
      <c r="BD42" t="s">
        <v>839</v>
      </c>
      <c r="BE42" t="s">
        <v>1165</v>
      </c>
      <c r="BF42" t="s">
        <v>1223</v>
      </c>
      <c r="BG42" t="s">
        <v>1192</v>
      </c>
      <c r="BI42">
        <f t="shared" si="9"/>
        <v>41</v>
      </c>
      <c r="BJ42" t="s">
        <v>1416</v>
      </c>
      <c r="BK42" t="s">
        <v>1758</v>
      </c>
      <c r="BL42" t="s">
        <v>1775</v>
      </c>
      <c r="BM42" t="s">
        <v>1792</v>
      </c>
      <c r="BO42">
        <f t="shared" si="10"/>
        <v>41</v>
      </c>
    </row>
    <row r="43" spans="1:71" x14ac:dyDescent="0.3">
      <c r="A43">
        <f t="shared" si="18"/>
        <v>42</v>
      </c>
      <c r="B43" t="s">
        <v>334</v>
      </c>
      <c r="C43" t="s">
        <v>335</v>
      </c>
      <c r="D43" t="s">
        <v>336</v>
      </c>
      <c r="E43" t="s">
        <v>337</v>
      </c>
      <c r="M43">
        <f t="shared" si="1"/>
        <v>42</v>
      </c>
      <c r="N43" t="s">
        <v>1452</v>
      </c>
      <c r="O43" s="334" t="s">
        <v>1839</v>
      </c>
      <c r="P43" s="334" t="s">
        <v>1849</v>
      </c>
      <c r="Q43" s="334" t="s">
        <v>1823</v>
      </c>
      <c r="S43">
        <f t="shared" si="2"/>
        <v>42</v>
      </c>
      <c r="T43" t="s">
        <v>297</v>
      </c>
      <c r="U43" t="s">
        <v>298</v>
      </c>
      <c r="V43" t="s">
        <v>373</v>
      </c>
      <c r="W43" t="s">
        <v>374</v>
      </c>
      <c r="Y43">
        <f t="shared" si="3"/>
        <v>42</v>
      </c>
      <c r="AE43">
        <f t="shared" si="4"/>
        <v>42</v>
      </c>
      <c r="AF43" t="s">
        <v>1606</v>
      </c>
      <c r="AG43" t="s">
        <v>1618</v>
      </c>
      <c r="AH43" t="s">
        <v>1625</v>
      </c>
      <c r="AI43" t="s">
        <v>1611</v>
      </c>
      <c r="AK43">
        <f t="shared" si="5"/>
        <v>42</v>
      </c>
      <c r="AL43" t="s">
        <v>480</v>
      </c>
      <c r="AM43" t="s">
        <v>2220</v>
      </c>
      <c r="AN43" t="s">
        <v>2221</v>
      </c>
      <c r="AO43" t="s">
        <v>524</v>
      </c>
      <c r="AQ43">
        <f t="shared" si="6"/>
        <v>42</v>
      </c>
      <c r="AR43" t="s">
        <v>575</v>
      </c>
      <c r="AS43" t="s">
        <v>610</v>
      </c>
      <c r="AT43" t="s">
        <v>642</v>
      </c>
      <c r="AU43" t="s">
        <v>610</v>
      </c>
      <c r="AW43">
        <f t="shared" si="7"/>
        <v>42</v>
      </c>
      <c r="AX43" t="s">
        <v>806</v>
      </c>
      <c r="AY43" t="s">
        <v>1106</v>
      </c>
      <c r="AZ43" t="s">
        <v>1123</v>
      </c>
      <c r="BA43" t="s">
        <v>1141</v>
      </c>
      <c r="BC43">
        <f t="shared" si="8"/>
        <v>42</v>
      </c>
      <c r="BD43" t="s">
        <v>840</v>
      </c>
      <c r="BE43" t="s">
        <v>1166</v>
      </c>
      <c r="BF43" t="s">
        <v>1224</v>
      </c>
      <c r="BG43" t="s">
        <v>1193</v>
      </c>
      <c r="BI43">
        <f t="shared" si="9"/>
        <v>42</v>
      </c>
      <c r="BJ43" t="s">
        <v>1417</v>
      </c>
      <c r="BK43" t="s">
        <v>1759</v>
      </c>
      <c r="BL43" t="s">
        <v>1776</v>
      </c>
      <c r="BM43" t="s">
        <v>1793</v>
      </c>
      <c r="BO43">
        <f t="shared" si="10"/>
        <v>42</v>
      </c>
    </row>
    <row r="44" spans="1:71" x14ac:dyDescent="0.3">
      <c r="A44">
        <f t="shared" si="18"/>
        <v>43</v>
      </c>
      <c r="B44" t="s">
        <v>52</v>
      </c>
      <c r="C44" t="s">
        <v>338</v>
      </c>
      <c r="D44" t="s">
        <v>339</v>
      </c>
      <c r="E44" t="s">
        <v>340</v>
      </c>
      <c r="M44">
        <f t="shared" si="1"/>
        <v>43</v>
      </c>
      <c r="N44" t="s">
        <v>1820</v>
      </c>
      <c r="O44" s="334" t="s">
        <v>1840</v>
      </c>
      <c r="P44" s="334" t="s">
        <v>1850</v>
      </c>
      <c r="Q44" s="334" t="s">
        <v>1822</v>
      </c>
      <c r="S44">
        <f t="shared" si="2"/>
        <v>43</v>
      </c>
      <c r="T44" t="s">
        <v>299</v>
      </c>
      <c r="U44" t="s">
        <v>300</v>
      </c>
      <c r="V44" t="s">
        <v>375</v>
      </c>
      <c r="W44" t="s">
        <v>376</v>
      </c>
      <c r="Y44">
        <f t="shared" si="3"/>
        <v>43</v>
      </c>
      <c r="AE44">
        <f t="shared" si="4"/>
        <v>43</v>
      </c>
      <c r="AF44" t="s">
        <v>1403</v>
      </c>
      <c r="AG44" t="s">
        <v>1620</v>
      </c>
      <c r="AH44" t="s">
        <v>1627</v>
      </c>
      <c r="AI44" t="s">
        <v>1613</v>
      </c>
      <c r="AK44">
        <f t="shared" si="5"/>
        <v>43</v>
      </c>
      <c r="AL44" t="s">
        <v>489</v>
      </c>
      <c r="AM44" t="s">
        <v>508</v>
      </c>
      <c r="AN44" t="s">
        <v>511</v>
      </c>
      <c r="AO44" t="s">
        <v>533</v>
      </c>
      <c r="AQ44">
        <f t="shared" si="6"/>
        <v>43</v>
      </c>
      <c r="AR44" t="s">
        <v>576</v>
      </c>
      <c r="AS44" t="s">
        <v>611</v>
      </c>
      <c r="AT44" t="s">
        <v>643</v>
      </c>
      <c r="AU44" t="s">
        <v>679</v>
      </c>
      <c r="AW44">
        <f t="shared" si="7"/>
        <v>43</v>
      </c>
      <c r="AX44" t="s">
        <v>807</v>
      </c>
      <c r="AY44" t="s">
        <v>1107</v>
      </c>
      <c r="AZ44" t="s">
        <v>1124</v>
      </c>
      <c r="BA44" t="s">
        <v>1142</v>
      </c>
      <c r="BC44">
        <f t="shared" si="8"/>
        <v>43</v>
      </c>
      <c r="BD44" t="s">
        <v>828</v>
      </c>
      <c r="BE44" t="s">
        <v>1156</v>
      </c>
      <c r="BF44" t="s">
        <v>1214</v>
      </c>
      <c r="BG44" t="s">
        <v>1183</v>
      </c>
      <c r="BI44">
        <f t="shared" si="9"/>
        <v>43</v>
      </c>
      <c r="BJ44" t="s">
        <v>1418</v>
      </c>
      <c r="BK44" t="s">
        <v>2222</v>
      </c>
      <c r="BL44" t="s">
        <v>1777</v>
      </c>
      <c r="BM44" t="s">
        <v>1794</v>
      </c>
      <c r="BO44">
        <f t="shared" si="10"/>
        <v>43</v>
      </c>
    </row>
    <row r="45" spans="1:71" x14ac:dyDescent="0.3">
      <c r="A45">
        <f t="shared" si="18"/>
        <v>44</v>
      </c>
      <c r="B45" t="s">
        <v>341</v>
      </c>
      <c r="C45" t="s">
        <v>342</v>
      </c>
      <c r="D45" t="s">
        <v>343</v>
      </c>
      <c r="E45" t="s">
        <v>342</v>
      </c>
      <c r="M45">
        <f t="shared" si="1"/>
        <v>44</v>
      </c>
      <c r="N45" t="s">
        <v>1530</v>
      </c>
      <c r="O45" s="334" t="s">
        <v>1841</v>
      </c>
      <c r="P45" s="334" t="s">
        <v>1851</v>
      </c>
      <c r="Q45" s="334" t="s">
        <v>1824</v>
      </c>
      <c r="S45">
        <f t="shared" si="2"/>
        <v>44</v>
      </c>
      <c r="Y45">
        <f t="shared" si="3"/>
        <v>44</v>
      </c>
      <c r="AE45">
        <f t="shared" si="4"/>
        <v>44</v>
      </c>
      <c r="AF45" t="s">
        <v>1607</v>
      </c>
      <c r="AG45" t="s">
        <v>1621</v>
      </c>
      <c r="AH45" t="s">
        <v>1628</v>
      </c>
      <c r="AI45" t="s">
        <v>1614</v>
      </c>
      <c r="AK45">
        <f t="shared" si="5"/>
        <v>44</v>
      </c>
      <c r="AL45" t="s">
        <v>247</v>
      </c>
      <c r="AM45" t="s">
        <v>437</v>
      </c>
      <c r="AN45" t="s">
        <v>446</v>
      </c>
      <c r="AO45" t="s">
        <v>455</v>
      </c>
      <c r="AQ45">
        <f t="shared" si="6"/>
        <v>44</v>
      </c>
      <c r="AR45" t="s">
        <v>577</v>
      </c>
      <c r="AS45" t="s">
        <v>612</v>
      </c>
      <c r="AT45" t="s">
        <v>644</v>
      </c>
      <c r="AU45" t="s">
        <v>680</v>
      </c>
      <c r="AW45">
        <f t="shared" si="7"/>
        <v>44</v>
      </c>
      <c r="AX45" t="s">
        <v>808</v>
      </c>
      <c r="AY45" t="s">
        <v>2223</v>
      </c>
      <c r="AZ45" t="s">
        <v>1125</v>
      </c>
      <c r="BA45" t="s">
        <v>1143</v>
      </c>
      <c r="BC45">
        <f t="shared" si="8"/>
        <v>44</v>
      </c>
      <c r="BD45" t="s">
        <v>842</v>
      </c>
      <c r="BE45" t="s">
        <v>1167</v>
      </c>
      <c r="BF45" t="s">
        <v>1225</v>
      </c>
      <c r="BG45" t="s">
        <v>1194</v>
      </c>
      <c r="BI45">
        <f t="shared" si="9"/>
        <v>44</v>
      </c>
      <c r="BJ45" t="s">
        <v>1419</v>
      </c>
      <c r="BK45" t="s">
        <v>1760</v>
      </c>
      <c r="BL45" t="s">
        <v>2224</v>
      </c>
      <c r="BM45" t="s">
        <v>1795</v>
      </c>
      <c r="BO45">
        <f t="shared" si="10"/>
        <v>44</v>
      </c>
    </row>
    <row r="46" spans="1:71" x14ac:dyDescent="0.3">
      <c r="A46">
        <f t="shared" si="18"/>
        <v>45</v>
      </c>
      <c r="B46" t="s">
        <v>49</v>
      </c>
      <c r="C46" t="s">
        <v>49</v>
      </c>
      <c r="D46" t="s">
        <v>49</v>
      </c>
      <c r="E46" t="s">
        <v>49</v>
      </c>
      <c r="M46">
        <f t="shared" si="1"/>
        <v>45</v>
      </c>
      <c r="N46" t="s">
        <v>1826</v>
      </c>
      <c r="O46" s="334" t="s">
        <v>1842</v>
      </c>
      <c r="P46" s="334" t="s">
        <v>1852</v>
      </c>
      <c r="Q46" s="334" t="s">
        <v>1825</v>
      </c>
      <c r="S46">
        <f t="shared" si="2"/>
        <v>45</v>
      </c>
      <c r="Y46">
        <f t="shared" si="3"/>
        <v>45</v>
      </c>
      <c r="AE46">
        <f t="shared" si="4"/>
        <v>45</v>
      </c>
      <c r="AF46" t="s">
        <v>1608</v>
      </c>
      <c r="AG46" t="s">
        <v>1622</v>
      </c>
      <c r="AH46" t="s">
        <v>1629</v>
      </c>
      <c r="AI46" t="s">
        <v>1615</v>
      </c>
      <c r="AK46">
        <f t="shared" si="5"/>
        <v>45</v>
      </c>
      <c r="AL46" t="s">
        <v>481</v>
      </c>
      <c r="AM46" t="s">
        <v>501</v>
      </c>
      <c r="AN46" t="s">
        <v>2225</v>
      </c>
      <c r="AO46" t="s">
        <v>525</v>
      </c>
      <c r="AQ46">
        <f t="shared" si="6"/>
        <v>45</v>
      </c>
      <c r="AR46" t="s">
        <v>578</v>
      </c>
      <c r="AS46" t="s">
        <v>613</v>
      </c>
      <c r="AT46" t="s">
        <v>645</v>
      </c>
      <c r="AU46" t="s">
        <v>681</v>
      </c>
      <c r="AW46">
        <f t="shared" si="7"/>
        <v>45</v>
      </c>
      <c r="AX46" t="s">
        <v>809</v>
      </c>
      <c r="AY46" t="s">
        <v>1108</v>
      </c>
      <c r="AZ46" t="s">
        <v>1126</v>
      </c>
      <c r="BA46" t="s">
        <v>1144</v>
      </c>
      <c r="BC46">
        <f t="shared" si="8"/>
        <v>45</v>
      </c>
      <c r="BD46" t="s">
        <v>843</v>
      </c>
      <c r="BE46" t="s">
        <v>1168</v>
      </c>
      <c r="BF46" t="s">
        <v>1226</v>
      </c>
      <c r="BG46" t="s">
        <v>1195</v>
      </c>
      <c r="BI46">
        <f t="shared" si="9"/>
        <v>45</v>
      </c>
      <c r="BJ46" t="s">
        <v>1420</v>
      </c>
      <c r="BK46" t="s">
        <v>1761</v>
      </c>
      <c r="BL46" t="s">
        <v>1778</v>
      </c>
      <c r="BM46" t="s">
        <v>1796</v>
      </c>
      <c r="BO46">
        <f t="shared" si="10"/>
        <v>45</v>
      </c>
    </row>
    <row r="47" spans="1:71" x14ac:dyDescent="0.3">
      <c r="A47">
        <f t="shared" si="18"/>
        <v>46</v>
      </c>
      <c r="B47" t="s">
        <v>50</v>
      </c>
      <c r="C47" t="s">
        <v>50</v>
      </c>
      <c r="D47" t="s">
        <v>50</v>
      </c>
      <c r="E47" t="s">
        <v>50</v>
      </c>
      <c r="M47">
        <f t="shared" si="1"/>
        <v>46</v>
      </c>
      <c r="O47" s="334"/>
      <c r="P47" s="334"/>
      <c r="Q47" s="334"/>
      <c r="S47">
        <f t="shared" si="2"/>
        <v>46</v>
      </c>
      <c r="Y47">
        <f t="shared" si="3"/>
        <v>46</v>
      </c>
      <c r="AE47">
        <f t="shared" si="4"/>
        <v>46</v>
      </c>
      <c r="AF47" t="s">
        <v>1631</v>
      </c>
      <c r="AG47" t="s">
        <v>1632</v>
      </c>
      <c r="AH47" t="s">
        <v>1633</v>
      </c>
      <c r="AI47" t="s">
        <v>1634</v>
      </c>
      <c r="AK47">
        <f t="shared" si="5"/>
        <v>46</v>
      </c>
      <c r="AL47" t="s">
        <v>482</v>
      </c>
      <c r="AM47" t="s">
        <v>502</v>
      </c>
      <c r="AN47" t="s">
        <v>2226</v>
      </c>
      <c r="AO47" t="s">
        <v>526</v>
      </c>
      <c r="AQ47">
        <f t="shared" si="6"/>
        <v>46</v>
      </c>
      <c r="AR47" t="s">
        <v>579</v>
      </c>
      <c r="AS47" t="s">
        <v>614</v>
      </c>
      <c r="AT47" t="s">
        <v>646</v>
      </c>
      <c r="AU47" t="s">
        <v>682</v>
      </c>
      <c r="AW47">
        <f t="shared" si="7"/>
        <v>46</v>
      </c>
      <c r="AX47" t="s">
        <v>810</v>
      </c>
      <c r="AY47" t="s">
        <v>1109</v>
      </c>
      <c r="AZ47" t="s">
        <v>1127</v>
      </c>
      <c r="BA47" t="s">
        <v>1145</v>
      </c>
      <c r="BC47">
        <f t="shared" si="8"/>
        <v>46</v>
      </c>
      <c r="BD47" t="s">
        <v>844</v>
      </c>
      <c r="BE47" t="s">
        <v>2227</v>
      </c>
      <c r="BF47" t="s">
        <v>1227</v>
      </c>
      <c r="BG47" t="s">
        <v>1196</v>
      </c>
      <c r="BI47">
        <f t="shared" si="9"/>
        <v>46</v>
      </c>
      <c r="BJ47" t="s">
        <v>1421</v>
      </c>
      <c r="BK47" t="s">
        <v>1762</v>
      </c>
      <c r="BL47" t="s">
        <v>1779</v>
      </c>
      <c r="BM47" t="s">
        <v>1797</v>
      </c>
      <c r="BO47">
        <f t="shared" si="10"/>
        <v>46</v>
      </c>
    </row>
    <row r="48" spans="1:71" x14ac:dyDescent="0.3">
      <c r="A48">
        <f t="shared" ref="A48:A53" si="19">ROW()-1</f>
        <v>47</v>
      </c>
      <c r="B48" t="s">
        <v>344</v>
      </c>
      <c r="C48" t="s">
        <v>345</v>
      </c>
      <c r="D48" t="s">
        <v>346</v>
      </c>
      <c r="E48" t="s">
        <v>347</v>
      </c>
      <c r="M48">
        <f t="shared" si="1"/>
        <v>47</v>
      </c>
      <c r="O48" s="334"/>
      <c r="P48" s="334"/>
      <c r="Q48" s="334"/>
      <c r="S48">
        <f t="shared" si="2"/>
        <v>47</v>
      </c>
      <c r="Y48">
        <f t="shared" si="3"/>
        <v>47</v>
      </c>
      <c r="AE48">
        <f t="shared" si="4"/>
        <v>47</v>
      </c>
      <c r="AF48" t="s">
        <v>1609</v>
      </c>
      <c r="AG48" t="s">
        <v>1623</v>
      </c>
      <c r="AH48" t="s">
        <v>1630</v>
      </c>
      <c r="AI48" t="s">
        <v>1616</v>
      </c>
      <c r="AK48">
        <f t="shared" si="5"/>
        <v>47</v>
      </c>
      <c r="AL48" t="s">
        <v>483</v>
      </c>
      <c r="AM48" t="s">
        <v>503</v>
      </c>
      <c r="AN48" t="s">
        <v>2228</v>
      </c>
      <c r="AO48" t="s">
        <v>527</v>
      </c>
      <c r="AQ48">
        <f t="shared" si="6"/>
        <v>47</v>
      </c>
      <c r="AR48" t="s">
        <v>580</v>
      </c>
      <c r="AS48" t="s">
        <v>630</v>
      </c>
      <c r="AT48" t="s">
        <v>665</v>
      </c>
      <c r="AU48" t="s">
        <v>683</v>
      </c>
      <c r="AW48">
        <f t="shared" si="7"/>
        <v>47</v>
      </c>
      <c r="AX48" t="s">
        <v>811</v>
      </c>
      <c r="AY48" t="s">
        <v>1110</v>
      </c>
      <c r="AZ48" t="s">
        <v>1128</v>
      </c>
      <c r="BA48" t="s">
        <v>1146</v>
      </c>
      <c r="BC48">
        <f t="shared" si="8"/>
        <v>47</v>
      </c>
      <c r="BD48" t="s">
        <v>845</v>
      </c>
      <c r="BE48" t="s">
        <v>1169</v>
      </c>
      <c r="BF48" t="s">
        <v>1228</v>
      </c>
      <c r="BG48" t="s">
        <v>1197</v>
      </c>
      <c r="BI48">
        <f t="shared" si="9"/>
        <v>47</v>
      </c>
      <c r="BJ48" t="s">
        <v>1422</v>
      </c>
      <c r="BK48" t="s">
        <v>1763</v>
      </c>
      <c r="BL48" t="s">
        <v>1780</v>
      </c>
      <c r="BM48" t="s">
        <v>1798</v>
      </c>
      <c r="BO48">
        <f t="shared" si="10"/>
        <v>47</v>
      </c>
    </row>
    <row r="49" spans="1:71" x14ac:dyDescent="0.3">
      <c r="A49">
        <f t="shared" si="19"/>
        <v>48</v>
      </c>
      <c r="B49" t="s">
        <v>348</v>
      </c>
      <c r="C49" t="s">
        <v>348</v>
      </c>
      <c r="D49" t="s">
        <v>348</v>
      </c>
      <c r="E49" t="s">
        <v>348</v>
      </c>
      <c r="M49">
        <f t="shared" si="1"/>
        <v>48</v>
      </c>
      <c r="O49" s="334"/>
      <c r="P49" s="334"/>
      <c r="Q49" s="334"/>
      <c r="S49">
        <f t="shared" si="2"/>
        <v>48</v>
      </c>
      <c r="Y49">
        <f t="shared" si="3"/>
        <v>48</v>
      </c>
      <c r="AE49">
        <f t="shared" si="4"/>
        <v>48</v>
      </c>
      <c r="AF49" t="s">
        <v>1610</v>
      </c>
      <c r="AG49" t="s">
        <v>1624</v>
      </c>
      <c r="AH49" t="s">
        <v>1624</v>
      </c>
      <c r="AI49" t="s">
        <v>1617</v>
      </c>
      <c r="AK49">
        <f t="shared" si="5"/>
        <v>48</v>
      </c>
      <c r="AL49" t="s">
        <v>475</v>
      </c>
      <c r="AM49" t="s">
        <v>497</v>
      </c>
      <c r="AN49" t="s">
        <v>2213</v>
      </c>
      <c r="AO49" t="s">
        <v>519</v>
      </c>
      <c r="AQ49">
        <f t="shared" si="6"/>
        <v>48</v>
      </c>
      <c r="AR49" t="s">
        <v>704</v>
      </c>
      <c r="AS49" t="s">
        <v>702</v>
      </c>
      <c r="AT49" t="s">
        <v>701</v>
      </c>
      <c r="AU49" t="s">
        <v>703</v>
      </c>
      <c r="AW49">
        <f t="shared" si="7"/>
        <v>48</v>
      </c>
      <c r="AX49" t="s">
        <v>1095</v>
      </c>
      <c r="AY49" t="s">
        <v>1111</v>
      </c>
      <c r="AZ49" t="s">
        <v>1129</v>
      </c>
      <c r="BA49" t="s">
        <v>1147</v>
      </c>
      <c r="BC49">
        <f t="shared" si="8"/>
        <v>48</v>
      </c>
      <c r="BD49" t="s">
        <v>848</v>
      </c>
      <c r="BE49" t="s">
        <v>1170</v>
      </c>
      <c r="BF49" t="s">
        <v>1229</v>
      </c>
      <c r="BG49" t="s">
        <v>1198</v>
      </c>
      <c r="BI49">
        <f t="shared" si="9"/>
        <v>48</v>
      </c>
      <c r="BO49">
        <f t="shared" si="10"/>
        <v>48</v>
      </c>
    </row>
    <row r="50" spans="1:71" x14ac:dyDescent="0.3">
      <c r="A50">
        <f t="shared" si="19"/>
        <v>49</v>
      </c>
      <c r="B50" t="s">
        <v>349</v>
      </c>
      <c r="C50" t="s">
        <v>349</v>
      </c>
      <c r="D50" t="s">
        <v>349</v>
      </c>
      <c r="E50" t="s">
        <v>349</v>
      </c>
      <c r="M50">
        <f t="shared" si="1"/>
        <v>49</v>
      </c>
      <c r="O50" s="334"/>
      <c r="P50" s="334"/>
      <c r="Q50" s="334"/>
      <c r="S50">
        <f t="shared" si="2"/>
        <v>49</v>
      </c>
      <c r="Y50">
        <f t="shared" si="3"/>
        <v>49</v>
      </c>
      <c r="AE50">
        <f t="shared" si="4"/>
        <v>49</v>
      </c>
      <c r="AK50">
        <f t="shared" si="5"/>
        <v>49</v>
      </c>
      <c r="AL50" t="s">
        <v>476</v>
      </c>
      <c r="AM50" t="s">
        <v>498</v>
      </c>
      <c r="AN50" t="s">
        <v>2214</v>
      </c>
      <c r="AO50" t="s">
        <v>520</v>
      </c>
      <c r="AQ50">
        <f t="shared" si="6"/>
        <v>49</v>
      </c>
      <c r="AR50" t="s">
        <v>581</v>
      </c>
      <c r="AS50" t="s">
        <v>628</v>
      </c>
      <c r="AT50" t="s">
        <v>666</v>
      </c>
      <c r="AU50" t="s">
        <v>684</v>
      </c>
      <c r="AW50">
        <f t="shared" si="7"/>
        <v>49</v>
      </c>
      <c r="AX50" t="s">
        <v>815</v>
      </c>
      <c r="AY50" t="s">
        <v>973</v>
      </c>
      <c r="AZ50" t="s">
        <v>1117</v>
      </c>
      <c r="BA50" t="s">
        <v>963</v>
      </c>
      <c r="BC50">
        <f t="shared" si="8"/>
        <v>49</v>
      </c>
      <c r="BD50" t="s">
        <v>849</v>
      </c>
      <c r="BE50" t="s">
        <v>1171</v>
      </c>
      <c r="BF50" t="s">
        <v>1230</v>
      </c>
      <c r="BG50" t="s">
        <v>1199</v>
      </c>
      <c r="BI50">
        <f t="shared" si="9"/>
        <v>49</v>
      </c>
      <c r="BO50">
        <f t="shared" si="10"/>
        <v>49</v>
      </c>
    </row>
    <row r="51" spans="1:71" x14ac:dyDescent="0.3">
      <c r="A51">
        <f t="shared" si="19"/>
        <v>50</v>
      </c>
      <c r="B51" t="s">
        <v>350</v>
      </c>
      <c r="C51" t="s">
        <v>351</v>
      </c>
      <c r="D51" t="s">
        <v>352</v>
      </c>
      <c r="E51" t="s">
        <v>353</v>
      </c>
      <c r="M51">
        <f t="shared" si="1"/>
        <v>50</v>
      </c>
      <c r="O51" s="334"/>
      <c r="P51" s="334"/>
      <c r="Q51" s="334"/>
      <c r="S51">
        <f t="shared" si="2"/>
        <v>50</v>
      </c>
      <c r="Y51">
        <f t="shared" si="3"/>
        <v>50</v>
      </c>
      <c r="AE51">
        <f t="shared" si="4"/>
        <v>50</v>
      </c>
      <c r="AK51">
        <f t="shared" si="5"/>
        <v>50</v>
      </c>
      <c r="AL51" t="s">
        <v>484</v>
      </c>
      <c r="AM51" t="s">
        <v>504</v>
      </c>
      <c r="AN51" t="s">
        <v>2229</v>
      </c>
      <c r="AO51" t="s">
        <v>528</v>
      </c>
      <c r="AQ51">
        <f t="shared" si="6"/>
        <v>50</v>
      </c>
      <c r="AR51" t="s">
        <v>582</v>
      </c>
      <c r="AS51" t="s">
        <v>615</v>
      </c>
      <c r="AT51" t="s">
        <v>647</v>
      </c>
      <c r="AU51" t="s">
        <v>685</v>
      </c>
      <c r="AW51">
        <f t="shared" si="7"/>
        <v>50</v>
      </c>
      <c r="AX51" t="s">
        <v>816</v>
      </c>
      <c r="AY51" t="s">
        <v>816</v>
      </c>
      <c r="AZ51" t="s">
        <v>1118</v>
      </c>
      <c r="BA51" t="s">
        <v>816</v>
      </c>
      <c r="BC51">
        <f t="shared" si="8"/>
        <v>50</v>
      </c>
      <c r="BD51" t="s">
        <v>850</v>
      </c>
      <c r="BE51" t="s">
        <v>1156</v>
      </c>
      <c r="BF51" t="s">
        <v>1231</v>
      </c>
      <c r="BG51" t="s">
        <v>1183</v>
      </c>
      <c r="BI51">
        <f t="shared" si="9"/>
        <v>50</v>
      </c>
      <c r="BO51">
        <f t="shared" si="10"/>
        <v>50</v>
      </c>
    </row>
    <row r="52" spans="1:71" x14ac:dyDescent="0.3">
      <c r="A52">
        <f t="shared" si="19"/>
        <v>51</v>
      </c>
      <c r="B52" t="s">
        <v>52</v>
      </c>
      <c r="C52" t="s">
        <v>338</v>
      </c>
      <c r="D52" t="s">
        <v>354</v>
      </c>
      <c r="E52" t="s">
        <v>340</v>
      </c>
      <c r="M52">
        <f t="shared" si="1"/>
        <v>51</v>
      </c>
      <c r="N52" t="s">
        <v>1432</v>
      </c>
      <c r="O52" s="334" t="s">
        <v>1868</v>
      </c>
      <c r="P52" s="334" t="s">
        <v>1858</v>
      </c>
      <c r="Q52" s="334" t="s">
        <v>1863</v>
      </c>
      <c r="S52">
        <f t="shared" si="2"/>
        <v>51</v>
      </c>
      <c r="T52" t="s">
        <v>64</v>
      </c>
      <c r="U52" t="s">
        <v>377</v>
      </c>
      <c r="V52" t="s">
        <v>378</v>
      </c>
      <c r="W52" t="s">
        <v>379</v>
      </c>
      <c r="Y52">
        <f t="shared" si="3"/>
        <v>51</v>
      </c>
      <c r="AE52">
        <f t="shared" si="4"/>
        <v>51</v>
      </c>
      <c r="AK52">
        <f t="shared" si="5"/>
        <v>51</v>
      </c>
      <c r="AL52" t="s">
        <v>485</v>
      </c>
      <c r="AM52" t="s">
        <v>505</v>
      </c>
      <c r="AN52" t="s">
        <v>2230</v>
      </c>
      <c r="AO52" t="s">
        <v>529</v>
      </c>
      <c r="AQ52">
        <f t="shared" si="6"/>
        <v>51</v>
      </c>
      <c r="AR52" t="s">
        <v>583</v>
      </c>
      <c r="AS52" t="s">
        <v>616</v>
      </c>
      <c r="AT52" t="s">
        <v>648</v>
      </c>
      <c r="AU52" t="s">
        <v>686</v>
      </c>
      <c r="AW52">
        <f t="shared" si="7"/>
        <v>51</v>
      </c>
      <c r="AX52" t="s">
        <v>817</v>
      </c>
      <c r="AY52" t="s">
        <v>817</v>
      </c>
      <c r="AZ52" t="s">
        <v>817</v>
      </c>
      <c r="BA52" t="s">
        <v>1137</v>
      </c>
      <c r="BC52">
        <f t="shared" si="8"/>
        <v>51</v>
      </c>
      <c r="BD52" t="s">
        <v>851</v>
      </c>
      <c r="BE52" t="s">
        <v>1167</v>
      </c>
      <c r="BF52" t="s">
        <v>1232</v>
      </c>
      <c r="BG52" t="s">
        <v>1194</v>
      </c>
      <c r="BI52">
        <f t="shared" si="9"/>
        <v>51</v>
      </c>
      <c r="BO52">
        <f t="shared" si="10"/>
        <v>51</v>
      </c>
      <c r="BP52" t="s">
        <v>881</v>
      </c>
      <c r="BQ52" t="s">
        <v>1247</v>
      </c>
      <c r="BR52" t="s">
        <v>1276</v>
      </c>
      <c r="BS52" t="s">
        <v>1306</v>
      </c>
    </row>
    <row r="53" spans="1:71" x14ac:dyDescent="0.3">
      <c r="A53">
        <f t="shared" si="19"/>
        <v>52</v>
      </c>
      <c r="B53" t="s">
        <v>750</v>
      </c>
      <c r="C53" t="s">
        <v>751</v>
      </c>
      <c r="D53" t="s">
        <v>752</v>
      </c>
      <c r="E53" t="s">
        <v>753</v>
      </c>
      <c r="M53">
        <f t="shared" si="1"/>
        <v>52</v>
      </c>
      <c r="N53" t="s">
        <v>1872</v>
      </c>
      <c r="O53" s="334" t="s">
        <v>1869</v>
      </c>
      <c r="P53" s="334" t="s">
        <v>1859</v>
      </c>
      <c r="Q53" s="334" t="s">
        <v>1864</v>
      </c>
      <c r="S53">
        <f t="shared" si="2"/>
        <v>52</v>
      </c>
      <c r="T53" t="s">
        <v>65</v>
      </c>
      <c r="U53" t="s">
        <v>380</v>
      </c>
      <c r="V53" t="s">
        <v>381</v>
      </c>
      <c r="W53" t="s">
        <v>2231</v>
      </c>
      <c r="Y53">
        <f t="shared" si="3"/>
        <v>52</v>
      </c>
      <c r="AE53">
        <f t="shared" si="4"/>
        <v>52</v>
      </c>
      <c r="AK53">
        <f t="shared" si="5"/>
        <v>52</v>
      </c>
      <c r="AL53" t="s">
        <v>486</v>
      </c>
      <c r="AM53" t="s">
        <v>506</v>
      </c>
      <c r="AN53" t="s">
        <v>2232</v>
      </c>
      <c r="AO53" t="s">
        <v>530</v>
      </c>
      <c r="AQ53">
        <f t="shared" si="6"/>
        <v>52</v>
      </c>
      <c r="AR53" t="s">
        <v>584</v>
      </c>
      <c r="AS53" t="s">
        <v>617</v>
      </c>
      <c r="AT53" t="s">
        <v>649</v>
      </c>
      <c r="AU53" t="s">
        <v>687</v>
      </c>
      <c r="AW53">
        <f t="shared" si="7"/>
        <v>52</v>
      </c>
      <c r="AX53" t="s">
        <v>818</v>
      </c>
      <c r="AY53" t="s">
        <v>1103</v>
      </c>
      <c r="AZ53" t="s">
        <v>1119</v>
      </c>
      <c r="BA53" t="s">
        <v>1138</v>
      </c>
      <c r="BC53">
        <f t="shared" si="8"/>
        <v>52</v>
      </c>
      <c r="BD53" t="s">
        <v>852</v>
      </c>
      <c r="BE53" t="s">
        <v>1172</v>
      </c>
      <c r="BF53" t="s">
        <v>1233</v>
      </c>
      <c r="BG53" t="s">
        <v>1200</v>
      </c>
      <c r="BI53">
        <f t="shared" si="9"/>
        <v>52</v>
      </c>
      <c r="BO53">
        <f t="shared" si="10"/>
        <v>52</v>
      </c>
      <c r="BP53" t="s">
        <v>882</v>
      </c>
      <c r="BQ53" t="s">
        <v>1248</v>
      </c>
      <c r="BR53" t="s">
        <v>1277</v>
      </c>
      <c r="BS53" t="s">
        <v>1307</v>
      </c>
    </row>
    <row r="54" spans="1:71" x14ac:dyDescent="0.3">
      <c r="A54">
        <f t="shared" ref="A54:A67" si="20">ROW()-1</f>
        <v>53</v>
      </c>
      <c r="B54" t="s">
        <v>1480</v>
      </c>
      <c r="C54" t="s">
        <v>2051</v>
      </c>
      <c r="D54" t="s">
        <v>1979</v>
      </c>
      <c r="E54" t="s">
        <v>2052</v>
      </c>
      <c r="M54">
        <f t="shared" si="1"/>
        <v>53</v>
      </c>
      <c r="N54" t="s">
        <v>1873</v>
      </c>
      <c r="O54" s="334" t="s">
        <v>1870</v>
      </c>
      <c r="P54" s="334" t="s">
        <v>1860</v>
      </c>
      <c r="Q54" s="334" t="s">
        <v>1865</v>
      </c>
      <c r="S54">
        <f t="shared" si="2"/>
        <v>53</v>
      </c>
      <c r="Y54">
        <f t="shared" si="3"/>
        <v>53</v>
      </c>
      <c r="AE54">
        <f t="shared" si="4"/>
        <v>53</v>
      </c>
      <c r="AK54">
        <f t="shared" si="5"/>
        <v>53</v>
      </c>
      <c r="AL54" t="s">
        <v>755</v>
      </c>
      <c r="AM54" t="s">
        <v>759</v>
      </c>
      <c r="AN54" t="s">
        <v>2233</v>
      </c>
      <c r="AO54" t="s">
        <v>757</v>
      </c>
      <c r="AQ54">
        <f t="shared" si="6"/>
        <v>53</v>
      </c>
      <c r="AR54" t="s">
        <v>756</v>
      </c>
      <c r="AS54" t="s">
        <v>760</v>
      </c>
      <c r="AT54" t="s">
        <v>761</v>
      </c>
      <c r="AU54" t="s">
        <v>758</v>
      </c>
      <c r="AW54">
        <f t="shared" si="7"/>
        <v>53</v>
      </c>
      <c r="AX54" t="s">
        <v>819</v>
      </c>
      <c r="AY54" t="s">
        <v>972</v>
      </c>
      <c r="AZ54" t="s">
        <v>1120</v>
      </c>
      <c r="BA54" t="s">
        <v>962</v>
      </c>
      <c r="BC54">
        <f t="shared" si="8"/>
        <v>53</v>
      </c>
      <c r="BD54" t="s">
        <v>854</v>
      </c>
      <c r="BE54" t="s">
        <v>1173</v>
      </c>
      <c r="BF54" t="s">
        <v>1234</v>
      </c>
      <c r="BG54" t="s">
        <v>1201</v>
      </c>
      <c r="BI54">
        <f t="shared" si="9"/>
        <v>53</v>
      </c>
      <c r="BO54">
        <f t="shared" si="10"/>
        <v>53</v>
      </c>
      <c r="BP54" t="s">
        <v>883</v>
      </c>
      <c r="BQ54" t="s">
        <v>1249</v>
      </c>
      <c r="BR54" t="s">
        <v>1278</v>
      </c>
      <c r="BS54" t="s">
        <v>1308</v>
      </c>
    </row>
    <row r="55" spans="1:71" x14ac:dyDescent="0.3">
      <c r="A55">
        <f t="shared" si="20"/>
        <v>54</v>
      </c>
      <c r="B55" t="s">
        <v>1498</v>
      </c>
      <c r="C55" t="s">
        <v>2234</v>
      </c>
      <c r="D55" t="s">
        <v>2235</v>
      </c>
      <c r="E55" t="s">
        <v>947</v>
      </c>
      <c r="M55">
        <f t="shared" si="1"/>
        <v>54</v>
      </c>
      <c r="N55" t="s">
        <v>1434</v>
      </c>
      <c r="O55" s="334" t="s">
        <v>1871</v>
      </c>
      <c r="P55" s="334" t="s">
        <v>1861</v>
      </c>
      <c r="Q55" s="334" t="s">
        <v>1866</v>
      </c>
      <c r="S55">
        <f t="shared" si="2"/>
        <v>54</v>
      </c>
      <c r="Y55">
        <f t="shared" si="3"/>
        <v>54</v>
      </c>
      <c r="AE55">
        <f t="shared" si="4"/>
        <v>54</v>
      </c>
      <c r="AK55">
        <f t="shared" si="5"/>
        <v>54</v>
      </c>
      <c r="AL55" t="s">
        <v>490</v>
      </c>
      <c r="AM55" t="s">
        <v>509</v>
      </c>
      <c r="AN55" t="s">
        <v>512</v>
      </c>
      <c r="AO55" t="s">
        <v>534</v>
      </c>
      <c r="AQ55">
        <f t="shared" si="6"/>
        <v>54</v>
      </c>
      <c r="AR55" t="s">
        <v>585</v>
      </c>
      <c r="AS55" t="s">
        <v>585</v>
      </c>
      <c r="AT55" t="s">
        <v>650</v>
      </c>
      <c r="AU55" t="s">
        <v>585</v>
      </c>
      <c r="AW55">
        <f t="shared" si="7"/>
        <v>54</v>
      </c>
      <c r="AX55" t="s">
        <v>816</v>
      </c>
      <c r="AY55" t="s">
        <v>816</v>
      </c>
      <c r="AZ55" t="s">
        <v>1118</v>
      </c>
      <c r="BA55" t="s">
        <v>816</v>
      </c>
      <c r="BC55">
        <f t="shared" si="8"/>
        <v>54</v>
      </c>
      <c r="BD55" t="s">
        <v>855</v>
      </c>
      <c r="BE55" t="s">
        <v>1174</v>
      </c>
      <c r="BF55" t="s">
        <v>1235</v>
      </c>
      <c r="BG55" t="s">
        <v>1202</v>
      </c>
      <c r="BI55">
        <f t="shared" si="9"/>
        <v>54</v>
      </c>
      <c r="BO55">
        <f t="shared" si="10"/>
        <v>54</v>
      </c>
      <c r="BP55" t="s">
        <v>884</v>
      </c>
      <c r="BQ55" t="s">
        <v>1250</v>
      </c>
      <c r="BR55" t="s">
        <v>1279</v>
      </c>
      <c r="BS55" t="s">
        <v>1309</v>
      </c>
    </row>
    <row r="56" spans="1:71" x14ac:dyDescent="0.3">
      <c r="A56">
        <f t="shared" si="20"/>
        <v>55</v>
      </c>
      <c r="M56">
        <f t="shared" si="1"/>
        <v>55</v>
      </c>
      <c r="O56" s="334"/>
      <c r="P56" s="334"/>
      <c r="Q56" s="334"/>
      <c r="S56">
        <f t="shared" si="2"/>
        <v>55</v>
      </c>
      <c r="Y56">
        <f t="shared" si="3"/>
        <v>55</v>
      </c>
      <c r="AE56">
        <f t="shared" si="4"/>
        <v>55</v>
      </c>
      <c r="AK56">
        <f t="shared" si="5"/>
        <v>55</v>
      </c>
      <c r="AL56" t="s">
        <v>249</v>
      </c>
      <c r="AM56" t="s">
        <v>439</v>
      </c>
      <c r="AN56" t="s">
        <v>448</v>
      </c>
      <c r="AO56" t="s">
        <v>457</v>
      </c>
      <c r="AQ56">
        <f t="shared" si="6"/>
        <v>55</v>
      </c>
      <c r="AR56" t="s">
        <v>586</v>
      </c>
      <c r="AS56" t="s">
        <v>618</v>
      </c>
      <c r="AT56" t="s">
        <v>651</v>
      </c>
      <c r="AU56" t="s">
        <v>688</v>
      </c>
      <c r="AW56">
        <f t="shared" si="7"/>
        <v>55</v>
      </c>
      <c r="AX56" t="s">
        <v>817</v>
      </c>
      <c r="AY56" t="s">
        <v>817</v>
      </c>
      <c r="AZ56" t="s">
        <v>817</v>
      </c>
      <c r="BA56" t="s">
        <v>1137</v>
      </c>
      <c r="BC56">
        <f t="shared" si="8"/>
        <v>55</v>
      </c>
      <c r="BD56" t="s">
        <v>856</v>
      </c>
      <c r="BE56" t="s">
        <v>1175</v>
      </c>
      <c r="BF56" t="s">
        <v>1236</v>
      </c>
      <c r="BG56" t="s">
        <v>1203</v>
      </c>
      <c r="BI56">
        <f t="shared" si="9"/>
        <v>55</v>
      </c>
      <c r="BO56">
        <f t="shared" si="10"/>
        <v>55</v>
      </c>
      <c r="BP56" t="s">
        <v>885</v>
      </c>
      <c r="BQ56" t="s">
        <v>1251</v>
      </c>
      <c r="BR56" t="s">
        <v>1280</v>
      </c>
      <c r="BS56" t="s">
        <v>1310</v>
      </c>
    </row>
    <row r="57" spans="1:71" x14ac:dyDescent="0.3">
      <c r="A57">
        <f t="shared" si="20"/>
        <v>56</v>
      </c>
      <c r="M57">
        <f t="shared" si="1"/>
        <v>56</v>
      </c>
      <c r="O57" s="334"/>
      <c r="P57" s="334"/>
      <c r="Q57" s="334"/>
      <c r="S57">
        <f t="shared" si="2"/>
        <v>56</v>
      </c>
      <c r="Y57">
        <f t="shared" si="3"/>
        <v>56</v>
      </c>
      <c r="AE57">
        <f t="shared" si="4"/>
        <v>56</v>
      </c>
      <c r="AK57">
        <f t="shared" si="5"/>
        <v>56</v>
      </c>
      <c r="AL57" t="s">
        <v>248</v>
      </c>
      <c r="AM57" t="s">
        <v>438</v>
      </c>
      <c r="AN57" t="s">
        <v>447</v>
      </c>
      <c r="AO57" t="s">
        <v>456</v>
      </c>
      <c r="AQ57">
        <f t="shared" si="6"/>
        <v>56</v>
      </c>
      <c r="AR57" t="s">
        <v>584</v>
      </c>
      <c r="AS57" t="s">
        <v>617</v>
      </c>
      <c r="AT57" t="s">
        <v>649</v>
      </c>
      <c r="AU57" t="s">
        <v>687</v>
      </c>
      <c r="AW57">
        <f t="shared" si="7"/>
        <v>56</v>
      </c>
      <c r="AX57" t="s">
        <v>818</v>
      </c>
      <c r="AY57" t="s">
        <v>1103</v>
      </c>
      <c r="AZ57" t="s">
        <v>1119</v>
      </c>
      <c r="BA57" t="s">
        <v>1138</v>
      </c>
      <c r="BC57">
        <f t="shared" si="8"/>
        <v>56</v>
      </c>
      <c r="BI57">
        <f t="shared" si="9"/>
        <v>56</v>
      </c>
      <c r="BO57">
        <f t="shared" si="10"/>
        <v>56</v>
      </c>
    </row>
    <row r="58" spans="1:71" x14ac:dyDescent="0.3">
      <c r="A58">
        <f t="shared" si="20"/>
        <v>57</v>
      </c>
      <c r="M58">
        <f t="shared" si="1"/>
        <v>57</v>
      </c>
      <c r="O58" s="334"/>
      <c r="P58" s="334"/>
      <c r="Q58" s="334"/>
      <c r="S58">
        <f t="shared" si="2"/>
        <v>57</v>
      </c>
      <c r="Y58">
        <f t="shared" si="3"/>
        <v>57</v>
      </c>
      <c r="AE58">
        <f t="shared" si="4"/>
        <v>57</v>
      </c>
      <c r="AK58">
        <f t="shared" si="5"/>
        <v>57</v>
      </c>
      <c r="AL58" t="s">
        <v>2369</v>
      </c>
      <c r="AM58" t="s">
        <v>2372</v>
      </c>
      <c r="AN58" t="s">
        <v>2375</v>
      </c>
      <c r="AO58" t="s">
        <v>2378</v>
      </c>
      <c r="AQ58">
        <f t="shared" si="6"/>
        <v>57</v>
      </c>
      <c r="AR58" t="s">
        <v>587</v>
      </c>
      <c r="AS58" t="s">
        <v>619</v>
      </c>
      <c r="AT58" t="s">
        <v>652</v>
      </c>
      <c r="AU58" t="s">
        <v>689</v>
      </c>
      <c r="AW58">
        <f t="shared" si="7"/>
        <v>57</v>
      </c>
      <c r="AX58" t="s">
        <v>812</v>
      </c>
      <c r="AY58" t="s">
        <v>1112</v>
      </c>
      <c r="AZ58" t="s">
        <v>1130</v>
      </c>
      <c r="BA58" t="s">
        <v>1148</v>
      </c>
      <c r="BC58">
        <f t="shared" si="8"/>
        <v>57</v>
      </c>
      <c r="BI58">
        <f t="shared" si="9"/>
        <v>57</v>
      </c>
      <c r="BO58">
        <f t="shared" si="10"/>
        <v>57</v>
      </c>
    </row>
    <row r="59" spans="1:71" x14ac:dyDescent="0.3">
      <c r="A59">
        <f t="shared" si="20"/>
        <v>58</v>
      </c>
      <c r="M59">
        <f t="shared" si="1"/>
        <v>58</v>
      </c>
      <c r="O59" s="334"/>
      <c r="P59" s="334"/>
      <c r="Q59" s="334"/>
      <c r="S59">
        <f t="shared" si="2"/>
        <v>58</v>
      </c>
      <c r="Y59">
        <f t="shared" si="3"/>
        <v>58</v>
      </c>
      <c r="AE59">
        <f t="shared" si="4"/>
        <v>58</v>
      </c>
      <c r="AK59">
        <f t="shared" si="5"/>
        <v>58</v>
      </c>
      <c r="AL59" t="s">
        <v>2370</v>
      </c>
      <c r="AM59" t="s">
        <v>2373</v>
      </c>
      <c r="AN59" t="s">
        <v>2376</v>
      </c>
      <c r="AO59" t="s">
        <v>2379</v>
      </c>
      <c r="AQ59">
        <f t="shared" si="6"/>
        <v>58</v>
      </c>
      <c r="AR59" t="s">
        <v>588</v>
      </c>
      <c r="AS59" t="s">
        <v>620</v>
      </c>
      <c r="AT59" t="s">
        <v>653</v>
      </c>
      <c r="AU59" t="s">
        <v>690</v>
      </c>
      <c r="AW59">
        <f t="shared" si="7"/>
        <v>58</v>
      </c>
      <c r="AX59" t="s">
        <v>813</v>
      </c>
      <c r="AY59" t="s">
        <v>1113</v>
      </c>
      <c r="AZ59" t="s">
        <v>1131</v>
      </c>
      <c r="BA59" t="s">
        <v>1149</v>
      </c>
      <c r="BC59">
        <f t="shared" si="8"/>
        <v>58</v>
      </c>
      <c r="BI59">
        <f t="shared" si="9"/>
        <v>58</v>
      </c>
      <c r="BO59">
        <f t="shared" si="10"/>
        <v>58</v>
      </c>
    </row>
    <row r="60" spans="1:71" x14ac:dyDescent="0.3">
      <c r="A60">
        <f t="shared" si="20"/>
        <v>59</v>
      </c>
      <c r="M60">
        <f t="shared" si="1"/>
        <v>59</v>
      </c>
      <c r="O60" s="334"/>
      <c r="P60" s="334"/>
      <c r="Q60" s="334"/>
      <c r="S60">
        <f t="shared" si="2"/>
        <v>59</v>
      </c>
      <c r="Y60">
        <f t="shared" si="3"/>
        <v>59</v>
      </c>
      <c r="AE60">
        <f t="shared" si="4"/>
        <v>59</v>
      </c>
      <c r="AK60">
        <f t="shared" si="5"/>
        <v>59</v>
      </c>
      <c r="AL60" t="s">
        <v>2371</v>
      </c>
      <c r="AM60" t="s">
        <v>2374</v>
      </c>
      <c r="AN60" t="s">
        <v>2377</v>
      </c>
      <c r="AO60" t="s">
        <v>2380</v>
      </c>
      <c r="AQ60">
        <f t="shared" si="6"/>
        <v>59</v>
      </c>
      <c r="AR60" t="s">
        <v>589</v>
      </c>
      <c r="AS60" t="s">
        <v>621</v>
      </c>
      <c r="AT60" t="s">
        <v>654</v>
      </c>
      <c r="AU60" t="s">
        <v>691</v>
      </c>
      <c r="AW60">
        <f t="shared" si="7"/>
        <v>59</v>
      </c>
      <c r="BC60">
        <f t="shared" si="8"/>
        <v>59</v>
      </c>
      <c r="BI60">
        <f t="shared" si="9"/>
        <v>59</v>
      </c>
      <c r="BO60">
        <f t="shared" si="10"/>
        <v>59</v>
      </c>
    </row>
    <row r="61" spans="1:71" x14ac:dyDescent="0.3">
      <c r="A61">
        <f t="shared" si="20"/>
        <v>60</v>
      </c>
      <c r="M61">
        <f t="shared" si="1"/>
        <v>60</v>
      </c>
      <c r="O61" s="334"/>
      <c r="P61" s="334"/>
      <c r="Q61" s="334"/>
      <c r="S61">
        <f t="shared" si="2"/>
        <v>60</v>
      </c>
      <c r="Y61">
        <f t="shared" si="3"/>
        <v>60</v>
      </c>
      <c r="AE61">
        <f t="shared" si="4"/>
        <v>60</v>
      </c>
      <c r="AK61">
        <f t="shared" si="5"/>
        <v>60</v>
      </c>
      <c r="AL61" t="s">
        <v>251</v>
      </c>
      <c r="AM61" t="s">
        <v>251</v>
      </c>
      <c r="AN61" t="s">
        <v>449</v>
      </c>
      <c r="AO61" t="s">
        <v>251</v>
      </c>
      <c r="AQ61">
        <f t="shared" si="6"/>
        <v>60</v>
      </c>
      <c r="AR61" t="s">
        <v>590</v>
      </c>
      <c r="AS61" t="s">
        <v>2236</v>
      </c>
      <c r="AT61" t="s">
        <v>667</v>
      </c>
      <c r="AU61" t="s">
        <v>692</v>
      </c>
      <c r="AW61">
        <f t="shared" si="7"/>
        <v>60</v>
      </c>
      <c r="BC61">
        <f t="shared" si="8"/>
        <v>60</v>
      </c>
      <c r="BI61">
        <f t="shared" si="9"/>
        <v>60</v>
      </c>
      <c r="BO61">
        <f t="shared" si="10"/>
        <v>60</v>
      </c>
    </row>
    <row r="62" spans="1:71" x14ac:dyDescent="0.3">
      <c r="A62">
        <f t="shared" si="20"/>
        <v>61</v>
      </c>
      <c r="M62">
        <f t="shared" si="1"/>
        <v>61</v>
      </c>
      <c r="N62" t="s">
        <v>48</v>
      </c>
      <c r="O62" s="334" t="s">
        <v>296</v>
      </c>
      <c r="P62" s="334" t="s">
        <v>371</v>
      </c>
      <c r="Q62" s="334" t="s">
        <v>372</v>
      </c>
      <c r="S62">
        <f t="shared" si="2"/>
        <v>61</v>
      </c>
      <c r="T62" t="s">
        <v>1338</v>
      </c>
      <c r="U62" t="s">
        <v>1354</v>
      </c>
      <c r="V62" t="s">
        <v>1368</v>
      </c>
      <c r="W62" t="s">
        <v>1381</v>
      </c>
      <c r="Y62">
        <f t="shared" si="3"/>
        <v>61</v>
      </c>
      <c r="AE62">
        <f t="shared" si="4"/>
        <v>61</v>
      </c>
      <c r="AF62" t="s">
        <v>1540</v>
      </c>
      <c r="AG62" t="s">
        <v>1659</v>
      </c>
      <c r="AH62" t="s">
        <v>1688</v>
      </c>
      <c r="AI62" t="s">
        <v>1692</v>
      </c>
      <c r="AK62">
        <f t="shared" si="5"/>
        <v>61</v>
      </c>
      <c r="AL62" t="s">
        <v>252</v>
      </c>
      <c r="AM62" t="s">
        <v>440</v>
      </c>
      <c r="AN62" t="s">
        <v>450</v>
      </c>
      <c r="AO62" t="s">
        <v>458</v>
      </c>
      <c r="AQ62">
        <f t="shared" si="6"/>
        <v>61</v>
      </c>
      <c r="AR62" t="s">
        <v>248</v>
      </c>
      <c r="AS62" t="s">
        <v>438</v>
      </c>
      <c r="AT62" t="s">
        <v>447</v>
      </c>
      <c r="AU62" t="s">
        <v>456</v>
      </c>
      <c r="AW62">
        <f t="shared" si="7"/>
        <v>61</v>
      </c>
      <c r="BC62">
        <f t="shared" si="8"/>
        <v>61</v>
      </c>
      <c r="BI62">
        <f t="shared" si="9"/>
        <v>61</v>
      </c>
      <c r="BJ62" t="s">
        <v>1406</v>
      </c>
      <c r="BK62" t="s">
        <v>1803</v>
      </c>
      <c r="BL62" t="s">
        <v>1806</v>
      </c>
      <c r="BM62" t="s">
        <v>1809</v>
      </c>
      <c r="BO62">
        <f t="shared" si="10"/>
        <v>61</v>
      </c>
    </row>
    <row r="63" spans="1:71" x14ac:dyDescent="0.3">
      <c r="A63">
        <f t="shared" si="20"/>
        <v>62</v>
      </c>
      <c r="M63">
        <f t="shared" si="1"/>
        <v>62</v>
      </c>
      <c r="N63" t="s">
        <v>1437</v>
      </c>
      <c r="O63" s="334" t="s">
        <v>1884</v>
      </c>
      <c r="P63" s="334" t="s">
        <v>1889</v>
      </c>
      <c r="Q63" s="334" t="s">
        <v>1875</v>
      </c>
      <c r="S63">
        <f t="shared" si="2"/>
        <v>62</v>
      </c>
      <c r="T63" t="s">
        <v>1339</v>
      </c>
      <c r="U63" t="s">
        <v>1355</v>
      </c>
      <c r="V63" t="s">
        <v>1369</v>
      </c>
      <c r="W63" t="s">
        <v>1382</v>
      </c>
      <c r="Y63">
        <f t="shared" si="3"/>
        <v>62</v>
      </c>
      <c r="AE63">
        <f t="shared" si="4"/>
        <v>62</v>
      </c>
      <c r="AF63" t="s">
        <v>1638</v>
      </c>
      <c r="AG63" s="34" t="s">
        <v>1660</v>
      </c>
      <c r="AH63" t="s">
        <v>1689</v>
      </c>
      <c r="AI63" t="s">
        <v>1693</v>
      </c>
      <c r="AK63">
        <f t="shared" si="5"/>
        <v>62</v>
      </c>
      <c r="AL63" t="s">
        <v>487</v>
      </c>
      <c r="AM63" t="s">
        <v>507</v>
      </c>
      <c r="AN63" t="s">
        <v>2237</v>
      </c>
      <c r="AO63" t="s">
        <v>531</v>
      </c>
      <c r="AQ63">
        <f t="shared" si="6"/>
        <v>62</v>
      </c>
      <c r="AR63" t="s">
        <v>591</v>
      </c>
      <c r="AS63" t="s">
        <v>622</v>
      </c>
      <c r="AT63" t="s">
        <v>655</v>
      </c>
      <c r="AU63" t="s">
        <v>705</v>
      </c>
      <c r="AW63">
        <f t="shared" si="7"/>
        <v>62</v>
      </c>
      <c r="BC63">
        <f t="shared" si="8"/>
        <v>62</v>
      </c>
      <c r="BI63">
        <f t="shared" si="9"/>
        <v>62</v>
      </c>
      <c r="BJ63" t="s">
        <v>1425</v>
      </c>
      <c r="BK63" t="s">
        <v>1804</v>
      </c>
      <c r="BL63" t="s">
        <v>1807</v>
      </c>
      <c r="BM63" t="s">
        <v>1810</v>
      </c>
      <c r="BO63">
        <f t="shared" si="10"/>
        <v>62</v>
      </c>
    </row>
    <row r="64" spans="1:71" x14ac:dyDescent="0.3">
      <c r="A64">
        <f t="shared" si="20"/>
        <v>63</v>
      </c>
      <c r="M64">
        <f t="shared" si="1"/>
        <v>63</v>
      </c>
      <c r="N64" t="s">
        <v>1881</v>
      </c>
      <c r="O64" s="334" t="s">
        <v>1885</v>
      </c>
      <c r="P64" s="334" t="s">
        <v>1890</v>
      </c>
      <c r="Q64" s="334" t="s">
        <v>1878</v>
      </c>
      <c r="S64">
        <f t="shared" si="2"/>
        <v>63</v>
      </c>
      <c r="T64" t="s">
        <v>1340</v>
      </c>
      <c r="U64" t="s">
        <v>1356</v>
      </c>
      <c r="V64" t="s">
        <v>1370</v>
      </c>
      <c r="W64" t="s">
        <v>1383</v>
      </c>
      <c r="Y64">
        <f t="shared" si="3"/>
        <v>63</v>
      </c>
      <c r="AE64">
        <f t="shared" si="4"/>
        <v>63</v>
      </c>
      <c r="AF64" t="s">
        <v>1541</v>
      </c>
      <c r="AG64" t="s">
        <v>1639</v>
      </c>
      <c r="AH64" t="s">
        <v>1663</v>
      </c>
      <c r="AI64" t="s">
        <v>1541</v>
      </c>
      <c r="AK64">
        <f t="shared" si="5"/>
        <v>63</v>
      </c>
      <c r="AL64" t="s">
        <v>488</v>
      </c>
      <c r="AM64" t="s">
        <v>2238</v>
      </c>
      <c r="AN64" t="s">
        <v>2239</v>
      </c>
      <c r="AO64" t="s">
        <v>532</v>
      </c>
      <c r="AQ64">
        <f t="shared" si="6"/>
        <v>63</v>
      </c>
      <c r="AR64" t="s">
        <v>592</v>
      </c>
      <c r="AS64" t="s">
        <v>623</v>
      </c>
      <c r="AT64" t="s">
        <v>656</v>
      </c>
      <c r="AU64" t="s">
        <v>693</v>
      </c>
      <c r="AW64">
        <f t="shared" si="7"/>
        <v>63</v>
      </c>
      <c r="BC64">
        <f t="shared" si="8"/>
        <v>63</v>
      </c>
      <c r="BI64">
        <f t="shared" si="9"/>
        <v>63</v>
      </c>
      <c r="BJ64" t="s">
        <v>1426</v>
      </c>
      <c r="BK64" t="s">
        <v>1805</v>
      </c>
      <c r="BL64" t="s">
        <v>1808</v>
      </c>
      <c r="BM64" t="s">
        <v>1811</v>
      </c>
      <c r="BO64">
        <f t="shared" si="10"/>
        <v>63</v>
      </c>
    </row>
    <row r="65" spans="1:71" x14ac:dyDescent="0.3">
      <c r="A65">
        <f t="shared" si="20"/>
        <v>64</v>
      </c>
      <c r="M65">
        <f t="shared" si="1"/>
        <v>64</v>
      </c>
      <c r="N65" t="s">
        <v>1882</v>
      </c>
      <c r="O65" s="334" t="s">
        <v>2240</v>
      </c>
      <c r="P65" s="334" t="s">
        <v>1891</v>
      </c>
      <c r="Q65" s="334" t="s">
        <v>1879</v>
      </c>
      <c r="S65">
        <f t="shared" si="2"/>
        <v>64</v>
      </c>
      <c r="T65" t="s">
        <v>1341</v>
      </c>
      <c r="U65" t="s">
        <v>1357</v>
      </c>
      <c r="V65" t="s">
        <v>1371</v>
      </c>
      <c r="W65" t="s">
        <v>1384</v>
      </c>
      <c r="Y65">
        <f t="shared" si="3"/>
        <v>64</v>
      </c>
      <c r="AE65">
        <f t="shared" si="4"/>
        <v>64</v>
      </c>
      <c r="AF65" t="s">
        <v>1662</v>
      </c>
      <c r="AG65" t="s">
        <v>1687</v>
      </c>
      <c r="AH65" t="s">
        <v>1664</v>
      </c>
      <c r="AI65" t="s">
        <v>1662</v>
      </c>
      <c r="AK65">
        <f t="shared" si="5"/>
        <v>64</v>
      </c>
      <c r="AL65" t="s">
        <v>491</v>
      </c>
      <c r="AM65" t="s">
        <v>510</v>
      </c>
      <c r="AN65" t="s">
        <v>513</v>
      </c>
      <c r="AO65" t="s">
        <v>535</v>
      </c>
      <c r="AQ65">
        <f t="shared" si="6"/>
        <v>64</v>
      </c>
      <c r="AR65" t="s">
        <v>593</v>
      </c>
      <c r="AS65" t="s">
        <v>624</v>
      </c>
      <c r="AT65" t="s">
        <v>657</v>
      </c>
      <c r="AU65" t="s">
        <v>694</v>
      </c>
      <c r="AW65">
        <f t="shared" si="7"/>
        <v>64</v>
      </c>
      <c r="BC65">
        <f t="shared" si="8"/>
        <v>64</v>
      </c>
      <c r="BI65">
        <f t="shared" si="9"/>
        <v>64</v>
      </c>
      <c r="BO65">
        <f t="shared" si="10"/>
        <v>64</v>
      </c>
    </row>
    <row r="66" spans="1:71" x14ac:dyDescent="0.3">
      <c r="A66">
        <f t="shared" si="20"/>
        <v>65</v>
      </c>
      <c r="M66">
        <f t="shared" si="1"/>
        <v>65</v>
      </c>
      <c r="N66" t="s">
        <v>1438</v>
      </c>
      <c r="O66" s="334" t="s">
        <v>1886</v>
      </c>
      <c r="P66" s="334" t="s">
        <v>1892</v>
      </c>
      <c r="Q66" s="334" t="s">
        <v>1876</v>
      </c>
      <c r="S66">
        <f t="shared" si="2"/>
        <v>65</v>
      </c>
      <c r="T66" t="s">
        <v>1342</v>
      </c>
      <c r="U66" t="s">
        <v>1358</v>
      </c>
      <c r="V66" t="s">
        <v>1372</v>
      </c>
      <c r="W66" t="s">
        <v>1385</v>
      </c>
      <c r="Y66">
        <f t="shared" si="3"/>
        <v>65</v>
      </c>
      <c r="AE66">
        <f t="shared" si="4"/>
        <v>65</v>
      </c>
      <c r="AF66" t="s">
        <v>1661</v>
      </c>
      <c r="AG66" t="s">
        <v>1686</v>
      </c>
      <c r="AH66" t="s">
        <v>1665</v>
      </c>
      <c r="AI66" t="s">
        <v>1661</v>
      </c>
      <c r="AK66">
        <f t="shared" si="5"/>
        <v>65</v>
      </c>
      <c r="AQ66">
        <f t="shared" si="6"/>
        <v>65</v>
      </c>
      <c r="AR66" t="s">
        <v>594</v>
      </c>
      <c r="AS66" t="s">
        <v>629</v>
      </c>
      <c r="AT66" t="s">
        <v>668</v>
      </c>
      <c r="AU66" t="s">
        <v>695</v>
      </c>
      <c r="AW66">
        <f t="shared" si="7"/>
        <v>65</v>
      </c>
      <c r="BC66">
        <f t="shared" si="8"/>
        <v>65</v>
      </c>
      <c r="BI66">
        <f t="shared" si="9"/>
        <v>65</v>
      </c>
      <c r="BO66">
        <f t="shared" si="10"/>
        <v>65</v>
      </c>
    </row>
    <row r="67" spans="1:71" x14ac:dyDescent="0.3">
      <c r="A67">
        <f t="shared" si="20"/>
        <v>66</v>
      </c>
      <c r="M67">
        <f t="shared" ref="M67:M130" si="21">ROW()-1</f>
        <v>66</v>
      </c>
      <c r="N67" t="s">
        <v>1895</v>
      </c>
      <c r="O67" s="334" t="s">
        <v>1880</v>
      </c>
      <c r="P67" s="334" t="s">
        <v>1893</v>
      </c>
      <c r="Q67" s="334" t="s">
        <v>1880</v>
      </c>
      <c r="S67">
        <f t="shared" ref="S67:S130" si="22">ROW()-1</f>
        <v>66</v>
      </c>
      <c r="T67" t="s">
        <v>1343</v>
      </c>
      <c r="U67" t="s">
        <v>2241</v>
      </c>
      <c r="V67" t="s">
        <v>1373</v>
      </c>
      <c r="W67" t="s">
        <v>1386</v>
      </c>
      <c r="Y67">
        <f t="shared" ref="Y67:Y130" si="23">ROW()-1</f>
        <v>66</v>
      </c>
      <c r="AE67">
        <f t="shared" ref="AE67:AE130" si="24">ROW()-1</f>
        <v>66</v>
      </c>
      <c r="AF67" t="s">
        <v>1542</v>
      </c>
      <c r="AG67" t="s">
        <v>1640</v>
      </c>
      <c r="AH67" t="s">
        <v>1666</v>
      </c>
      <c r="AI67" t="s">
        <v>1640</v>
      </c>
      <c r="AK67">
        <f t="shared" ref="AK67:AK130" si="25">ROW()-1</f>
        <v>66</v>
      </c>
      <c r="AQ67">
        <f t="shared" ref="AQ67:AQ130" si="26">ROW()-1</f>
        <v>66</v>
      </c>
      <c r="AR67" t="s">
        <v>595</v>
      </c>
      <c r="AS67" t="s">
        <v>625</v>
      </c>
      <c r="AT67" t="s">
        <v>658</v>
      </c>
      <c r="AU67" t="s">
        <v>696</v>
      </c>
      <c r="AW67">
        <f t="shared" ref="AW67:AW130" si="27">ROW()-1</f>
        <v>66</v>
      </c>
      <c r="BC67">
        <f t="shared" ref="BC67:BC130" si="28">ROW()-1</f>
        <v>66</v>
      </c>
      <c r="BI67">
        <f t="shared" ref="BI67:BI130" si="29">ROW()-1</f>
        <v>66</v>
      </c>
      <c r="BO67">
        <f t="shared" ref="BO67:BO130" si="30">ROW()-1</f>
        <v>66</v>
      </c>
    </row>
    <row r="68" spans="1:71" x14ac:dyDescent="0.3">
      <c r="M68">
        <f t="shared" si="21"/>
        <v>67</v>
      </c>
      <c r="N68" t="s">
        <v>1439</v>
      </c>
      <c r="O68" s="334" t="s">
        <v>1887</v>
      </c>
      <c r="P68" s="334" t="s">
        <v>1894</v>
      </c>
      <c r="Q68" s="334" t="s">
        <v>1877</v>
      </c>
      <c r="S68">
        <f t="shared" si="22"/>
        <v>67</v>
      </c>
      <c r="T68" t="s">
        <v>1344</v>
      </c>
      <c r="U68" t="s">
        <v>1359</v>
      </c>
      <c r="V68" t="s">
        <v>1374</v>
      </c>
      <c r="W68" t="s">
        <v>1387</v>
      </c>
      <c r="Y68">
        <f t="shared" si="23"/>
        <v>67</v>
      </c>
      <c r="AE68">
        <f t="shared" si="24"/>
        <v>67</v>
      </c>
      <c r="AF68" t="s">
        <v>1543</v>
      </c>
      <c r="AG68" t="s">
        <v>1641</v>
      </c>
      <c r="AH68" t="s">
        <v>1667</v>
      </c>
      <c r="AI68" t="s">
        <v>1690</v>
      </c>
      <c r="AK68">
        <f t="shared" si="25"/>
        <v>67</v>
      </c>
      <c r="AQ68">
        <f t="shared" si="26"/>
        <v>67</v>
      </c>
      <c r="AR68" t="s">
        <v>596</v>
      </c>
      <c r="AS68" t="s">
        <v>2242</v>
      </c>
      <c r="AT68" t="s">
        <v>659</v>
      </c>
      <c r="AU68" t="s">
        <v>697</v>
      </c>
      <c r="AW68">
        <f t="shared" si="27"/>
        <v>67</v>
      </c>
      <c r="BC68">
        <f t="shared" si="28"/>
        <v>67</v>
      </c>
      <c r="BI68">
        <f t="shared" si="29"/>
        <v>67</v>
      </c>
      <c r="BO68">
        <f t="shared" si="30"/>
        <v>67</v>
      </c>
    </row>
    <row r="69" spans="1:71" x14ac:dyDescent="0.3">
      <c r="M69">
        <f t="shared" si="21"/>
        <v>68</v>
      </c>
      <c r="O69" s="334"/>
      <c r="P69" s="334"/>
      <c r="Q69" s="334"/>
      <c r="S69">
        <f t="shared" si="22"/>
        <v>68</v>
      </c>
      <c r="T69" t="s">
        <v>1345</v>
      </c>
      <c r="U69" t="s">
        <v>1360</v>
      </c>
      <c r="V69" t="s">
        <v>1375</v>
      </c>
      <c r="W69" t="s">
        <v>1388</v>
      </c>
      <c r="Y69">
        <f t="shared" si="23"/>
        <v>68</v>
      </c>
      <c r="AE69">
        <f t="shared" si="24"/>
        <v>68</v>
      </c>
      <c r="AF69" t="s">
        <v>1544</v>
      </c>
      <c r="AG69" t="s">
        <v>1642</v>
      </c>
      <c r="AH69" t="s">
        <v>1668</v>
      </c>
      <c r="AI69" t="s">
        <v>1544</v>
      </c>
      <c r="AK69">
        <f t="shared" si="25"/>
        <v>68</v>
      </c>
      <c r="AQ69">
        <f t="shared" si="26"/>
        <v>68</v>
      </c>
      <c r="AR69" t="s">
        <v>597</v>
      </c>
      <c r="AS69" t="s">
        <v>626</v>
      </c>
      <c r="AT69" t="s">
        <v>660</v>
      </c>
      <c r="AU69" t="s">
        <v>698</v>
      </c>
      <c r="AW69">
        <f t="shared" si="27"/>
        <v>68</v>
      </c>
      <c r="BC69">
        <f t="shared" si="28"/>
        <v>68</v>
      </c>
      <c r="BI69">
        <f t="shared" si="29"/>
        <v>68</v>
      </c>
      <c r="BO69">
        <f t="shared" si="30"/>
        <v>68</v>
      </c>
    </row>
    <row r="70" spans="1:71" x14ac:dyDescent="0.3">
      <c r="M70">
        <f t="shared" si="21"/>
        <v>69</v>
      </c>
      <c r="O70" s="334"/>
      <c r="P70" s="334"/>
      <c r="Q70" s="334"/>
      <c r="S70">
        <f t="shared" si="22"/>
        <v>69</v>
      </c>
      <c r="T70" t="s">
        <v>1346</v>
      </c>
      <c r="U70" t="s">
        <v>1361</v>
      </c>
      <c r="V70" t="s">
        <v>1376</v>
      </c>
      <c r="W70" t="s">
        <v>1389</v>
      </c>
      <c r="Y70">
        <f t="shared" si="23"/>
        <v>69</v>
      </c>
      <c r="AE70">
        <f t="shared" si="24"/>
        <v>69</v>
      </c>
      <c r="AF70" t="s">
        <v>1545</v>
      </c>
      <c r="AG70" t="s">
        <v>1643</v>
      </c>
      <c r="AH70" t="s">
        <v>1669</v>
      </c>
      <c r="AI70" t="s">
        <v>1643</v>
      </c>
      <c r="AK70">
        <f t="shared" si="25"/>
        <v>69</v>
      </c>
      <c r="AQ70">
        <f t="shared" si="26"/>
        <v>69</v>
      </c>
      <c r="AR70" t="s">
        <v>598</v>
      </c>
      <c r="AS70" t="s">
        <v>2243</v>
      </c>
      <c r="AT70" t="s">
        <v>661</v>
      </c>
      <c r="AU70" t="s">
        <v>699</v>
      </c>
      <c r="AW70">
        <f t="shared" si="27"/>
        <v>69</v>
      </c>
      <c r="BC70">
        <f t="shared" si="28"/>
        <v>69</v>
      </c>
      <c r="BI70">
        <f t="shared" si="29"/>
        <v>69</v>
      </c>
      <c r="BO70">
        <f t="shared" si="30"/>
        <v>69</v>
      </c>
    </row>
    <row r="71" spans="1:71" x14ac:dyDescent="0.3">
      <c r="M71">
        <f t="shared" si="21"/>
        <v>70</v>
      </c>
      <c r="O71" s="334"/>
      <c r="P71" s="334"/>
      <c r="Q71" s="334"/>
      <c r="S71">
        <f t="shared" si="22"/>
        <v>70</v>
      </c>
      <c r="T71" t="s">
        <v>1347</v>
      </c>
      <c r="U71" t="s">
        <v>1362</v>
      </c>
      <c r="V71" t="s">
        <v>1377</v>
      </c>
      <c r="W71" t="s">
        <v>1390</v>
      </c>
      <c r="Y71">
        <f t="shared" si="23"/>
        <v>70</v>
      </c>
      <c r="AE71">
        <f t="shared" si="24"/>
        <v>70</v>
      </c>
      <c r="AF71" t="s">
        <v>1546</v>
      </c>
      <c r="AG71" t="s">
        <v>1644</v>
      </c>
      <c r="AH71" t="s">
        <v>1670</v>
      </c>
      <c r="AI71" t="s">
        <v>1691</v>
      </c>
      <c r="AK71">
        <f t="shared" si="25"/>
        <v>70</v>
      </c>
      <c r="AQ71">
        <f t="shared" si="26"/>
        <v>70</v>
      </c>
      <c r="AR71" t="s">
        <v>599</v>
      </c>
      <c r="AS71" t="s">
        <v>613</v>
      </c>
      <c r="AT71" t="s">
        <v>662</v>
      </c>
      <c r="AU71" t="s">
        <v>681</v>
      </c>
      <c r="AW71">
        <f t="shared" si="27"/>
        <v>70</v>
      </c>
      <c r="BC71">
        <f t="shared" si="28"/>
        <v>70</v>
      </c>
      <c r="BI71">
        <f t="shared" si="29"/>
        <v>70</v>
      </c>
      <c r="BO71">
        <f t="shared" si="30"/>
        <v>70</v>
      </c>
    </row>
    <row r="72" spans="1:71" x14ac:dyDescent="0.3">
      <c r="M72">
        <f t="shared" si="21"/>
        <v>71</v>
      </c>
      <c r="N72" t="s">
        <v>1442</v>
      </c>
      <c r="O72" s="334" t="s">
        <v>1903</v>
      </c>
      <c r="P72" s="334" t="s">
        <v>1948</v>
      </c>
      <c r="Q72" s="334" t="s">
        <v>1994</v>
      </c>
      <c r="S72">
        <f t="shared" si="22"/>
        <v>71</v>
      </c>
      <c r="Y72">
        <f t="shared" si="23"/>
        <v>71</v>
      </c>
      <c r="AE72">
        <f t="shared" si="24"/>
        <v>71</v>
      </c>
      <c r="AF72" t="s">
        <v>1547</v>
      </c>
      <c r="AG72" t="s">
        <v>1645</v>
      </c>
      <c r="AH72" t="s">
        <v>1671</v>
      </c>
      <c r="AI72" t="s">
        <v>1547</v>
      </c>
      <c r="AK72">
        <f t="shared" si="25"/>
        <v>71</v>
      </c>
      <c r="AQ72">
        <f t="shared" si="26"/>
        <v>71</v>
      </c>
      <c r="AR72" t="s">
        <v>579</v>
      </c>
      <c r="AS72" t="s">
        <v>614</v>
      </c>
      <c r="AT72" t="s">
        <v>663</v>
      </c>
      <c r="AU72" t="s">
        <v>682</v>
      </c>
      <c r="AW72">
        <f t="shared" si="27"/>
        <v>71</v>
      </c>
      <c r="AX72" t="s">
        <v>899</v>
      </c>
      <c r="AY72" t="s">
        <v>1717</v>
      </c>
      <c r="AZ72" t="s">
        <v>1718</v>
      </c>
      <c r="BA72" t="s">
        <v>1716</v>
      </c>
      <c r="BC72">
        <f t="shared" si="28"/>
        <v>71</v>
      </c>
      <c r="BI72">
        <f t="shared" si="29"/>
        <v>71</v>
      </c>
      <c r="BO72">
        <f t="shared" si="30"/>
        <v>71</v>
      </c>
      <c r="BP72" t="s">
        <v>887</v>
      </c>
      <c r="BQ72" t="s">
        <v>1253</v>
      </c>
      <c r="BR72" t="s">
        <v>1282</v>
      </c>
      <c r="BS72" t="s">
        <v>1311</v>
      </c>
    </row>
    <row r="73" spans="1:71" x14ac:dyDescent="0.3">
      <c r="M73">
        <f t="shared" si="21"/>
        <v>72</v>
      </c>
      <c r="N73" t="s">
        <v>1444</v>
      </c>
      <c r="O73" s="334" t="s">
        <v>1904</v>
      </c>
      <c r="P73" s="334" t="s">
        <v>1949</v>
      </c>
      <c r="Q73" s="334" t="s">
        <v>1995</v>
      </c>
      <c r="S73">
        <f t="shared" si="22"/>
        <v>72</v>
      </c>
      <c r="Y73">
        <f t="shared" si="23"/>
        <v>72</v>
      </c>
      <c r="AE73">
        <f t="shared" si="24"/>
        <v>72</v>
      </c>
      <c r="AF73" t="s">
        <v>1548</v>
      </c>
      <c r="AG73" t="s">
        <v>1646</v>
      </c>
      <c r="AH73" t="s">
        <v>1672</v>
      </c>
      <c r="AI73" t="s">
        <v>1548</v>
      </c>
      <c r="AK73">
        <f t="shared" si="25"/>
        <v>72</v>
      </c>
      <c r="AQ73">
        <f t="shared" si="26"/>
        <v>72</v>
      </c>
      <c r="AR73" t="s">
        <v>600</v>
      </c>
      <c r="AS73" t="s">
        <v>627</v>
      </c>
      <c r="AT73" t="s">
        <v>664</v>
      </c>
      <c r="AU73" t="s">
        <v>700</v>
      </c>
      <c r="AW73">
        <f t="shared" si="27"/>
        <v>72</v>
      </c>
      <c r="BC73">
        <f t="shared" si="28"/>
        <v>72</v>
      </c>
      <c r="BI73">
        <f t="shared" si="29"/>
        <v>72</v>
      </c>
      <c r="BO73">
        <f t="shared" si="30"/>
        <v>72</v>
      </c>
      <c r="BP73" t="s">
        <v>767</v>
      </c>
      <c r="BQ73" t="s">
        <v>919</v>
      </c>
      <c r="BR73" t="s">
        <v>923</v>
      </c>
      <c r="BS73" t="s">
        <v>940</v>
      </c>
    </row>
    <row r="74" spans="1:71" x14ac:dyDescent="0.3">
      <c r="M74">
        <f t="shared" si="21"/>
        <v>73</v>
      </c>
      <c r="N74" t="s">
        <v>1445</v>
      </c>
      <c r="O74" s="334" t="s">
        <v>1905</v>
      </c>
      <c r="P74" s="334" t="s">
        <v>1950</v>
      </c>
      <c r="Q74" s="334" t="s">
        <v>1996</v>
      </c>
      <c r="S74">
        <f t="shared" si="22"/>
        <v>73</v>
      </c>
      <c r="Y74">
        <f t="shared" si="23"/>
        <v>73</v>
      </c>
      <c r="AE74">
        <f t="shared" si="24"/>
        <v>73</v>
      </c>
      <c r="AF74" t="s">
        <v>1549</v>
      </c>
      <c r="AG74" t="s">
        <v>1549</v>
      </c>
      <c r="AH74" t="s">
        <v>1673</v>
      </c>
      <c r="AI74" t="s">
        <v>1549</v>
      </c>
      <c r="AK74">
        <f t="shared" si="25"/>
        <v>73</v>
      </c>
      <c r="AQ74">
        <f t="shared" si="26"/>
        <v>73</v>
      </c>
      <c r="AR74" s="334" t="s">
        <v>2538</v>
      </c>
      <c r="AS74" s="334" t="s">
        <v>2612</v>
      </c>
      <c r="AT74" s="334" t="s">
        <v>2613</v>
      </c>
      <c r="AU74" s="334" t="s">
        <v>2614</v>
      </c>
      <c r="AW74">
        <f t="shared" si="27"/>
        <v>73</v>
      </c>
      <c r="BC74">
        <f t="shared" si="28"/>
        <v>73</v>
      </c>
      <c r="BI74">
        <f t="shared" si="29"/>
        <v>73</v>
      </c>
      <c r="BO74">
        <f t="shared" si="30"/>
        <v>73</v>
      </c>
      <c r="BP74" t="s">
        <v>1260</v>
      </c>
      <c r="BQ74" t="s">
        <v>1266</v>
      </c>
      <c r="BR74" t="s">
        <v>1285</v>
      </c>
      <c r="BS74" t="s">
        <v>1313</v>
      </c>
    </row>
    <row r="75" spans="1:71" x14ac:dyDescent="0.3">
      <c r="M75">
        <f t="shared" si="21"/>
        <v>74</v>
      </c>
      <c r="N75" t="s">
        <v>1446</v>
      </c>
      <c r="O75" s="334" t="s">
        <v>1906</v>
      </c>
      <c r="P75" s="334" t="s">
        <v>1951</v>
      </c>
      <c r="Q75" s="334" t="s">
        <v>1997</v>
      </c>
      <c r="S75">
        <f t="shared" si="22"/>
        <v>74</v>
      </c>
      <c r="Y75">
        <f t="shared" si="23"/>
        <v>74</v>
      </c>
      <c r="AE75">
        <f t="shared" si="24"/>
        <v>74</v>
      </c>
      <c r="AF75" t="s">
        <v>1550</v>
      </c>
      <c r="AG75" t="s">
        <v>1647</v>
      </c>
      <c r="AH75" t="s">
        <v>1674</v>
      </c>
      <c r="AI75" t="s">
        <v>1647</v>
      </c>
      <c r="AK75">
        <f t="shared" si="25"/>
        <v>74</v>
      </c>
      <c r="AQ75">
        <f t="shared" si="26"/>
        <v>74</v>
      </c>
      <c r="AW75">
        <f t="shared" si="27"/>
        <v>74</v>
      </c>
      <c r="BC75">
        <f t="shared" si="28"/>
        <v>74</v>
      </c>
      <c r="BI75">
        <f t="shared" si="29"/>
        <v>74</v>
      </c>
      <c r="BO75">
        <f t="shared" si="30"/>
        <v>74</v>
      </c>
      <c r="BP75" t="s">
        <v>1261</v>
      </c>
      <c r="BQ75" t="s">
        <v>1267</v>
      </c>
      <c r="BR75" t="s">
        <v>1286</v>
      </c>
      <c r="BS75" t="s">
        <v>1314</v>
      </c>
    </row>
    <row r="76" spans="1:71" x14ac:dyDescent="0.3">
      <c r="M76">
        <f t="shared" si="21"/>
        <v>75</v>
      </c>
      <c r="N76" t="s">
        <v>1447</v>
      </c>
      <c r="O76" s="334" t="s">
        <v>1907</v>
      </c>
      <c r="P76" s="334" t="s">
        <v>1952</v>
      </c>
      <c r="Q76" s="334" t="s">
        <v>1998</v>
      </c>
      <c r="S76">
        <f t="shared" si="22"/>
        <v>75</v>
      </c>
      <c r="Y76">
        <f t="shared" si="23"/>
        <v>75</v>
      </c>
      <c r="AE76">
        <f t="shared" si="24"/>
        <v>75</v>
      </c>
      <c r="AF76" t="s">
        <v>1551</v>
      </c>
      <c r="AG76" t="s">
        <v>1648</v>
      </c>
      <c r="AH76" t="s">
        <v>1648</v>
      </c>
      <c r="AI76" t="s">
        <v>1648</v>
      </c>
      <c r="AK76">
        <f t="shared" si="25"/>
        <v>75</v>
      </c>
      <c r="AQ76">
        <f t="shared" si="26"/>
        <v>75</v>
      </c>
      <c r="AW76">
        <f t="shared" si="27"/>
        <v>75</v>
      </c>
      <c r="BC76">
        <f t="shared" si="28"/>
        <v>75</v>
      </c>
      <c r="BI76">
        <f t="shared" si="29"/>
        <v>75</v>
      </c>
      <c r="BO76">
        <f t="shared" si="30"/>
        <v>75</v>
      </c>
      <c r="BP76" t="s">
        <v>1262</v>
      </c>
      <c r="BQ76" t="s">
        <v>1268</v>
      </c>
      <c r="BR76" t="s">
        <v>1287</v>
      </c>
      <c r="BS76" t="s">
        <v>1315</v>
      </c>
    </row>
    <row r="77" spans="1:71" x14ac:dyDescent="0.3">
      <c r="M77">
        <f t="shared" si="21"/>
        <v>76</v>
      </c>
      <c r="N77" t="s">
        <v>1448</v>
      </c>
      <c r="O77" s="334" t="s">
        <v>1908</v>
      </c>
      <c r="P77" s="334" t="s">
        <v>1953</v>
      </c>
      <c r="Q77" s="334" t="s">
        <v>1999</v>
      </c>
      <c r="S77">
        <f t="shared" si="22"/>
        <v>76</v>
      </c>
      <c r="Y77">
        <f t="shared" si="23"/>
        <v>76</v>
      </c>
      <c r="AE77">
        <f t="shared" si="24"/>
        <v>76</v>
      </c>
      <c r="AF77" t="s">
        <v>1552</v>
      </c>
      <c r="AG77" t="s">
        <v>1649</v>
      </c>
      <c r="AH77" t="s">
        <v>1675</v>
      </c>
      <c r="AI77" t="s">
        <v>1552</v>
      </c>
      <c r="AK77">
        <f t="shared" si="25"/>
        <v>76</v>
      </c>
      <c r="AQ77">
        <f t="shared" si="26"/>
        <v>76</v>
      </c>
      <c r="AW77">
        <f t="shared" si="27"/>
        <v>76</v>
      </c>
      <c r="BC77">
        <f t="shared" si="28"/>
        <v>76</v>
      </c>
      <c r="BI77">
        <f t="shared" si="29"/>
        <v>76</v>
      </c>
      <c r="BO77">
        <f t="shared" si="30"/>
        <v>76</v>
      </c>
      <c r="BP77" t="s">
        <v>888</v>
      </c>
      <c r="BQ77" t="s">
        <v>888</v>
      </c>
      <c r="BR77" t="s">
        <v>1283</v>
      </c>
      <c r="BS77" t="s">
        <v>888</v>
      </c>
    </row>
    <row r="78" spans="1:71" x14ac:dyDescent="0.3">
      <c r="M78">
        <f t="shared" si="21"/>
        <v>77</v>
      </c>
      <c r="N78" t="s">
        <v>1449</v>
      </c>
      <c r="O78" s="334" t="s">
        <v>1909</v>
      </c>
      <c r="P78" s="334" t="s">
        <v>1954</v>
      </c>
      <c r="Q78" s="334" t="s">
        <v>2000</v>
      </c>
      <c r="S78">
        <f t="shared" si="22"/>
        <v>77</v>
      </c>
      <c r="Y78">
        <f t="shared" si="23"/>
        <v>77</v>
      </c>
      <c r="AE78">
        <f t="shared" si="24"/>
        <v>77</v>
      </c>
      <c r="AF78" t="s">
        <v>1553</v>
      </c>
      <c r="AG78" t="s">
        <v>1650</v>
      </c>
      <c r="AH78" t="s">
        <v>1676</v>
      </c>
      <c r="AI78" t="s">
        <v>1553</v>
      </c>
      <c r="AK78">
        <f t="shared" si="25"/>
        <v>77</v>
      </c>
      <c r="AQ78">
        <f t="shared" si="26"/>
        <v>77</v>
      </c>
      <c r="AW78">
        <f t="shared" si="27"/>
        <v>77</v>
      </c>
      <c r="BC78">
        <f t="shared" si="28"/>
        <v>77</v>
      </c>
      <c r="BI78">
        <f t="shared" si="29"/>
        <v>77</v>
      </c>
      <c r="BO78">
        <f t="shared" si="30"/>
        <v>77</v>
      </c>
      <c r="BP78" t="s">
        <v>1263</v>
      </c>
      <c r="BQ78" t="s">
        <v>1269</v>
      </c>
      <c r="BR78" t="s">
        <v>1288</v>
      </c>
      <c r="BS78" t="s">
        <v>1316</v>
      </c>
    </row>
    <row r="79" spans="1:71" x14ac:dyDescent="0.3">
      <c r="M79">
        <f t="shared" si="21"/>
        <v>78</v>
      </c>
      <c r="N79" t="s">
        <v>1450</v>
      </c>
      <c r="O79" s="334" t="s">
        <v>1910</v>
      </c>
      <c r="P79" s="334" t="s">
        <v>1955</v>
      </c>
      <c r="Q79" s="334" t="s">
        <v>2001</v>
      </c>
      <c r="S79">
        <f t="shared" si="22"/>
        <v>78</v>
      </c>
      <c r="Y79">
        <f t="shared" si="23"/>
        <v>78</v>
      </c>
      <c r="AE79">
        <f t="shared" si="24"/>
        <v>78</v>
      </c>
      <c r="AF79" t="s">
        <v>1554</v>
      </c>
      <c r="AG79" t="s">
        <v>1651</v>
      </c>
      <c r="AH79" t="s">
        <v>1677</v>
      </c>
      <c r="AI79" t="s">
        <v>1554</v>
      </c>
      <c r="AK79">
        <f t="shared" si="25"/>
        <v>78</v>
      </c>
      <c r="AQ79">
        <f t="shared" si="26"/>
        <v>78</v>
      </c>
      <c r="AW79">
        <f t="shared" si="27"/>
        <v>78</v>
      </c>
      <c r="BC79">
        <f t="shared" si="28"/>
        <v>78</v>
      </c>
      <c r="BI79">
        <f t="shared" si="29"/>
        <v>78</v>
      </c>
      <c r="BO79">
        <f t="shared" si="30"/>
        <v>78</v>
      </c>
      <c r="BP79" t="s">
        <v>1264</v>
      </c>
      <c r="BQ79" t="s">
        <v>1270</v>
      </c>
      <c r="BR79" t="s">
        <v>1289</v>
      </c>
      <c r="BS79" t="s">
        <v>1270</v>
      </c>
    </row>
    <row r="80" spans="1:71" x14ac:dyDescent="0.3">
      <c r="M80">
        <f t="shared" si="21"/>
        <v>79</v>
      </c>
      <c r="N80" t="s">
        <v>1451</v>
      </c>
      <c r="O80" s="334" t="s">
        <v>1911</v>
      </c>
      <c r="P80" s="334" t="s">
        <v>1956</v>
      </c>
      <c r="Q80" s="334" t="s">
        <v>2002</v>
      </c>
      <c r="S80">
        <f t="shared" si="22"/>
        <v>79</v>
      </c>
      <c r="Y80">
        <f t="shared" si="23"/>
        <v>79</v>
      </c>
      <c r="AE80">
        <f t="shared" si="24"/>
        <v>79</v>
      </c>
      <c r="AF80" t="s">
        <v>1555</v>
      </c>
      <c r="AG80" t="s">
        <v>1652</v>
      </c>
      <c r="AH80" t="s">
        <v>1678</v>
      </c>
      <c r="AI80" t="s">
        <v>1555</v>
      </c>
      <c r="AK80">
        <f t="shared" si="25"/>
        <v>79</v>
      </c>
      <c r="AQ80">
        <f t="shared" si="26"/>
        <v>79</v>
      </c>
      <c r="AW80">
        <f t="shared" si="27"/>
        <v>79</v>
      </c>
      <c r="BC80">
        <f t="shared" si="28"/>
        <v>79</v>
      </c>
      <c r="BI80">
        <f t="shared" si="29"/>
        <v>79</v>
      </c>
      <c r="BO80">
        <f t="shared" si="30"/>
        <v>79</v>
      </c>
      <c r="BP80" t="s">
        <v>1265</v>
      </c>
      <c r="BQ80" t="s">
        <v>1271</v>
      </c>
      <c r="BR80" t="s">
        <v>1290</v>
      </c>
      <c r="BS80" t="s">
        <v>1317</v>
      </c>
    </row>
    <row r="81" spans="13:71" x14ac:dyDescent="0.3">
      <c r="M81">
        <f t="shared" si="21"/>
        <v>80</v>
      </c>
      <c r="N81" t="s">
        <v>1452</v>
      </c>
      <c r="O81" s="334" t="s">
        <v>1839</v>
      </c>
      <c r="P81" s="334" t="s">
        <v>1849</v>
      </c>
      <c r="Q81" s="334" t="s">
        <v>1823</v>
      </c>
      <c r="S81">
        <f t="shared" si="22"/>
        <v>80</v>
      </c>
      <c r="Y81">
        <f t="shared" si="23"/>
        <v>80</v>
      </c>
      <c r="AE81">
        <f t="shared" si="24"/>
        <v>80</v>
      </c>
      <c r="AF81" t="s">
        <v>1556</v>
      </c>
      <c r="AG81" t="s">
        <v>1653</v>
      </c>
      <c r="AH81" t="s">
        <v>1679</v>
      </c>
      <c r="AI81" t="s">
        <v>1556</v>
      </c>
      <c r="AK81">
        <f t="shared" si="25"/>
        <v>80</v>
      </c>
      <c r="AQ81">
        <f t="shared" si="26"/>
        <v>80</v>
      </c>
      <c r="AW81">
        <f t="shared" si="27"/>
        <v>80</v>
      </c>
      <c r="BC81">
        <f t="shared" si="28"/>
        <v>80</v>
      </c>
      <c r="BI81">
        <f t="shared" si="29"/>
        <v>80</v>
      </c>
      <c r="BO81">
        <f t="shared" si="30"/>
        <v>80</v>
      </c>
      <c r="BP81" t="s">
        <v>889</v>
      </c>
      <c r="BQ81" t="s">
        <v>1254</v>
      </c>
      <c r="BR81" t="s">
        <v>1284</v>
      </c>
      <c r="BS81" t="s">
        <v>1312</v>
      </c>
    </row>
    <row r="82" spans="13:71" x14ac:dyDescent="0.3">
      <c r="M82">
        <f t="shared" si="21"/>
        <v>81</v>
      </c>
      <c r="N82" t="s">
        <v>1896</v>
      </c>
      <c r="O82" s="334" t="s">
        <v>1912</v>
      </c>
      <c r="P82" s="334" t="s">
        <v>1957</v>
      </c>
      <c r="Q82" s="334" t="s">
        <v>2003</v>
      </c>
      <c r="S82">
        <f t="shared" si="22"/>
        <v>81</v>
      </c>
      <c r="Y82">
        <f t="shared" si="23"/>
        <v>81</v>
      </c>
      <c r="AE82">
        <f t="shared" si="24"/>
        <v>81</v>
      </c>
      <c r="AF82" t="s">
        <v>1557</v>
      </c>
      <c r="AG82" t="s">
        <v>1557</v>
      </c>
      <c r="AH82" t="s">
        <v>1680</v>
      </c>
      <c r="AI82" t="s">
        <v>1557</v>
      </c>
      <c r="AK82">
        <f t="shared" si="25"/>
        <v>81</v>
      </c>
      <c r="AL82" t="s">
        <v>253</v>
      </c>
      <c r="AM82" t="s">
        <v>442</v>
      </c>
      <c r="AN82" t="s">
        <v>2244</v>
      </c>
      <c r="AO82" t="s">
        <v>460</v>
      </c>
      <c r="AQ82">
        <f t="shared" si="26"/>
        <v>81</v>
      </c>
      <c r="AR82" t="s">
        <v>706</v>
      </c>
      <c r="AS82" t="s">
        <v>710</v>
      </c>
      <c r="AT82" t="s">
        <v>715</v>
      </c>
      <c r="AU82" t="s">
        <v>719</v>
      </c>
      <c r="AW82">
        <f t="shared" si="27"/>
        <v>81</v>
      </c>
      <c r="AX82" t="s">
        <v>1584</v>
      </c>
      <c r="AY82" t="s">
        <v>2245</v>
      </c>
      <c r="AZ82" t="s">
        <v>1739</v>
      </c>
      <c r="BA82" t="s">
        <v>1738</v>
      </c>
      <c r="BC82">
        <f t="shared" si="28"/>
        <v>81</v>
      </c>
      <c r="BI82">
        <f t="shared" si="29"/>
        <v>81</v>
      </c>
      <c r="BJ82" t="s">
        <v>2537</v>
      </c>
      <c r="BK82" s="334" t="s">
        <v>2621</v>
      </c>
      <c r="BL82" s="334" t="s">
        <v>2622</v>
      </c>
      <c r="BM82" s="334" t="s">
        <v>2623</v>
      </c>
      <c r="BO82">
        <f t="shared" si="30"/>
        <v>81</v>
      </c>
    </row>
    <row r="83" spans="13:71" x14ac:dyDescent="0.3">
      <c r="M83">
        <f t="shared" si="21"/>
        <v>82</v>
      </c>
      <c r="N83" t="s">
        <v>1897</v>
      </c>
      <c r="O83" s="334" t="s">
        <v>1913</v>
      </c>
      <c r="P83" s="334" t="s">
        <v>1958</v>
      </c>
      <c r="Q83" s="334" t="s">
        <v>2004</v>
      </c>
      <c r="S83">
        <f t="shared" si="22"/>
        <v>82</v>
      </c>
      <c r="Y83">
        <f t="shared" si="23"/>
        <v>82</v>
      </c>
      <c r="AE83">
        <f t="shared" si="24"/>
        <v>82</v>
      </c>
      <c r="AF83" t="s">
        <v>1558</v>
      </c>
      <c r="AG83" t="s">
        <v>1654</v>
      </c>
      <c r="AH83" t="s">
        <v>1681</v>
      </c>
      <c r="AI83" t="s">
        <v>1558</v>
      </c>
      <c r="AK83">
        <f t="shared" si="25"/>
        <v>82</v>
      </c>
      <c r="AL83" t="s">
        <v>2628</v>
      </c>
      <c r="AM83" t="s">
        <v>2629</v>
      </c>
      <c r="AN83" t="s">
        <v>2630</v>
      </c>
      <c r="AO83" t="s">
        <v>2631</v>
      </c>
      <c r="AQ83">
        <f t="shared" si="26"/>
        <v>82</v>
      </c>
      <c r="AR83" t="s">
        <v>707</v>
      </c>
      <c r="AS83" t="s">
        <v>2246</v>
      </c>
      <c r="AT83" t="s">
        <v>2247</v>
      </c>
      <c r="AU83" t="s">
        <v>720</v>
      </c>
      <c r="AW83">
        <f t="shared" si="27"/>
        <v>82</v>
      </c>
      <c r="AX83" t="s">
        <v>1538</v>
      </c>
      <c r="AY83" t="s">
        <v>1725</v>
      </c>
      <c r="AZ83" t="s">
        <v>1729</v>
      </c>
      <c r="BA83" t="s">
        <v>1733</v>
      </c>
      <c r="BC83">
        <f t="shared" si="28"/>
        <v>82</v>
      </c>
      <c r="BI83">
        <f t="shared" si="29"/>
        <v>82</v>
      </c>
      <c r="BJ83" t="s">
        <v>1536</v>
      </c>
      <c r="BK83" t="s">
        <v>2248</v>
      </c>
      <c r="BL83" t="s">
        <v>1815</v>
      </c>
      <c r="BM83" t="s">
        <v>1813</v>
      </c>
      <c r="BO83">
        <f t="shared" si="30"/>
        <v>82</v>
      </c>
    </row>
    <row r="84" spans="13:71" x14ac:dyDescent="0.3">
      <c r="M84">
        <f t="shared" si="21"/>
        <v>83</v>
      </c>
      <c r="N84" t="s">
        <v>1453</v>
      </c>
      <c r="O84" s="334" t="s">
        <v>1914</v>
      </c>
      <c r="P84" s="334" t="s">
        <v>1453</v>
      </c>
      <c r="Q84" s="334" t="s">
        <v>2005</v>
      </c>
      <c r="S84">
        <f t="shared" si="22"/>
        <v>83</v>
      </c>
      <c r="Y84">
        <f t="shared" si="23"/>
        <v>83</v>
      </c>
      <c r="AE84">
        <f t="shared" si="24"/>
        <v>83</v>
      </c>
      <c r="AF84" t="s">
        <v>1559</v>
      </c>
      <c r="AG84" t="s">
        <v>1559</v>
      </c>
      <c r="AH84" t="s">
        <v>1682</v>
      </c>
      <c r="AI84" t="s">
        <v>1682</v>
      </c>
      <c r="AK84">
        <f t="shared" si="25"/>
        <v>83</v>
      </c>
      <c r="AL84" t="s">
        <v>2632</v>
      </c>
      <c r="AM84" t="s">
        <v>2633</v>
      </c>
      <c r="AN84" t="s">
        <v>2634</v>
      </c>
      <c r="AO84" t="s">
        <v>2635</v>
      </c>
      <c r="AQ84">
        <f t="shared" si="26"/>
        <v>83</v>
      </c>
      <c r="AR84" t="s">
        <v>708</v>
      </c>
      <c r="AS84" t="s">
        <v>711</v>
      </c>
      <c r="AT84" t="s">
        <v>716</v>
      </c>
      <c r="AU84" t="s">
        <v>721</v>
      </c>
      <c r="AW84">
        <f t="shared" si="27"/>
        <v>83</v>
      </c>
      <c r="AX84" t="s">
        <v>1585</v>
      </c>
      <c r="AY84" t="s">
        <v>1585</v>
      </c>
      <c r="AZ84" t="s">
        <v>1731</v>
      </c>
      <c r="BA84" t="s">
        <v>1735</v>
      </c>
      <c r="BC84">
        <f t="shared" si="28"/>
        <v>83</v>
      </c>
      <c r="BI84">
        <f t="shared" si="29"/>
        <v>83</v>
      </c>
      <c r="BJ84" t="s">
        <v>1536</v>
      </c>
      <c r="BK84" t="s">
        <v>2248</v>
      </c>
      <c r="BL84" t="s">
        <v>1815</v>
      </c>
      <c r="BM84" t="s">
        <v>1813</v>
      </c>
      <c r="BO84">
        <f t="shared" si="30"/>
        <v>83</v>
      </c>
    </row>
    <row r="85" spans="13:71" x14ac:dyDescent="0.3">
      <c r="M85">
        <f t="shared" si="21"/>
        <v>84</v>
      </c>
      <c r="N85" t="s">
        <v>1454</v>
      </c>
      <c r="O85" s="334" t="s">
        <v>1915</v>
      </c>
      <c r="P85" s="334" t="s">
        <v>1454</v>
      </c>
      <c r="Q85" s="334" t="s">
        <v>2006</v>
      </c>
      <c r="S85">
        <f t="shared" si="22"/>
        <v>84</v>
      </c>
      <c r="Y85">
        <f t="shared" si="23"/>
        <v>84</v>
      </c>
      <c r="AE85">
        <f t="shared" si="24"/>
        <v>84</v>
      </c>
      <c r="AF85" t="s">
        <v>1560</v>
      </c>
      <c r="AG85" t="s">
        <v>1560</v>
      </c>
      <c r="AH85" t="s">
        <v>1560</v>
      </c>
      <c r="AI85" t="s">
        <v>1560</v>
      </c>
      <c r="AK85">
        <f t="shared" si="25"/>
        <v>84</v>
      </c>
      <c r="AL85" t="s">
        <v>2624</v>
      </c>
      <c r="AM85" t="s">
        <v>2625</v>
      </c>
      <c r="AN85" t="s">
        <v>2626</v>
      </c>
      <c r="AO85" t="s">
        <v>2627</v>
      </c>
      <c r="AQ85">
        <f t="shared" si="26"/>
        <v>84</v>
      </c>
      <c r="AW85">
        <f t="shared" si="27"/>
        <v>84</v>
      </c>
      <c r="AX85" t="s">
        <v>1586</v>
      </c>
      <c r="AY85" t="s">
        <v>2249</v>
      </c>
      <c r="AZ85" t="s">
        <v>2250</v>
      </c>
      <c r="BA85" t="s">
        <v>1736</v>
      </c>
      <c r="BC85">
        <f t="shared" si="28"/>
        <v>84</v>
      </c>
      <c r="BI85">
        <f t="shared" si="29"/>
        <v>84</v>
      </c>
      <c r="BO85">
        <f t="shared" si="30"/>
        <v>84</v>
      </c>
    </row>
    <row r="86" spans="13:71" x14ac:dyDescent="0.3">
      <c r="M86">
        <f t="shared" si="21"/>
        <v>85</v>
      </c>
      <c r="N86" t="s">
        <v>1455</v>
      </c>
      <c r="O86" s="334" t="s">
        <v>1916</v>
      </c>
      <c r="P86" s="334" t="s">
        <v>1959</v>
      </c>
      <c r="Q86" s="334" t="s">
        <v>2007</v>
      </c>
      <c r="S86">
        <f t="shared" si="22"/>
        <v>85</v>
      </c>
      <c r="Y86">
        <f t="shared" si="23"/>
        <v>85</v>
      </c>
      <c r="AE86">
        <f t="shared" si="24"/>
        <v>85</v>
      </c>
      <c r="AF86" t="s">
        <v>1561</v>
      </c>
      <c r="AG86" t="s">
        <v>1655</v>
      </c>
      <c r="AH86" t="s">
        <v>1655</v>
      </c>
      <c r="AI86" t="s">
        <v>1655</v>
      </c>
      <c r="AK86">
        <f t="shared" si="25"/>
        <v>85</v>
      </c>
      <c r="AQ86">
        <f t="shared" si="26"/>
        <v>85</v>
      </c>
      <c r="AW86">
        <f t="shared" si="27"/>
        <v>85</v>
      </c>
      <c r="AX86" t="s">
        <v>1587</v>
      </c>
      <c r="AY86" t="s">
        <v>1728</v>
      </c>
      <c r="AZ86" t="s">
        <v>1732</v>
      </c>
      <c r="BA86" t="s">
        <v>1737</v>
      </c>
      <c r="BC86">
        <f t="shared" si="28"/>
        <v>85</v>
      </c>
      <c r="BI86">
        <f t="shared" si="29"/>
        <v>85</v>
      </c>
      <c r="BO86">
        <f t="shared" si="30"/>
        <v>85</v>
      </c>
    </row>
    <row r="87" spans="13:71" x14ac:dyDescent="0.3">
      <c r="M87">
        <f t="shared" si="21"/>
        <v>86</v>
      </c>
      <c r="N87" t="s">
        <v>2047</v>
      </c>
      <c r="O87" s="334" t="s">
        <v>2048</v>
      </c>
      <c r="P87" s="334" t="s">
        <v>2049</v>
      </c>
      <c r="Q87" s="334" t="s">
        <v>2050</v>
      </c>
      <c r="S87">
        <f t="shared" si="22"/>
        <v>86</v>
      </c>
      <c r="Y87">
        <f t="shared" si="23"/>
        <v>86</v>
      </c>
      <c r="AE87">
        <f t="shared" si="24"/>
        <v>86</v>
      </c>
      <c r="AF87" t="s">
        <v>1562</v>
      </c>
      <c r="AG87" t="s">
        <v>1656</v>
      </c>
      <c r="AH87" t="s">
        <v>1683</v>
      </c>
      <c r="AI87" t="s">
        <v>1656</v>
      </c>
      <c r="AK87">
        <f t="shared" si="25"/>
        <v>86</v>
      </c>
      <c r="AQ87">
        <f t="shared" si="26"/>
        <v>86</v>
      </c>
      <c r="AW87">
        <f t="shared" si="27"/>
        <v>86</v>
      </c>
      <c r="BC87">
        <f t="shared" si="28"/>
        <v>86</v>
      </c>
      <c r="BI87">
        <f t="shared" si="29"/>
        <v>86</v>
      </c>
      <c r="BO87">
        <f t="shared" si="30"/>
        <v>86</v>
      </c>
    </row>
    <row r="88" spans="13:71" x14ac:dyDescent="0.3">
      <c r="M88">
        <f t="shared" si="21"/>
        <v>87</v>
      </c>
      <c r="N88" s="334" t="s">
        <v>2523</v>
      </c>
      <c r="O88" s="334" t="s">
        <v>2579</v>
      </c>
      <c r="P88" s="334" t="s">
        <v>2580</v>
      </c>
      <c r="Q88" s="334" t="s">
        <v>2581</v>
      </c>
      <c r="S88">
        <f t="shared" si="22"/>
        <v>87</v>
      </c>
      <c r="Y88">
        <f t="shared" si="23"/>
        <v>87</v>
      </c>
      <c r="AE88">
        <f t="shared" si="24"/>
        <v>87</v>
      </c>
      <c r="AF88" t="s">
        <v>1563</v>
      </c>
      <c r="AG88" t="s">
        <v>1657</v>
      </c>
      <c r="AH88" t="s">
        <v>1684</v>
      </c>
      <c r="AI88" t="s">
        <v>1563</v>
      </c>
      <c r="AK88">
        <f t="shared" si="25"/>
        <v>87</v>
      </c>
      <c r="AQ88">
        <f t="shared" si="26"/>
        <v>87</v>
      </c>
      <c r="AW88">
        <f t="shared" si="27"/>
        <v>87</v>
      </c>
      <c r="BC88">
        <f t="shared" si="28"/>
        <v>87</v>
      </c>
      <c r="BI88">
        <f t="shared" si="29"/>
        <v>87</v>
      </c>
      <c r="BO88">
        <f t="shared" si="30"/>
        <v>87</v>
      </c>
    </row>
    <row r="89" spans="13:71" x14ac:dyDescent="0.3">
      <c r="M89">
        <f t="shared" si="21"/>
        <v>88</v>
      </c>
      <c r="N89" t="s">
        <v>1456</v>
      </c>
      <c r="O89" s="334" t="s">
        <v>1917</v>
      </c>
      <c r="P89" s="334" t="s">
        <v>1960</v>
      </c>
      <c r="Q89" s="334" t="s">
        <v>2008</v>
      </c>
      <c r="S89">
        <f t="shared" si="22"/>
        <v>88</v>
      </c>
      <c r="Y89">
        <f t="shared" si="23"/>
        <v>88</v>
      </c>
      <c r="AE89">
        <f t="shared" si="24"/>
        <v>88</v>
      </c>
      <c r="AF89" t="s">
        <v>1564</v>
      </c>
      <c r="AG89" t="s">
        <v>1658</v>
      </c>
      <c r="AH89" t="s">
        <v>1685</v>
      </c>
      <c r="AI89" t="s">
        <v>1658</v>
      </c>
      <c r="AK89">
        <f t="shared" si="25"/>
        <v>88</v>
      </c>
      <c r="AQ89">
        <f t="shared" si="26"/>
        <v>88</v>
      </c>
      <c r="AW89">
        <f t="shared" si="27"/>
        <v>88</v>
      </c>
      <c r="BC89">
        <f t="shared" si="28"/>
        <v>88</v>
      </c>
      <c r="BI89">
        <f t="shared" si="29"/>
        <v>88</v>
      </c>
      <c r="BO89">
        <f t="shared" si="30"/>
        <v>88</v>
      </c>
    </row>
    <row r="90" spans="13:71" x14ac:dyDescent="0.3">
      <c r="M90">
        <f t="shared" si="21"/>
        <v>89</v>
      </c>
      <c r="N90" t="s">
        <v>1457</v>
      </c>
      <c r="O90" s="334" t="s">
        <v>1918</v>
      </c>
      <c r="P90" s="334" t="s">
        <v>1961</v>
      </c>
      <c r="Q90" s="334" t="s">
        <v>2009</v>
      </c>
      <c r="S90">
        <f t="shared" si="22"/>
        <v>89</v>
      </c>
      <c r="Y90">
        <f t="shared" si="23"/>
        <v>89</v>
      </c>
      <c r="AE90">
        <f t="shared" si="24"/>
        <v>89</v>
      </c>
      <c r="AF90" t="s">
        <v>887</v>
      </c>
      <c r="AG90" t="s">
        <v>1253</v>
      </c>
      <c r="AH90" t="s">
        <v>1282</v>
      </c>
      <c r="AI90" t="s">
        <v>1311</v>
      </c>
      <c r="AK90">
        <f t="shared" si="25"/>
        <v>89</v>
      </c>
      <c r="AQ90">
        <f t="shared" si="26"/>
        <v>89</v>
      </c>
      <c r="AW90">
        <f t="shared" si="27"/>
        <v>89</v>
      </c>
      <c r="BC90">
        <f t="shared" si="28"/>
        <v>89</v>
      </c>
      <c r="BI90">
        <f t="shared" si="29"/>
        <v>89</v>
      </c>
      <c r="BO90">
        <f t="shared" si="30"/>
        <v>89</v>
      </c>
    </row>
    <row r="91" spans="13:71" x14ac:dyDescent="0.3">
      <c r="M91">
        <f t="shared" si="21"/>
        <v>90</v>
      </c>
      <c r="N91" t="s">
        <v>1458</v>
      </c>
      <c r="O91" s="334" t="s">
        <v>1919</v>
      </c>
      <c r="P91" s="334" t="s">
        <v>1962</v>
      </c>
      <c r="Q91" s="334" t="s">
        <v>2010</v>
      </c>
      <c r="S91">
        <f t="shared" si="22"/>
        <v>90</v>
      </c>
      <c r="Y91">
        <f t="shared" si="23"/>
        <v>90</v>
      </c>
      <c r="AE91">
        <f t="shared" si="24"/>
        <v>90</v>
      </c>
      <c r="AK91">
        <f t="shared" si="25"/>
        <v>90</v>
      </c>
      <c r="AQ91">
        <f t="shared" si="26"/>
        <v>90</v>
      </c>
      <c r="AW91">
        <f t="shared" si="27"/>
        <v>90</v>
      </c>
      <c r="BC91">
        <f t="shared" si="28"/>
        <v>90</v>
      </c>
      <c r="BI91">
        <f t="shared" si="29"/>
        <v>90</v>
      </c>
      <c r="BO91">
        <f t="shared" si="30"/>
        <v>90</v>
      </c>
    </row>
    <row r="92" spans="13:71" x14ac:dyDescent="0.3">
      <c r="M92">
        <f t="shared" si="21"/>
        <v>91</v>
      </c>
      <c r="N92" t="s">
        <v>1459</v>
      </c>
      <c r="O92" s="334" t="s">
        <v>1920</v>
      </c>
      <c r="P92" s="334" t="s">
        <v>1963</v>
      </c>
      <c r="Q92" s="334" t="s">
        <v>2011</v>
      </c>
      <c r="S92">
        <f t="shared" si="22"/>
        <v>91</v>
      </c>
      <c r="Y92">
        <f t="shared" si="23"/>
        <v>91</v>
      </c>
      <c r="AE92">
        <f t="shared" si="24"/>
        <v>91</v>
      </c>
      <c r="AK92">
        <f t="shared" si="25"/>
        <v>91</v>
      </c>
      <c r="AQ92">
        <f t="shared" si="26"/>
        <v>91</v>
      </c>
      <c r="AR92" t="s">
        <v>738</v>
      </c>
      <c r="AS92" t="s">
        <v>712</v>
      </c>
      <c r="AT92" t="s">
        <v>717</v>
      </c>
      <c r="AU92" t="s">
        <v>722</v>
      </c>
      <c r="AW92">
        <f t="shared" si="27"/>
        <v>91</v>
      </c>
      <c r="BC92">
        <f t="shared" si="28"/>
        <v>91</v>
      </c>
      <c r="BI92">
        <f t="shared" si="29"/>
        <v>91</v>
      </c>
      <c r="BO92">
        <f t="shared" si="30"/>
        <v>91</v>
      </c>
      <c r="BP92" t="s">
        <v>1241</v>
      </c>
      <c r="BQ92" t="s">
        <v>2251</v>
      </c>
      <c r="BR92" t="s">
        <v>1291</v>
      </c>
      <c r="BS92" t="s">
        <v>1319</v>
      </c>
    </row>
    <row r="93" spans="13:71" x14ac:dyDescent="0.3">
      <c r="M93">
        <f t="shared" si="21"/>
        <v>92</v>
      </c>
      <c r="N93" t="s">
        <v>1898</v>
      </c>
      <c r="O93" s="334" t="s">
        <v>1921</v>
      </c>
      <c r="P93" s="334" t="s">
        <v>1964</v>
      </c>
      <c r="Q93" s="334" t="s">
        <v>2012</v>
      </c>
      <c r="S93">
        <f t="shared" si="22"/>
        <v>92</v>
      </c>
      <c r="Y93">
        <f t="shared" si="23"/>
        <v>92</v>
      </c>
      <c r="AE93">
        <f t="shared" si="24"/>
        <v>92</v>
      </c>
      <c r="AK93">
        <f t="shared" si="25"/>
        <v>92</v>
      </c>
      <c r="AQ93">
        <f t="shared" si="26"/>
        <v>92</v>
      </c>
      <c r="AR93" t="s">
        <v>709</v>
      </c>
      <c r="AS93" t="s">
        <v>713</v>
      </c>
      <c r="AT93" t="s">
        <v>718</v>
      </c>
      <c r="AU93" t="s">
        <v>723</v>
      </c>
      <c r="AW93">
        <f t="shared" si="27"/>
        <v>92</v>
      </c>
      <c r="BC93">
        <f t="shared" si="28"/>
        <v>92</v>
      </c>
      <c r="BI93">
        <f t="shared" si="29"/>
        <v>92</v>
      </c>
      <c r="BO93">
        <f t="shared" si="30"/>
        <v>92</v>
      </c>
      <c r="BP93" t="s">
        <v>891</v>
      </c>
      <c r="BQ93" t="s">
        <v>1256</v>
      </c>
      <c r="BR93" t="s">
        <v>1292</v>
      </c>
      <c r="BS93" t="s">
        <v>1320</v>
      </c>
    </row>
    <row r="94" spans="13:71" x14ac:dyDescent="0.3">
      <c r="M94">
        <f t="shared" si="21"/>
        <v>93</v>
      </c>
      <c r="N94" t="s">
        <v>299</v>
      </c>
      <c r="O94" s="334" t="s">
        <v>300</v>
      </c>
      <c r="P94" s="334" t="s">
        <v>1965</v>
      </c>
      <c r="Q94" s="334" t="s">
        <v>376</v>
      </c>
      <c r="S94">
        <f t="shared" si="22"/>
        <v>93</v>
      </c>
      <c r="Y94">
        <f t="shared" si="23"/>
        <v>93</v>
      </c>
      <c r="AE94">
        <f t="shared" si="24"/>
        <v>93</v>
      </c>
      <c r="AK94">
        <f t="shared" si="25"/>
        <v>93</v>
      </c>
      <c r="AQ94">
        <f t="shared" si="26"/>
        <v>93</v>
      </c>
      <c r="AW94">
        <f t="shared" si="27"/>
        <v>93</v>
      </c>
      <c r="BC94">
        <f t="shared" si="28"/>
        <v>93</v>
      </c>
      <c r="BI94">
        <f t="shared" si="29"/>
        <v>93</v>
      </c>
      <c r="BO94">
        <f t="shared" si="30"/>
        <v>93</v>
      </c>
      <c r="BP94" t="s">
        <v>816</v>
      </c>
      <c r="BQ94" t="s">
        <v>816</v>
      </c>
      <c r="BR94" t="s">
        <v>1118</v>
      </c>
      <c r="BS94" t="s">
        <v>816</v>
      </c>
    </row>
    <row r="95" spans="13:71" x14ac:dyDescent="0.3">
      <c r="M95">
        <f t="shared" si="21"/>
        <v>94</v>
      </c>
      <c r="N95" t="s">
        <v>1460</v>
      </c>
      <c r="O95" s="334" t="s">
        <v>1922</v>
      </c>
      <c r="P95" s="334" t="s">
        <v>1966</v>
      </c>
      <c r="Q95" s="334" t="s">
        <v>2013</v>
      </c>
      <c r="S95">
        <f t="shared" si="22"/>
        <v>94</v>
      </c>
      <c r="Y95">
        <f t="shared" si="23"/>
        <v>94</v>
      </c>
      <c r="AE95">
        <f t="shared" si="24"/>
        <v>94</v>
      </c>
      <c r="AK95">
        <f t="shared" si="25"/>
        <v>94</v>
      </c>
      <c r="AQ95">
        <f t="shared" si="26"/>
        <v>94</v>
      </c>
      <c r="AW95">
        <f t="shared" si="27"/>
        <v>94</v>
      </c>
      <c r="BC95">
        <f t="shared" si="28"/>
        <v>94</v>
      </c>
      <c r="BI95">
        <f t="shared" si="29"/>
        <v>94</v>
      </c>
      <c r="BO95">
        <f t="shared" si="30"/>
        <v>94</v>
      </c>
      <c r="BP95" t="s">
        <v>892</v>
      </c>
      <c r="BQ95" t="s">
        <v>892</v>
      </c>
      <c r="BR95" t="s">
        <v>1293</v>
      </c>
      <c r="BS95" t="s">
        <v>892</v>
      </c>
    </row>
    <row r="96" spans="13:71" x14ac:dyDescent="0.3">
      <c r="M96">
        <f t="shared" si="21"/>
        <v>95</v>
      </c>
      <c r="N96" t="s">
        <v>1461</v>
      </c>
      <c r="O96" s="334" t="s">
        <v>2252</v>
      </c>
      <c r="P96" s="334" t="s">
        <v>1967</v>
      </c>
      <c r="Q96" s="334" t="s">
        <v>2014</v>
      </c>
      <c r="S96">
        <f t="shared" si="22"/>
        <v>95</v>
      </c>
      <c r="Y96">
        <f t="shared" si="23"/>
        <v>95</v>
      </c>
      <c r="AE96">
        <f t="shared" si="24"/>
        <v>95</v>
      </c>
      <c r="AK96">
        <f t="shared" si="25"/>
        <v>95</v>
      </c>
      <c r="AQ96">
        <f t="shared" si="26"/>
        <v>95</v>
      </c>
      <c r="AW96">
        <f t="shared" si="27"/>
        <v>95</v>
      </c>
      <c r="BC96">
        <f t="shared" si="28"/>
        <v>95</v>
      </c>
      <c r="BI96">
        <f t="shared" si="29"/>
        <v>95</v>
      </c>
      <c r="BO96">
        <f t="shared" si="30"/>
        <v>95</v>
      </c>
      <c r="BP96" t="s">
        <v>893</v>
      </c>
      <c r="BQ96" t="s">
        <v>893</v>
      </c>
      <c r="BR96" t="s">
        <v>1294</v>
      </c>
      <c r="BS96" t="s">
        <v>893</v>
      </c>
    </row>
    <row r="97" spans="13:71" x14ac:dyDescent="0.3">
      <c r="M97">
        <f t="shared" si="21"/>
        <v>96</v>
      </c>
      <c r="N97" t="s">
        <v>1462</v>
      </c>
      <c r="O97" s="334" t="s">
        <v>1923</v>
      </c>
      <c r="P97" s="334" t="s">
        <v>1968</v>
      </c>
      <c r="Q97" s="334" t="s">
        <v>2015</v>
      </c>
      <c r="S97">
        <f t="shared" si="22"/>
        <v>96</v>
      </c>
      <c r="Y97">
        <f t="shared" si="23"/>
        <v>96</v>
      </c>
      <c r="AE97">
        <f t="shared" si="24"/>
        <v>96</v>
      </c>
      <c r="AK97">
        <f t="shared" si="25"/>
        <v>96</v>
      </c>
      <c r="AQ97">
        <f t="shared" si="26"/>
        <v>96</v>
      </c>
      <c r="AW97">
        <f t="shared" si="27"/>
        <v>96</v>
      </c>
      <c r="BC97">
        <f t="shared" si="28"/>
        <v>96</v>
      </c>
      <c r="BI97">
        <f t="shared" si="29"/>
        <v>96</v>
      </c>
      <c r="BO97">
        <f t="shared" si="30"/>
        <v>96</v>
      </c>
      <c r="BP97" t="s">
        <v>894</v>
      </c>
      <c r="BQ97" t="s">
        <v>894</v>
      </c>
      <c r="BR97" t="s">
        <v>1295</v>
      </c>
      <c r="BS97" t="s">
        <v>894</v>
      </c>
    </row>
    <row r="98" spans="13:71" x14ac:dyDescent="0.3">
      <c r="M98">
        <f t="shared" si="21"/>
        <v>97</v>
      </c>
      <c r="N98" t="s">
        <v>1463</v>
      </c>
      <c r="O98" s="334" t="s">
        <v>1924</v>
      </c>
      <c r="P98" s="334" t="s">
        <v>2189</v>
      </c>
      <c r="Q98" s="334" t="s">
        <v>2016</v>
      </c>
      <c r="S98">
        <f t="shared" si="22"/>
        <v>97</v>
      </c>
      <c r="Y98">
        <f t="shared" si="23"/>
        <v>97</v>
      </c>
      <c r="AE98">
        <f t="shared" si="24"/>
        <v>97</v>
      </c>
      <c r="AK98">
        <f t="shared" si="25"/>
        <v>97</v>
      </c>
      <c r="AQ98">
        <f t="shared" si="26"/>
        <v>97</v>
      </c>
      <c r="AW98">
        <f t="shared" si="27"/>
        <v>97</v>
      </c>
      <c r="BC98">
        <f t="shared" si="28"/>
        <v>97</v>
      </c>
      <c r="BI98">
        <f t="shared" si="29"/>
        <v>97</v>
      </c>
      <c r="BO98">
        <f t="shared" si="30"/>
        <v>97</v>
      </c>
      <c r="BP98" t="s">
        <v>895</v>
      </c>
      <c r="BQ98" t="s">
        <v>1257</v>
      </c>
      <c r="BR98" t="s">
        <v>1296</v>
      </c>
      <c r="BS98" t="s">
        <v>1321</v>
      </c>
    </row>
    <row r="99" spans="13:71" x14ac:dyDescent="0.3">
      <c r="M99">
        <f t="shared" si="21"/>
        <v>98</v>
      </c>
      <c r="N99" t="s">
        <v>1464</v>
      </c>
      <c r="O99" s="334" t="s">
        <v>2187</v>
      </c>
      <c r="P99" s="334" t="s">
        <v>2188</v>
      </c>
      <c r="Q99" s="334" t="s">
        <v>2017</v>
      </c>
      <c r="S99">
        <f t="shared" si="22"/>
        <v>98</v>
      </c>
      <c r="Y99">
        <f t="shared" si="23"/>
        <v>98</v>
      </c>
      <c r="AE99">
        <f t="shared" si="24"/>
        <v>98</v>
      </c>
      <c r="AK99">
        <f t="shared" si="25"/>
        <v>98</v>
      </c>
      <c r="AQ99">
        <f t="shared" si="26"/>
        <v>98</v>
      </c>
      <c r="AW99">
        <f t="shared" si="27"/>
        <v>98</v>
      </c>
      <c r="BC99">
        <f t="shared" si="28"/>
        <v>98</v>
      </c>
      <c r="BI99">
        <f t="shared" si="29"/>
        <v>98</v>
      </c>
      <c r="BO99">
        <f t="shared" si="30"/>
        <v>98</v>
      </c>
      <c r="BP99" t="s">
        <v>896</v>
      </c>
      <c r="BQ99" t="s">
        <v>1258</v>
      </c>
      <c r="BR99" t="s">
        <v>1297</v>
      </c>
      <c r="BS99" t="s">
        <v>1322</v>
      </c>
    </row>
    <row r="100" spans="13:71" x14ac:dyDescent="0.3">
      <c r="M100">
        <f t="shared" si="21"/>
        <v>99</v>
      </c>
      <c r="N100" t="s">
        <v>1465</v>
      </c>
      <c r="O100" s="334" t="s">
        <v>1925</v>
      </c>
      <c r="P100" s="334" t="s">
        <v>1969</v>
      </c>
      <c r="Q100" s="334" t="s">
        <v>2018</v>
      </c>
      <c r="S100">
        <f t="shared" si="22"/>
        <v>99</v>
      </c>
      <c r="Y100">
        <f t="shared" si="23"/>
        <v>99</v>
      </c>
      <c r="AE100">
        <f t="shared" si="24"/>
        <v>99</v>
      </c>
      <c r="AK100">
        <f t="shared" si="25"/>
        <v>99</v>
      </c>
      <c r="AQ100">
        <f t="shared" si="26"/>
        <v>99</v>
      </c>
      <c r="AW100">
        <f t="shared" si="27"/>
        <v>99</v>
      </c>
      <c r="BC100">
        <f t="shared" si="28"/>
        <v>99</v>
      </c>
      <c r="BI100">
        <f t="shared" si="29"/>
        <v>99</v>
      </c>
      <c r="BO100">
        <f t="shared" si="30"/>
        <v>99</v>
      </c>
    </row>
    <row r="101" spans="13:71" x14ac:dyDescent="0.3">
      <c r="M101">
        <f t="shared" si="21"/>
        <v>100</v>
      </c>
      <c r="N101" t="s">
        <v>1466</v>
      </c>
      <c r="O101" s="334" t="s">
        <v>1926</v>
      </c>
      <c r="P101" s="334" t="s">
        <v>1970</v>
      </c>
      <c r="Q101" s="334" t="s">
        <v>2019</v>
      </c>
      <c r="S101">
        <f t="shared" si="22"/>
        <v>100</v>
      </c>
      <c r="Y101">
        <f t="shared" si="23"/>
        <v>100</v>
      </c>
      <c r="AE101">
        <f t="shared" si="24"/>
        <v>100</v>
      </c>
      <c r="AK101">
        <f t="shared" si="25"/>
        <v>100</v>
      </c>
      <c r="AQ101">
        <f t="shared" si="26"/>
        <v>100</v>
      </c>
      <c r="AW101">
        <f t="shared" si="27"/>
        <v>100</v>
      </c>
      <c r="BC101">
        <f t="shared" si="28"/>
        <v>100</v>
      </c>
      <c r="BI101">
        <f t="shared" si="29"/>
        <v>100</v>
      </c>
      <c r="BO101">
        <f t="shared" si="30"/>
        <v>100</v>
      </c>
    </row>
    <row r="102" spans="13:71" x14ac:dyDescent="0.3">
      <c r="M102">
        <f t="shared" si="21"/>
        <v>101</v>
      </c>
      <c r="N102" t="s">
        <v>1468</v>
      </c>
      <c r="O102" s="334" t="s">
        <v>1927</v>
      </c>
      <c r="P102" s="334" t="s">
        <v>1971</v>
      </c>
      <c r="Q102" s="334" t="s">
        <v>2020</v>
      </c>
      <c r="S102">
        <f t="shared" si="22"/>
        <v>101</v>
      </c>
      <c r="Y102">
        <f t="shared" si="23"/>
        <v>101</v>
      </c>
      <c r="AE102">
        <f t="shared" si="24"/>
        <v>101</v>
      </c>
      <c r="AF102" t="s">
        <v>1694</v>
      </c>
      <c r="AG102" t="s">
        <v>1696</v>
      </c>
      <c r="AH102" t="s">
        <v>1697</v>
      </c>
      <c r="AI102" t="s">
        <v>1695</v>
      </c>
      <c r="AK102">
        <f t="shared" si="25"/>
        <v>101</v>
      </c>
      <c r="AQ102">
        <f t="shared" si="26"/>
        <v>101</v>
      </c>
      <c r="AR102" t="s">
        <v>737</v>
      </c>
      <c r="AS102" t="s">
        <v>714</v>
      </c>
      <c r="AT102" t="s">
        <v>2253</v>
      </c>
      <c r="AU102" t="s">
        <v>724</v>
      </c>
      <c r="AW102">
        <f t="shared" si="27"/>
        <v>101</v>
      </c>
      <c r="BC102">
        <f t="shared" si="28"/>
        <v>101</v>
      </c>
      <c r="BI102">
        <f t="shared" si="29"/>
        <v>101</v>
      </c>
      <c r="BO102">
        <f t="shared" si="30"/>
        <v>101</v>
      </c>
    </row>
    <row r="103" spans="13:71" x14ac:dyDescent="0.3">
      <c r="M103">
        <f t="shared" si="21"/>
        <v>102</v>
      </c>
      <c r="N103" t="s">
        <v>1469</v>
      </c>
      <c r="O103" s="334" t="s">
        <v>1928</v>
      </c>
      <c r="P103" s="334" t="s">
        <v>1972</v>
      </c>
      <c r="Q103" s="334" t="s">
        <v>2021</v>
      </c>
      <c r="S103">
        <f t="shared" si="22"/>
        <v>102</v>
      </c>
      <c r="Y103">
        <f t="shared" si="23"/>
        <v>102</v>
      </c>
      <c r="AE103">
        <f t="shared" si="24"/>
        <v>102</v>
      </c>
      <c r="AF103" t="s">
        <v>781</v>
      </c>
      <c r="AG103" t="s">
        <v>903</v>
      </c>
      <c r="AH103" t="s">
        <v>902</v>
      </c>
      <c r="AI103" t="s">
        <v>901</v>
      </c>
      <c r="AK103">
        <f t="shared" si="25"/>
        <v>102</v>
      </c>
      <c r="AQ103">
        <f t="shared" si="26"/>
        <v>102</v>
      </c>
      <c r="AW103">
        <f t="shared" si="27"/>
        <v>102</v>
      </c>
      <c r="BC103">
        <f t="shared" si="28"/>
        <v>102</v>
      </c>
      <c r="BI103">
        <f t="shared" si="29"/>
        <v>102</v>
      </c>
      <c r="BO103">
        <f t="shared" si="30"/>
        <v>102</v>
      </c>
    </row>
    <row r="104" spans="13:71" x14ac:dyDescent="0.3">
      <c r="M104">
        <f t="shared" si="21"/>
        <v>103</v>
      </c>
      <c r="N104" t="s">
        <v>1470</v>
      </c>
      <c r="O104" s="334" t="s">
        <v>1929</v>
      </c>
      <c r="P104" s="334" t="s">
        <v>1973</v>
      </c>
      <c r="Q104" s="334" t="s">
        <v>2022</v>
      </c>
      <c r="S104">
        <f t="shared" si="22"/>
        <v>103</v>
      </c>
      <c r="Y104">
        <f t="shared" si="23"/>
        <v>103</v>
      </c>
      <c r="AE104">
        <f t="shared" si="24"/>
        <v>103</v>
      </c>
      <c r="AF104" t="s">
        <v>1694</v>
      </c>
      <c r="AG104" t="s">
        <v>1696</v>
      </c>
      <c r="AH104" t="s">
        <v>1697</v>
      </c>
      <c r="AI104" t="s">
        <v>1695</v>
      </c>
      <c r="AK104">
        <f t="shared" si="25"/>
        <v>103</v>
      </c>
      <c r="AQ104">
        <f t="shared" si="26"/>
        <v>103</v>
      </c>
      <c r="AW104">
        <f t="shared" si="27"/>
        <v>103</v>
      </c>
      <c r="BC104">
        <f t="shared" si="28"/>
        <v>103</v>
      </c>
      <c r="BI104">
        <f t="shared" si="29"/>
        <v>103</v>
      </c>
      <c r="BO104">
        <f t="shared" si="30"/>
        <v>103</v>
      </c>
    </row>
    <row r="105" spans="13:71" x14ac:dyDescent="0.3">
      <c r="M105">
        <f t="shared" si="21"/>
        <v>104</v>
      </c>
      <c r="N105" t="s">
        <v>1471</v>
      </c>
      <c r="O105" s="334" t="s">
        <v>1930</v>
      </c>
      <c r="P105" s="334" t="s">
        <v>1974</v>
      </c>
      <c r="Q105" s="334" t="s">
        <v>2023</v>
      </c>
      <c r="S105">
        <f t="shared" si="22"/>
        <v>104</v>
      </c>
      <c r="Y105">
        <f t="shared" si="23"/>
        <v>104</v>
      </c>
      <c r="AE105">
        <f t="shared" si="24"/>
        <v>104</v>
      </c>
      <c r="AF105" t="s">
        <v>1698</v>
      </c>
      <c r="AG105" t="s">
        <v>1700</v>
      </c>
      <c r="AH105" t="s">
        <v>1699</v>
      </c>
      <c r="AI105" t="s">
        <v>1701</v>
      </c>
      <c r="AK105">
        <f t="shared" si="25"/>
        <v>104</v>
      </c>
      <c r="AQ105">
        <f t="shared" si="26"/>
        <v>104</v>
      </c>
      <c r="AW105">
        <f t="shared" si="27"/>
        <v>104</v>
      </c>
      <c r="BC105">
        <f t="shared" si="28"/>
        <v>104</v>
      </c>
      <c r="BI105">
        <f t="shared" si="29"/>
        <v>104</v>
      </c>
      <c r="BO105">
        <f t="shared" si="30"/>
        <v>104</v>
      </c>
    </row>
    <row r="106" spans="13:71" x14ac:dyDescent="0.3">
      <c r="M106">
        <f t="shared" si="21"/>
        <v>105</v>
      </c>
      <c r="N106" t="s">
        <v>1472</v>
      </c>
      <c r="O106" s="334" t="s">
        <v>1931</v>
      </c>
      <c r="P106" s="334" t="s">
        <v>1975</v>
      </c>
      <c r="Q106" s="334" t="s">
        <v>2024</v>
      </c>
      <c r="S106">
        <f t="shared" si="22"/>
        <v>105</v>
      </c>
      <c r="Y106">
        <f t="shared" si="23"/>
        <v>105</v>
      </c>
      <c r="AE106">
        <f t="shared" si="24"/>
        <v>105</v>
      </c>
      <c r="AK106">
        <f t="shared" si="25"/>
        <v>105</v>
      </c>
      <c r="AQ106">
        <f t="shared" si="26"/>
        <v>105</v>
      </c>
      <c r="AW106">
        <f t="shared" si="27"/>
        <v>105</v>
      </c>
      <c r="BC106">
        <f t="shared" si="28"/>
        <v>105</v>
      </c>
      <c r="BI106">
        <f t="shared" si="29"/>
        <v>105</v>
      </c>
      <c r="BO106">
        <f t="shared" si="30"/>
        <v>105</v>
      </c>
    </row>
    <row r="107" spans="13:71" x14ac:dyDescent="0.3">
      <c r="M107">
        <f t="shared" si="21"/>
        <v>106</v>
      </c>
      <c r="N107" t="s">
        <v>1473</v>
      </c>
      <c r="O107" s="334" t="s">
        <v>1932</v>
      </c>
      <c r="P107" s="334" t="s">
        <v>1976</v>
      </c>
      <c r="Q107" s="334" t="s">
        <v>2025</v>
      </c>
      <c r="S107">
        <f t="shared" si="22"/>
        <v>106</v>
      </c>
      <c r="Y107">
        <f t="shared" si="23"/>
        <v>106</v>
      </c>
      <c r="AE107">
        <f t="shared" si="24"/>
        <v>106</v>
      </c>
      <c r="AK107">
        <f t="shared" si="25"/>
        <v>106</v>
      </c>
      <c r="AQ107">
        <f t="shared" si="26"/>
        <v>106</v>
      </c>
      <c r="AW107">
        <f t="shared" si="27"/>
        <v>106</v>
      </c>
      <c r="BC107">
        <f t="shared" si="28"/>
        <v>106</v>
      </c>
      <c r="BI107">
        <f t="shared" si="29"/>
        <v>106</v>
      </c>
      <c r="BO107">
        <f t="shared" si="30"/>
        <v>106</v>
      </c>
    </row>
    <row r="108" spans="13:71" x14ac:dyDescent="0.3">
      <c r="M108">
        <f t="shared" si="21"/>
        <v>107</v>
      </c>
      <c r="N108" t="s">
        <v>1475</v>
      </c>
      <c r="O108" s="334" t="s">
        <v>1933</v>
      </c>
      <c r="P108" s="334" t="s">
        <v>1977</v>
      </c>
      <c r="Q108" s="334" t="s">
        <v>2026</v>
      </c>
      <c r="S108">
        <f t="shared" si="22"/>
        <v>107</v>
      </c>
      <c r="Y108">
        <f t="shared" si="23"/>
        <v>107</v>
      </c>
      <c r="AE108">
        <f t="shared" si="24"/>
        <v>107</v>
      </c>
      <c r="AK108">
        <f t="shared" si="25"/>
        <v>107</v>
      </c>
      <c r="AQ108">
        <f t="shared" si="26"/>
        <v>107</v>
      </c>
      <c r="AW108">
        <f t="shared" si="27"/>
        <v>107</v>
      </c>
      <c r="BC108">
        <f t="shared" si="28"/>
        <v>107</v>
      </c>
      <c r="BI108">
        <f t="shared" si="29"/>
        <v>107</v>
      </c>
      <c r="BO108">
        <f t="shared" si="30"/>
        <v>107</v>
      </c>
    </row>
    <row r="109" spans="13:71" x14ac:dyDescent="0.3">
      <c r="M109">
        <f t="shared" si="21"/>
        <v>108</v>
      </c>
      <c r="N109" t="s">
        <v>1477</v>
      </c>
      <c r="O109" s="334" t="s">
        <v>1934</v>
      </c>
      <c r="P109" s="334" t="s">
        <v>1978</v>
      </c>
      <c r="Q109" s="334" t="s">
        <v>2027</v>
      </c>
      <c r="S109">
        <f t="shared" si="22"/>
        <v>108</v>
      </c>
      <c r="Y109">
        <f t="shared" si="23"/>
        <v>108</v>
      </c>
      <c r="AE109">
        <f t="shared" si="24"/>
        <v>108</v>
      </c>
      <c r="AK109">
        <f t="shared" si="25"/>
        <v>108</v>
      </c>
      <c r="AQ109">
        <f t="shared" si="26"/>
        <v>108</v>
      </c>
      <c r="AW109">
        <f t="shared" si="27"/>
        <v>108</v>
      </c>
      <c r="BC109">
        <f t="shared" si="28"/>
        <v>108</v>
      </c>
      <c r="BI109">
        <f t="shared" si="29"/>
        <v>108</v>
      </c>
      <c r="BO109">
        <f t="shared" si="30"/>
        <v>108</v>
      </c>
    </row>
    <row r="110" spans="13:71" x14ac:dyDescent="0.3">
      <c r="M110">
        <f t="shared" si="21"/>
        <v>109</v>
      </c>
      <c r="N110" t="s">
        <v>1481</v>
      </c>
      <c r="O110" s="334" t="s">
        <v>1935</v>
      </c>
      <c r="P110" s="334" t="s">
        <v>1979</v>
      </c>
      <c r="Q110" s="334" t="s">
        <v>2028</v>
      </c>
      <c r="S110">
        <f t="shared" si="22"/>
        <v>109</v>
      </c>
      <c r="Y110">
        <f t="shared" si="23"/>
        <v>109</v>
      </c>
      <c r="AE110">
        <f t="shared" si="24"/>
        <v>109</v>
      </c>
      <c r="AK110">
        <f t="shared" si="25"/>
        <v>109</v>
      </c>
      <c r="AQ110">
        <f t="shared" si="26"/>
        <v>109</v>
      </c>
      <c r="AW110">
        <f t="shared" si="27"/>
        <v>109</v>
      </c>
      <c r="BC110">
        <f t="shared" si="28"/>
        <v>109</v>
      </c>
      <c r="BI110">
        <f t="shared" si="29"/>
        <v>109</v>
      </c>
      <c r="BO110">
        <f t="shared" si="30"/>
        <v>109</v>
      </c>
    </row>
    <row r="111" spans="13:71" x14ac:dyDescent="0.3">
      <c r="M111">
        <f t="shared" si="21"/>
        <v>110</v>
      </c>
      <c r="N111" t="s">
        <v>1899</v>
      </c>
      <c r="O111" s="334" t="s">
        <v>1936</v>
      </c>
      <c r="P111" s="334" t="s">
        <v>1991</v>
      </c>
      <c r="Q111" s="334" t="s">
        <v>2042</v>
      </c>
      <c r="S111">
        <f t="shared" si="22"/>
        <v>110</v>
      </c>
      <c r="Y111">
        <f t="shared" si="23"/>
        <v>110</v>
      </c>
      <c r="AE111">
        <f t="shared" si="24"/>
        <v>110</v>
      </c>
      <c r="AK111">
        <f t="shared" si="25"/>
        <v>110</v>
      </c>
      <c r="AQ111">
        <f t="shared" si="26"/>
        <v>110</v>
      </c>
      <c r="AW111">
        <f t="shared" si="27"/>
        <v>110</v>
      </c>
      <c r="BC111">
        <f t="shared" si="28"/>
        <v>110</v>
      </c>
      <c r="BI111">
        <f t="shared" si="29"/>
        <v>110</v>
      </c>
      <c r="BO111">
        <f t="shared" si="30"/>
        <v>110</v>
      </c>
    </row>
    <row r="112" spans="13:71" x14ac:dyDescent="0.3">
      <c r="M112">
        <f t="shared" si="21"/>
        <v>111</v>
      </c>
      <c r="N112" t="s">
        <v>1900</v>
      </c>
      <c r="O112" s="334" t="s">
        <v>1937</v>
      </c>
      <c r="P112" s="334" t="s">
        <v>1992</v>
      </c>
      <c r="Q112" s="334" t="s">
        <v>2043</v>
      </c>
      <c r="S112">
        <f t="shared" si="22"/>
        <v>111</v>
      </c>
      <c r="Y112">
        <f t="shared" si="23"/>
        <v>111</v>
      </c>
      <c r="AE112">
        <f t="shared" si="24"/>
        <v>111</v>
      </c>
      <c r="AF112" t="s">
        <v>2390</v>
      </c>
      <c r="AG112" t="s">
        <v>2433</v>
      </c>
      <c r="AH112" t="s">
        <v>2435</v>
      </c>
      <c r="AI112" t="s">
        <v>2437</v>
      </c>
      <c r="AK112">
        <f t="shared" si="25"/>
        <v>111</v>
      </c>
      <c r="AQ112">
        <f t="shared" si="26"/>
        <v>111</v>
      </c>
      <c r="AR112" t="s">
        <v>1089</v>
      </c>
      <c r="AS112" t="s">
        <v>1088</v>
      </c>
      <c r="AT112" t="s">
        <v>1076</v>
      </c>
      <c r="AU112" t="s">
        <v>1080</v>
      </c>
      <c r="AW112">
        <f t="shared" si="27"/>
        <v>111</v>
      </c>
      <c r="BC112">
        <f t="shared" si="28"/>
        <v>111</v>
      </c>
      <c r="BI112">
        <f t="shared" si="29"/>
        <v>111</v>
      </c>
      <c r="BO112">
        <f t="shared" si="30"/>
        <v>111</v>
      </c>
    </row>
    <row r="113" spans="13:67" x14ac:dyDescent="0.3">
      <c r="M113">
        <f t="shared" si="21"/>
        <v>112</v>
      </c>
      <c r="N113" t="s">
        <v>1482</v>
      </c>
      <c r="O113" s="334" t="s">
        <v>1938</v>
      </c>
      <c r="P113" s="334" t="s">
        <v>1980</v>
      </c>
      <c r="Q113" s="334" t="s">
        <v>2029</v>
      </c>
      <c r="S113">
        <f t="shared" si="22"/>
        <v>112</v>
      </c>
      <c r="Y113">
        <f t="shared" si="23"/>
        <v>112</v>
      </c>
      <c r="AE113">
        <f t="shared" si="24"/>
        <v>112</v>
      </c>
      <c r="AF113" t="s">
        <v>2400</v>
      </c>
      <c r="AG113" t="s">
        <v>2499</v>
      </c>
      <c r="AH113" t="s">
        <v>2500</v>
      </c>
      <c r="AI113" t="s">
        <v>2438</v>
      </c>
      <c r="AK113">
        <f t="shared" si="25"/>
        <v>112</v>
      </c>
      <c r="AQ113">
        <f t="shared" si="26"/>
        <v>112</v>
      </c>
      <c r="AR113" t="s">
        <v>1083</v>
      </c>
      <c r="AS113" t="s">
        <v>2254</v>
      </c>
      <c r="AT113" t="s">
        <v>1073</v>
      </c>
      <c r="AU113" t="s">
        <v>2517</v>
      </c>
      <c r="AW113">
        <f t="shared" si="27"/>
        <v>112</v>
      </c>
      <c r="BC113">
        <f t="shared" si="28"/>
        <v>112</v>
      </c>
      <c r="BI113">
        <f t="shared" si="29"/>
        <v>112</v>
      </c>
      <c r="BO113">
        <f t="shared" si="30"/>
        <v>112</v>
      </c>
    </row>
    <row r="114" spans="13:67" x14ac:dyDescent="0.3">
      <c r="M114">
        <f t="shared" si="21"/>
        <v>113</v>
      </c>
      <c r="N114" t="s">
        <v>1901</v>
      </c>
      <c r="O114" s="334" t="s">
        <v>1939</v>
      </c>
      <c r="P114" s="334" t="s">
        <v>1993</v>
      </c>
      <c r="Q114" s="334" t="s">
        <v>2044</v>
      </c>
      <c r="S114">
        <f t="shared" si="22"/>
        <v>113</v>
      </c>
      <c r="Y114">
        <f t="shared" si="23"/>
        <v>113</v>
      </c>
      <c r="AE114">
        <f t="shared" si="24"/>
        <v>113</v>
      </c>
      <c r="AF114" t="s">
        <v>2401</v>
      </c>
      <c r="AG114" t="s">
        <v>2434</v>
      </c>
      <c r="AH114" t="s">
        <v>2436</v>
      </c>
      <c r="AI114" t="s">
        <v>2439</v>
      </c>
      <c r="AK114">
        <f t="shared" si="25"/>
        <v>113</v>
      </c>
      <c r="AQ114">
        <f t="shared" si="26"/>
        <v>113</v>
      </c>
      <c r="AR114" t="s">
        <v>2521</v>
      </c>
      <c r="AS114" t="s">
        <v>2518</v>
      </c>
      <c r="AT114" t="s">
        <v>2519</v>
      </c>
      <c r="AU114" t="s">
        <v>2520</v>
      </c>
      <c r="AW114">
        <f t="shared" si="27"/>
        <v>113</v>
      </c>
      <c r="BC114">
        <f t="shared" si="28"/>
        <v>113</v>
      </c>
      <c r="BI114">
        <f t="shared" si="29"/>
        <v>113</v>
      </c>
      <c r="BO114">
        <f t="shared" si="30"/>
        <v>113</v>
      </c>
    </row>
    <row r="115" spans="13:67" x14ac:dyDescent="0.3">
      <c r="M115">
        <f t="shared" si="21"/>
        <v>114</v>
      </c>
      <c r="N115" t="s">
        <v>1901</v>
      </c>
      <c r="O115" s="334" t="s">
        <v>1939</v>
      </c>
      <c r="P115" s="334" t="s">
        <v>1993</v>
      </c>
      <c r="Q115" s="334" t="s">
        <v>2044</v>
      </c>
      <c r="S115">
        <f t="shared" si="22"/>
        <v>114</v>
      </c>
      <c r="Y115">
        <f t="shared" si="23"/>
        <v>114</v>
      </c>
      <c r="AE115">
        <f t="shared" si="24"/>
        <v>114</v>
      </c>
      <c r="AF115" t="s">
        <v>2402</v>
      </c>
      <c r="AG115" t="s">
        <v>2501</v>
      </c>
      <c r="AH115" t="s">
        <v>2502</v>
      </c>
      <c r="AI115" t="s">
        <v>2440</v>
      </c>
      <c r="AK115">
        <f t="shared" si="25"/>
        <v>114</v>
      </c>
      <c r="AQ115">
        <f t="shared" si="26"/>
        <v>114</v>
      </c>
      <c r="AR115" t="s">
        <v>1084</v>
      </c>
      <c r="AS115" t="s">
        <v>1087</v>
      </c>
      <c r="AT115" t="s">
        <v>1074</v>
      </c>
      <c r="AU115" t="s">
        <v>1078</v>
      </c>
      <c r="AW115">
        <f t="shared" si="27"/>
        <v>114</v>
      </c>
      <c r="BC115">
        <f t="shared" si="28"/>
        <v>114</v>
      </c>
      <c r="BI115">
        <f t="shared" si="29"/>
        <v>114</v>
      </c>
      <c r="BO115">
        <f t="shared" si="30"/>
        <v>114</v>
      </c>
    </row>
    <row r="116" spans="13:67" x14ac:dyDescent="0.3">
      <c r="M116">
        <f t="shared" si="21"/>
        <v>115</v>
      </c>
      <c r="N116" t="s">
        <v>1484</v>
      </c>
      <c r="O116" s="334" t="s">
        <v>2255</v>
      </c>
      <c r="P116" s="334" t="s">
        <v>2256</v>
      </c>
      <c r="Q116" s="334" t="s">
        <v>2030</v>
      </c>
      <c r="S116">
        <f t="shared" si="22"/>
        <v>115</v>
      </c>
      <c r="Y116">
        <f t="shared" si="23"/>
        <v>115</v>
      </c>
      <c r="AE116">
        <f t="shared" si="24"/>
        <v>115</v>
      </c>
      <c r="AF116" t="s">
        <v>2396</v>
      </c>
      <c r="AG116" t="s">
        <v>2407</v>
      </c>
      <c r="AH116" t="s">
        <v>2408</v>
      </c>
      <c r="AI116" t="s">
        <v>2408</v>
      </c>
      <c r="AK116">
        <f t="shared" si="25"/>
        <v>115</v>
      </c>
      <c r="AQ116">
        <f t="shared" si="26"/>
        <v>115</v>
      </c>
      <c r="AR116" t="s">
        <v>1085</v>
      </c>
      <c r="AS116" t="s">
        <v>1086</v>
      </c>
      <c r="AT116" t="s">
        <v>1075</v>
      </c>
      <c r="AU116" t="s">
        <v>1079</v>
      </c>
      <c r="AW116">
        <f t="shared" si="27"/>
        <v>115</v>
      </c>
      <c r="BC116">
        <f t="shared" si="28"/>
        <v>115</v>
      </c>
      <c r="BI116">
        <f t="shared" si="29"/>
        <v>115</v>
      </c>
      <c r="BO116">
        <f t="shared" si="30"/>
        <v>115</v>
      </c>
    </row>
    <row r="117" spans="13:67" x14ac:dyDescent="0.3">
      <c r="M117">
        <f t="shared" si="21"/>
        <v>116</v>
      </c>
      <c r="N117" t="s">
        <v>1485</v>
      </c>
      <c r="O117" s="334" t="s">
        <v>1940</v>
      </c>
      <c r="P117" s="334" t="s">
        <v>1981</v>
      </c>
      <c r="Q117" s="334" t="s">
        <v>2031</v>
      </c>
      <c r="S117">
        <f t="shared" si="22"/>
        <v>116</v>
      </c>
      <c r="Y117">
        <f t="shared" si="23"/>
        <v>116</v>
      </c>
      <c r="AE117">
        <f t="shared" si="24"/>
        <v>116</v>
      </c>
      <c r="AF117" t="s">
        <v>2395</v>
      </c>
      <c r="AG117" t="s">
        <v>2409</v>
      </c>
      <c r="AH117" t="s">
        <v>2410</v>
      </c>
      <c r="AI117" t="s">
        <v>2411</v>
      </c>
      <c r="AK117">
        <f t="shared" si="25"/>
        <v>116</v>
      </c>
      <c r="AQ117">
        <f t="shared" si="26"/>
        <v>116</v>
      </c>
      <c r="AW117">
        <f t="shared" si="27"/>
        <v>116</v>
      </c>
      <c r="BC117">
        <f t="shared" si="28"/>
        <v>116</v>
      </c>
      <c r="BI117">
        <f t="shared" si="29"/>
        <v>116</v>
      </c>
      <c r="BO117">
        <f t="shared" si="30"/>
        <v>116</v>
      </c>
    </row>
    <row r="118" spans="13:67" x14ac:dyDescent="0.3">
      <c r="M118">
        <f t="shared" si="21"/>
        <v>117</v>
      </c>
      <c r="N118" t="s">
        <v>1486</v>
      </c>
      <c r="O118" s="334" t="s">
        <v>1941</v>
      </c>
      <c r="P118" s="334" t="s">
        <v>1982</v>
      </c>
      <c r="Q118" s="334" t="s">
        <v>2032</v>
      </c>
      <c r="S118">
        <f t="shared" si="22"/>
        <v>117</v>
      </c>
      <c r="Y118">
        <f t="shared" si="23"/>
        <v>117</v>
      </c>
      <c r="AE118">
        <f t="shared" si="24"/>
        <v>117</v>
      </c>
      <c r="AF118" t="s">
        <v>887</v>
      </c>
      <c r="AG118" t="s">
        <v>1253</v>
      </c>
      <c r="AH118" t="s">
        <v>1282</v>
      </c>
      <c r="AI118" t="s">
        <v>1311</v>
      </c>
      <c r="AK118">
        <f t="shared" si="25"/>
        <v>117</v>
      </c>
      <c r="AQ118">
        <f t="shared" si="26"/>
        <v>117</v>
      </c>
      <c r="AW118">
        <f t="shared" si="27"/>
        <v>117</v>
      </c>
      <c r="BC118">
        <f t="shared" si="28"/>
        <v>117</v>
      </c>
      <c r="BI118">
        <f t="shared" si="29"/>
        <v>117</v>
      </c>
      <c r="BO118">
        <f t="shared" si="30"/>
        <v>117</v>
      </c>
    </row>
    <row r="119" spans="13:67" x14ac:dyDescent="0.3">
      <c r="M119">
        <f t="shared" si="21"/>
        <v>118</v>
      </c>
      <c r="N119" t="s">
        <v>1487</v>
      </c>
      <c r="O119" s="334" t="s">
        <v>2257</v>
      </c>
      <c r="P119" s="334" t="s">
        <v>1983</v>
      </c>
      <c r="Q119" s="334" t="s">
        <v>2033</v>
      </c>
      <c r="S119">
        <f t="shared" si="22"/>
        <v>118</v>
      </c>
      <c r="Y119">
        <f t="shared" si="23"/>
        <v>118</v>
      </c>
      <c r="AE119">
        <f t="shared" si="24"/>
        <v>118</v>
      </c>
      <c r="AF119" t="s">
        <v>1261</v>
      </c>
      <c r="AG119" t="s">
        <v>1267</v>
      </c>
      <c r="AH119" t="s">
        <v>1286</v>
      </c>
      <c r="AI119" t="s">
        <v>1314</v>
      </c>
      <c r="AK119">
        <f t="shared" si="25"/>
        <v>118</v>
      </c>
      <c r="AQ119">
        <f t="shared" si="26"/>
        <v>118</v>
      </c>
      <c r="AW119">
        <f t="shared" si="27"/>
        <v>118</v>
      </c>
      <c r="BC119">
        <f t="shared" si="28"/>
        <v>118</v>
      </c>
      <c r="BI119">
        <f t="shared" si="29"/>
        <v>118</v>
      </c>
      <c r="BO119">
        <f t="shared" si="30"/>
        <v>118</v>
      </c>
    </row>
    <row r="120" spans="13:67" x14ac:dyDescent="0.3">
      <c r="M120">
        <f t="shared" si="21"/>
        <v>119</v>
      </c>
      <c r="N120" t="s">
        <v>1488</v>
      </c>
      <c r="O120" s="334" t="s">
        <v>2258</v>
      </c>
      <c r="P120" s="334" t="s">
        <v>1984</v>
      </c>
      <c r="Q120" s="334" t="s">
        <v>2034</v>
      </c>
      <c r="S120">
        <f t="shared" si="22"/>
        <v>119</v>
      </c>
      <c r="Y120">
        <f t="shared" si="23"/>
        <v>119</v>
      </c>
      <c r="AE120">
        <f t="shared" si="24"/>
        <v>119</v>
      </c>
      <c r="AF120" t="s">
        <v>2391</v>
      </c>
      <c r="AG120" t="s">
        <v>2412</v>
      </c>
      <c r="AH120" t="s">
        <v>2413</v>
      </c>
      <c r="AI120" t="s">
        <v>2414</v>
      </c>
      <c r="AK120">
        <f t="shared" si="25"/>
        <v>119</v>
      </c>
      <c r="AQ120">
        <f t="shared" si="26"/>
        <v>119</v>
      </c>
      <c r="AW120">
        <f t="shared" si="27"/>
        <v>119</v>
      </c>
      <c r="BC120">
        <f t="shared" si="28"/>
        <v>119</v>
      </c>
      <c r="BI120">
        <f t="shared" si="29"/>
        <v>119</v>
      </c>
      <c r="BO120">
        <f t="shared" si="30"/>
        <v>119</v>
      </c>
    </row>
    <row r="121" spans="13:67" x14ac:dyDescent="0.3">
      <c r="M121">
        <f t="shared" si="21"/>
        <v>120</v>
      </c>
      <c r="N121" t="s">
        <v>1489</v>
      </c>
      <c r="O121" s="334" t="s">
        <v>1942</v>
      </c>
      <c r="P121" s="334" t="s">
        <v>1985</v>
      </c>
      <c r="Q121" s="334" t="s">
        <v>2035</v>
      </c>
      <c r="S121">
        <f t="shared" si="22"/>
        <v>120</v>
      </c>
      <c r="Y121">
        <f t="shared" si="23"/>
        <v>120</v>
      </c>
      <c r="AE121">
        <f t="shared" si="24"/>
        <v>120</v>
      </c>
      <c r="AF121" t="s">
        <v>1262</v>
      </c>
      <c r="AG121" t="s">
        <v>1268</v>
      </c>
      <c r="AH121" t="s">
        <v>1287</v>
      </c>
      <c r="AI121" t="s">
        <v>1315</v>
      </c>
      <c r="AK121">
        <f t="shared" si="25"/>
        <v>120</v>
      </c>
      <c r="AQ121">
        <f t="shared" si="26"/>
        <v>120</v>
      </c>
      <c r="AW121">
        <f t="shared" si="27"/>
        <v>120</v>
      </c>
      <c r="BC121">
        <f t="shared" si="28"/>
        <v>120</v>
      </c>
      <c r="BI121">
        <f t="shared" si="29"/>
        <v>120</v>
      </c>
      <c r="BO121">
        <f t="shared" si="30"/>
        <v>120</v>
      </c>
    </row>
    <row r="122" spans="13:67" x14ac:dyDescent="0.3">
      <c r="M122">
        <f t="shared" si="21"/>
        <v>121</v>
      </c>
      <c r="N122" t="s">
        <v>1490</v>
      </c>
      <c r="O122" s="334" t="s">
        <v>1943</v>
      </c>
      <c r="P122" s="334" t="s">
        <v>1986</v>
      </c>
      <c r="Q122" s="334" t="s">
        <v>2036</v>
      </c>
      <c r="S122">
        <f t="shared" si="22"/>
        <v>121</v>
      </c>
      <c r="Y122">
        <f t="shared" si="23"/>
        <v>121</v>
      </c>
      <c r="AE122">
        <f t="shared" si="24"/>
        <v>121</v>
      </c>
      <c r="AF122" t="s">
        <v>2393</v>
      </c>
      <c r="AG122" t="s">
        <v>2415</v>
      </c>
      <c r="AH122" t="s">
        <v>2416</v>
      </c>
      <c r="AI122" t="s">
        <v>2417</v>
      </c>
      <c r="AK122">
        <f t="shared" si="25"/>
        <v>121</v>
      </c>
      <c r="AQ122">
        <f t="shared" si="26"/>
        <v>121</v>
      </c>
      <c r="AW122">
        <f t="shared" si="27"/>
        <v>121</v>
      </c>
      <c r="BC122">
        <f t="shared" si="28"/>
        <v>121</v>
      </c>
      <c r="BI122">
        <f t="shared" si="29"/>
        <v>121</v>
      </c>
      <c r="BO122">
        <f t="shared" si="30"/>
        <v>121</v>
      </c>
    </row>
    <row r="123" spans="13:67" x14ac:dyDescent="0.3">
      <c r="M123">
        <f t="shared" si="21"/>
        <v>122</v>
      </c>
      <c r="N123" t="s">
        <v>1491</v>
      </c>
      <c r="O123" s="334" t="s">
        <v>1944</v>
      </c>
      <c r="P123" s="334" t="s">
        <v>1987</v>
      </c>
      <c r="Q123" s="334" t="s">
        <v>2037</v>
      </c>
      <c r="S123">
        <f t="shared" si="22"/>
        <v>122</v>
      </c>
      <c r="Y123">
        <f t="shared" si="23"/>
        <v>122</v>
      </c>
      <c r="AE123">
        <f t="shared" si="24"/>
        <v>122</v>
      </c>
      <c r="AF123" t="s">
        <v>1264</v>
      </c>
      <c r="AG123" t="s">
        <v>1270</v>
      </c>
      <c r="AH123" t="s">
        <v>1289</v>
      </c>
      <c r="AI123" t="s">
        <v>1270</v>
      </c>
      <c r="AK123">
        <f t="shared" si="25"/>
        <v>122</v>
      </c>
      <c r="AQ123">
        <f t="shared" si="26"/>
        <v>122</v>
      </c>
      <c r="AW123">
        <f t="shared" si="27"/>
        <v>122</v>
      </c>
      <c r="BC123">
        <f t="shared" si="28"/>
        <v>122</v>
      </c>
      <c r="BI123">
        <f t="shared" si="29"/>
        <v>122</v>
      </c>
      <c r="BO123">
        <f t="shared" si="30"/>
        <v>122</v>
      </c>
    </row>
    <row r="124" spans="13:67" x14ac:dyDescent="0.3">
      <c r="M124">
        <f t="shared" si="21"/>
        <v>123</v>
      </c>
      <c r="N124" t="s">
        <v>1492</v>
      </c>
      <c r="O124" s="334" t="s">
        <v>2259</v>
      </c>
      <c r="P124" s="334" t="s">
        <v>1988</v>
      </c>
      <c r="Q124" s="334" t="s">
        <v>2038</v>
      </c>
      <c r="S124">
        <f t="shared" si="22"/>
        <v>123</v>
      </c>
      <c r="Y124">
        <f t="shared" si="23"/>
        <v>123</v>
      </c>
      <c r="AE124">
        <f t="shared" si="24"/>
        <v>123</v>
      </c>
      <c r="AF124" t="s">
        <v>2399</v>
      </c>
      <c r="AG124" t="s">
        <v>2418</v>
      </c>
      <c r="AH124" t="s">
        <v>2419</v>
      </c>
      <c r="AI124" t="s">
        <v>2420</v>
      </c>
      <c r="AK124">
        <f t="shared" si="25"/>
        <v>123</v>
      </c>
      <c r="AQ124">
        <f t="shared" si="26"/>
        <v>123</v>
      </c>
      <c r="AW124">
        <f t="shared" si="27"/>
        <v>123</v>
      </c>
      <c r="BC124">
        <f t="shared" si="28"/>
        <v>123</v>
      </c>
      <c r="BI124">
        <f t="shared" si="29"/>
        <v>123</v>
      </c>
      <c r="BO124">
        <f t="shared" si="30"/>
        <v>123</v>
      </c>
    </row>
    <row r="125" spans="13:67" x14ac:dyDescent="0.3">
      <c r="M125">
        <f t="shared" si="21"/>
        <v>124</v>
      </c>
      <c r="N125" t="s">
        <v>1493</v>
      </c>
      <c r="O125" s="334" t="s">
        <v>1945</v>
      </c>
      <c r="P125" s="334" t="s">
        <v>2260</v>
      </c>
      <c r="Q125" s="334" t="s">
        <v>2039</v>
      </c>
      <c r="S125">
        <f t="shared" si="22"/>
        <v>124</v>
      </c>
      <c r="Y125">
        <f t="shared" si="23"/>
        <v>124</v>
      </c>
      <c r="AE125">
        <f t="shared" si="24"/>
        <v>124</v>
      </c>
      <c r="AF125" t="s">
        <v>2398</v>
      </c>
      <c r="AG125" t="s">
        <v>2421</v>
      </c>
      <c r="AH125" t="s">
        <v>2422</v>
      </c>
      <c r="AI125" t="s">
        <v>2423</v>
      </c>
      <c r="AK125">
        <f t="shared" si="25"/>
        <v>124</v>
      </c>
      <c r="AQ125">
        <f t="shared" si="26"/>
        <v>124</v>
      </c>
      <c r="AW125">
        <f t="shared" si="27"/>
        <v>124</v>
      </c>
      <c r="BC125">
        <f t="shared" si="28"/>
        <v>124</v>
      </c>
      <c r="BI125">
        <f t="shared" si="29"/>
        <v>124</v>
      </c>
      <c r="BO125">
        <f t="shared" si="30"/>
        <v>124</v>
      </c>
    </row>
    <row r="126" spans="13:67" x14ac:dyDescent="0.3">
      <c r="M126">
        <f t="shared" si="21"/>
        <v>125</v>
      </c>
      <c r="N126" t="s">
        <v>1495</v>
      </c>
      <c r="O126" s="334" t="s">
        <v>1946</v>
      </c>
      <c r="P126" s="334" t="s">
        <v>1989</v>
      </c>
      <c r="Q126" s="334" t="s">
        <v>2040</v>
      </c>
      <c r="S126">
        <f t="shared" si="22"/>
        <v>125</v>
      </c>
      <c r="Y126">
        <f t="shared" si="23"/>
        <v>125</v>
      </c>
      <c r="AE126">
        <f t="shared" si="24"/>
        <v>125</v>
      </c>
      <c r="AF126" t="s">
        <v>1260</v>
      </c>
      <c r="AG126" t="s">
        <v>1266</v>
      </c>
      <c r="AH126" t="s">
        <v>1285</v>
      </c>
      <c r="AI126" t="s">
        <v>1313</v>
      </c>
      <c r="AK126">
        <f t="shared" si="25"/>
        <v>125</v>
      </c>
      <c r="AQ126">
        <f t="shared" si="26"/>
        <v>125</v>
      </c>
      <c r="AW126">
        <f t="shared" si="27"/>
        <v>125</v>
      </c>
      <c r="BC126">
        <f t="shared" si="28"/>
        <v>125</v>
      </c>
      <c r="BI126">
        <f t="shared" si="29"/>
        <v>125</v>
      </c>
      <c r="BO126">
        <f t="shared" si="30"/>
        <v>125</v>
      </c>
    </row>
    <row r="127" spans="13:67" x14ac:dyDescent="0.3">
      <c r="M127">
        <f t="shared" si="21"/>
        <v>126</v>
      </c>
      <c r="N127" t="s">
        <v>1496</v>
      </c>
      <c r="O127" s="334" t="s">
        <v>1947</v>
      </c>
      <c r="P127" s="334" t="s">
        <v>1990</v>
      </c>
      <c r="Q127" s="334" t="s">
        <v>2041</v>
      </c>
      <c r="S127">
        <f t="shared" si="22"/>
        <v>126</v>
      </c>
      <c r="Y127">
        <f t="shared" si="23"/>
        <v>126</v>
      </c>
      <c r="AE127">
        <f t="shared" si="24"/>
        <v>126</v>
      </c>
      <c r="AF127" t="s">
        <v>2394</v>
      </c>
      <c r="AG127" t="s">
        <v>2424</v>
      </c>
      <c r="AH127" t="s">
        <v>2425</v>
      </c>
      <c r="AI127" t="s">
        <v>2426</v>
      </c>
      <c r="AK127">
        <f t="shared" si="25"/>
        <v>126</v>
      </c>
      <c r="AQ127">
        <f t="shared" si="26"/>
        <v>126</v>
      </c>
      <c r="AW127">
        <f t="shared" si="27"/>
        <v>126</v>
      </c>
      <c r="BC127">
        <f t="shared" si="28"/>
        <v>126</v>
      </c>
      <c r="BI127">
        <f t="shared" si="29"/>
        <v>126</v>
      </c>
      <c r="BO127">
        <f t="shared" si="30"/>
        <v>126</v>
      </c>
    </row>
    <row r="128" spans="13:67" x14ac:dyDescent="0.3">
      <c r="M128">
        <f t="shared" si="21"/>
        <v>127</v>
      </c>
      <c r="O128" s="334"/>
      <c r="P128" s="334"/>
      <c r="Q128" s="334"/>
      <c r="S128">
        <f t="shared" si="22"/>
        <v>127</v>
      </c>
      <c r="Y128">
        <f t="shared" si="23"/>
        <v>127</v>
      </c>
      <c r="AE128">
        <f t="shared" si="24"/>
        <v>127</v>
      </c>
      <c r="AF128" t="s">
        <v>2392</v>
      </c>
      <c r="AG128" t="s">
        <v>2427</v>
      </c>
      <c r="AH128" t="s">
        <v>2428</v>
      </c>
      <c r="AI128" t="s">
        <v>2429</v>
      </c>
      <c r="AK128">
        <f t="shared" si="25"/>
        <v>127</v>
      </c>
      <c r="AQ128">
        <f t="shared" si="26"/>
        <v>127</v>
      </c>
      <c r="AW128">
        <f t="shared" si="27"/>
        <v>127</v>
      </c>
      <c r="BC128">
        <f t="shared" si="28"/>
        <v>127</v>
      </c>
      <c r="BI128">
        <f t="shared" si="29"/>
        <v>127</v>
      </c>
      <c r="BO128">
        <f t="shared" si="30"/>
        <v>127</v>
      </c>
    </row>
    <row r="129" spans="13:71" x14ac:dyDescent="0.3">
      <c r="M129">
        <f t="shared" si="21"/>
        <v>128</v>
      </c>
      <c r="O129" s="334"/>
      <c r="P129" s="334"/>
      <c r="Q129" s="334"/>
      <c r="S129">
        <f t="shared" si="22"/>
        <v>128</v>
      </c>
      <c r="Y129">
        <f t="shared" si="23"/>
        <v>128</v>
      </c>
      <c r="AE129">
        <f t="shared" si="24"/>
        <v>128</v>
      </c>
      <c r="AF129" t="s">
        <v>888</v>
      </c>
      <c r="AG129" t="s">
        <v>888</v>
      </c>
      <c r="AH129" t="s">
        <v>1283</v>
      </c>
      <c r="AI129" t="s">
        <v>888</v>
      </c>
      <c r="AK129">
        <f t="shared" si="25"/>
        <v>128</v>
      </c>
      <c r="AQ129">
        <f t="shared" si="26"/>
        <v>128</v>
      </c>
      <c r="AW129">
        <f t="shared" si="27"/>
        <v>128</v>
      </c>
      <c r="BC129">
        <f t="shared" si="28"/>
        <v>128</v>
      </c>
      <c r="BI129">
        <f t="shared" si="29"/>
        <v>128</v>
      </c>
      <c r="BO129">
        <f t="shared" si="30"/>
        <v>128</v>
      </c>
    </row>
    <row r="130" spans="13:71" x14ac:dyDescent="0.3">
      <c r="M130">
        <f t="shared" si="21"/>
        <v>129</v>
      </c>
      <c r="O130" s="334"/>
      <c r="P130" s="334"/>
      <c r="Q130" s="334"/>
      <c r="S130">
        <f t="shared" si="22"/>
        <v>129</v>
      </c>
      <c r="Y130">
        <f t="shared" si="23"/>
        <v>129</v>
      </c>
      <c r="AE130">
        <f t="shared" si="24"/>
        <v>129</v>
      </c>
      <c r="AF130" t="s">
        <v>2397</v>
      </c>
      <c r="AG130" t="s">
        <v>2430</v>
      </c>
      <c r="AH130" t="s">
        <v>2431</v>
      </c>
      <c r="AI130" t="s">
        <v>2432</v>
      </c>
      <c r="AK130">
        <f t="shared" si="25"/>
        <v>129</v>
      </c>
      <c r="AQ130">
        <f t="shared" si="26"/>
        <v>129</v>
      </c>
      <c r="AW130">
        <f t="shared" si="27"/>
        <v>129</v>
      </c>
      <c r="BC130">
        <f t="shared" si="28"/>
        <v>129</v>
      </c>
      <c r="BI130">
        <f t="shared" si="29"/>
        <v>129</v>
      </c>
      <c r="BO130">
        <f t="shared" si="30"/>
        <v>129</v>
      </c>
    </row>
    <row r="131" spans="13:71" x14ac:dyDescent="0.3">
      <c r="M131">
        <f t="shared" ref="M131:M151" si="31">ROW()-1</f>
        <v>130</v>
      </c>
      <c r="O131" s="334"/>
      <c r="P131" s="334"/>
      <c r="Q131" s="334"/>
      <c r="S131">
        <f t="shared" ref="S131:S151" si="32">ROW()-1</f>
        <v>130</v>
      </c>
      <c r="Y131">
        <f t="shared" ref="Y131:Y151" si="33">ROW()-1</f>
        <v>130</v>
      </c>
      <c r="AE131">
        <f t="shared" ref="AE131:AE151" si="34">ROW()-1</f>
        <v>130</v>
      </c>
      <c r="AK131">
        <f t="shared" ref="AK131:AK151" si="35">ROW()-1</f>
        <v>130</v>
      </c>
      <c r="AQ131">
        <f t="shared" ref="AQ131:AQ151" si="36">ROW()-1</f>
        <v>130</v>
      </c>
      <c r="AW131">
        <f t="shared" ref="AW131:AW151" si="37">ROW()-1</f>
        <v>130</v>
      </c>
      <c r="BC131">
        <f t="shared" ref="BC131:BC151" si="38">ROW()-1</f>
        <v>130</v>
      </c>
      <c r="BI131">
        <f t="shared" ref="BI131:BI151" si="39">ROW()-1</f>
        <v>130</v>
      </c>
      <c r="BO131">
        <f t="shared" ref="BO131:BO151" si="40">ROW()-1</f>
        <v>130</v>
      </c>
    </row>
    <row r="132" spans="13:71" x14ac:dyDescent="0.3">
      <c r="M132">
        <f t="shared" si="31"/>
        <v>131</v>
      </c>
      <c r="N132" t="s">
        <v>2133</v>
      </c>
      <c r="O132" s="334" t="s">
        <v>2120</v>
      </c>
      <c r="P132" s="334" t="s">
        <v>2106</v>
      </c>
      <c r="Q132" s="334" t="s">
        <v>2092</v>
      </c>
      <c r="S132">
        <f t="shared" si="32"/>
        <v>131</v>
      </c>
      <c r="T132" t="s">
        <v>53</v>
      </c>
      <c r="U132" t="s">
        <v>2261</v>
      </c>
      <c r="V132" t="s">
        <v>301</v>
      </c>
      <c r="W132" t="s">
        <v>302</v>
      </c>
      <c r="Y132">
        <f t="shared" si="33"/>
        <v>131</v>
      </c>
      <c r="Z132" t="s">
        <v>84</v>
      </c>
      <c r="AA132" t="s">
        <v>2262</v>
      </c>
      <c r="AB132" t="s">
        <v>408</v>
      </c>
      <c r="AC132" t="s">
        <v>409</v>
      </c>
      <c r="AE132">
        <f t="shared" si="34"/>
        <v>131</v>
      </c>
      <c r="AK132">
        <f t="shared" si="35"/>
        <v>131</v>
      </c>
      <c r="AL132" t="s">
        <v>256</v>
      </c>
      <c r="AM132" t="s">
        <v>2264</v>
      </c>
      <c r="AN132" t="s">
        <v>451</v>
      </c>
      <c r="AO132" t="s">
        <v>461</v>
      </c>
      <c r="AQ132">
        <f t="shared" si="36"/>
        <v>131</v>
      </c>
      <c r="AR132" t="s">
        <v>725</v>
      </c>
      <c r="AS132" t="s">
        <v>2265</v>
      </c>
      <c r="AT132" t="s">
        <v>2266</v>
      </c>
      <c r="AU132" t="s">
        <v>728</v>
      </c>
      <c r="AW132">
        <f t="shared" si="37"/>
        <v>131</v>
      </c>
      <c r="AX132" t="s">
        <v>783</v>
      </c>
      <c r="AY132" t="s">
        <v>920</v>
      </c>
      <c r="AZ132" t="s">
        <v>1132</v>
      </c>
      <c r="BA132" t="s">
        <v>951</v>
      </c>
      <c r="BC132">
        <f t="shared" si="38"/>
        <v>131</v>
      </c>
      <c r="BD132" t="s">
        <v>797</v>
      </c>
      <c r="BE132" t="s">
        <v>1056</v>
      </c>
      <c r="BF132" t="s">
        <v>2267</v>
      </c>
      <c r="BG132" t="s">
        <v>1041</v>
      </c>
      <c r="BI132">
        <f t="shared" si="39"/>
        <v>131</v>
      </c>
      <c r="BJ132" t="s">
        <v>783</v>
      </c>
      <c r="BK132" t="s">
        <v>920</v>
      </c>
      <c r="BL132" t="s">
        <v>938</v>
      </c>
      <c r="BM132" t="s">
        <v>1799</v>
      </c>
      <c r="BO132">
        <f t="shared" si="40"/>
        <v>131</v>
      </c>
      <c r="BP132" t="s">
        <v>2540</v>
      </c>
      <c r="BQ132" s="334" t="s">
        <v>2591</v>
      </c>
      <c r="BR132" s="334" t="s">
        <v>2592</v>
      </c>
      <c r="BS132" s="334" t="s">
        <v>2593</v>
      </c>
    </row>
    <row r="133" spans="13:71" x14ac:dyDescent="0.3">
      <c r="M133">
        <f t="shared" si="31"/>
        <v>132</v>
      </c>
      <c r="N133" t="s">
        <v>1510</v>
      </c>
      <c r="O133" s="334" t="s">
        <v>2121</v>
      </c>
      <c r="P133" s="334" t="s">
        <v>2107</v>
      </c>
      <c r="Q133" s="334" t="s">
        <v>2093</v>
      </c>
      <c r="S133">
        <f t="shared" si="32"/>
        <v>132</v>
      </c>
      <c r="T133" t="s">
        <v>54</v>
      </c>
      <c r="U133" t="s">
        <v>303</v>
      </c>
      <c r="V133" t="s">
        <v>304</v>
      </c>
      <c r="W133" t="s">
        <v>305</v>
      </c>
      <c r="Y133">
        <f t="shared" si="33"/>
        <v>132</v>
      </c>
      <c r="Z133" t="s">
        <v>2337</v>
      </c>
      <c r="AA133" t="s">
        <v>2338</v>
      </c>
      <c r="AB133" t="s">
        <v>2339</v>
      </c>
      <c r="AC133" t="s">
        <v>2340</v>
      </c>
      <c r="AE133">
        <f t="shared" si="34"/>
        <v>132</v>
      </c>
      <c r="AK133">
        <f t="shared" si="35"/>
        <v>132</v>
      </c>
      <c r="AL133" t="s">
        <v>257</v>
      </c>
      <c r="AM133" t="s">
        <v>443</v>
      </c>
      <c r="AN133" t="s">
        <v>452</v>
      </c>
      <c r="AO133" t="s">
        <v>462</v>
      </c>
      <c r="AQ133">
        <f t="shared" si="36"/>
        <v>132</v>
      </c>
      <c r="AR133" t="s">
        <v>726</v>
      </c>
      <c r="AS133" t="s">
        <v>2268</v>
      </c>
      <c r="AT133" t="s">
        <v>727</v>
      </c>
      <c r="AU133" t="s">
        <v>729</v>
      </c>
      <c r="AW133">
        <f t="shared" si="37"/>
        <v>132</v>
      </c>
      <c r="AX133" t="s">
        <v>803</v>
      </c>
      <c r="AY133" t="s">
        <v>2269</v>
      </c>
      <c r="AZ133" t="s">
        <v>2270</v>
      </c>
      <c r="BA133" t="s">
        <v>1150</v>
      </c>
      <c r="BC133">
        <f t="shared" si="38"/>
        <v>132</v>
      </c>
      <c r="BD133" t="s">
        <v>2543</v>
      </c>
      <c r="BE133" s="334" t="s">
        <v>2615</v>
      </c>
      <c r="BF133" s="334" t="s">
        <v>2616</v>
      </c>
      <c r="BG133" s="334" t="s">
        <v>2617</v>
      </c>
      <c r="BI133">
        <f t="shared" si="39"/>
        <v>132</v>
      </c>
      <c r="BJ133" t="s">
        <v>1746</v>
      </c>
      <c r="BK133" t="s">
        <v>2271</v>
      </c>
      <c r="BL133" t="s">
        <v>1781</v>
      </c>
      <c r="BM133" t="s">
        <v>1800</v>
      </c>
      <c r="BO133">
        <f t="shared" si="40"/>
        <v>132</v>
      </c>
      <c r="BP133" t="s">
        <v>872</v>
      </c>
      <c r="BQ133" t="s">
        <v>1012</v>
      </c>
      <c r="BR133" t="s">
        <v>987</v>
      </c>
      <c r="BS133" t="s">
        <v>1030</v>
      </c>
    </row>
    <row r="134" spans="13:71" x14ac:dyDescent="0.3">
      <c r="M134">
        <f t="shared" si="31"/>
        <v>133</v>
      </c>
      <c r="N134" t="s">
        <v>1511</v>
      </c>
      <c r="O134" s="334" t="s">
        <v>2122</v>
      </c>
      <c r="P134" s="334" t="s">
        <v>2108</v>
      </c>
      <c r="Q134" s="334" t="s">
        <v>2094</v>
      </c>
      <c r="S134">
        <f t="shared" si="32"/>
        <v>133</v>
      </c>
      <c r="T134" t="s">
        <v>55</v>
      </c>
      <c r="U134" t="s">
        <v>2272</v>
      </c>
      <c r="V134" t="s">
        <v>2273</v>
      </c>
      <c r="W134" t="s">
        <v>306</v>
      </c>
      <c r="Y134">
        <f t="shared" si="33"/>
        <v>133</v>
      </c>
      <c r="Z134" t="s">
        <v>2345</v>
      </c>
      <c r="AA134" t="s">
        <v>2346</v>
      </c>
      <c r="AB134" t="s">
        <v>2347</v>
      </c>
      <c r="AC134" t="s">
        <v>2348</v>
      </c>
      <c r="AE134">
        <f t="shared" si="34"/>
        <v>133</v>
      </c>
      <c r="AK134">
        <f t="shared" si="35"/>
        <v>133</v>
      </c>
      <c r="AL134" t="s">
        <v>258</v>
      </c>
      <c r="AM134" t="s">
        <v>444</v>
      </c>
      <c r="AN134" t="s">
        <v>453</v>
      </c>
      <c r="AO134" t="s">
        <v>463</v>
      </c>
      <c r="AQ134">
        <f t="shared" si="36"/>
        <v>133</v>
      </c>
      <c r="AR134" t="s">
        <v>730</v>
      </c>
      <c r="AS134" t="s">
        <v>2274</v>
      </c>
      <c r="AT134" t="s">
        <v>2275</v>
      </c>
      <c r="AU134" t="s">
        <v>731</v>
      </c>
      <c r="AW134">
        <f t="shared" si="37"/>
        <v>133</v>
      </c>
      <c r="AX134" t="s">
        <v>2539</v>
      </c>
      <c r="AY134" s="334" t="s">
        <v>2588</v>
      </c>
      <c r="AZ134" s="334" t="s">
        <v>2589</v>
      </c>
      <c r="BA134" s="334" t="s">
        <v>2590</v>
      </c>
      <c r="BC134">
        <f t="shared" si="38"/>
        <v>133</v>
      </c>
      <c r="BD134" t="s">
        <v>822</v>
      </c>
      <c r="BE134" t="s">
        <v>2276</v>
      </c>
      <c r="BF134" t="s">
        <v>2277</v>
      </c>
      <c r="BG134" t="s">
        <v>1204</v>
      </c>
      <c r="BI134">
        <f t="shared" si="39"/>
        <v>133</v>
      </c>
      <c r="BJ134" t="s">
        <v>1747</v>
      </c>
      <c r="BK134" t="s">
        <v>1764</v>
      </c>
      <c r="BL134" t="s">
        <v>1782</v>
      </c>
      <c r="BM134" t="s">
        <v>1801</v>
      </c>
      <c r="BO134">
        <f t="shared" si="40"/>
        <v>133</v>
      </c>
    </row>
    <row r="135" spans="13:71" x14ac:dyDescent="0.3">
      <c r="M135">
        <f t="shared" si="31"/>
        <v>134</v>
      </c>
      <c r="N135" t="s">
        <v>1512</v>
      </c>
      <c r="O135" s="334" t="s">
        <v>2123</v>
      </c>
      <c r="P135" s="334" t="s">
        <v>2109</v>
      </c>
      <c r="Q135" s="334" t="s">
        <v>2095</v>
      </c>
      <c r="S135">
        <f t="shared" si="32"/>
        <v>134</v>
      </c>
      <c r="T135" t="s">
        <v>56</v>
      </c>
      <c r="U135" t="s">
        <v>2278</v>
      </c>
      <c r="V135" t="s">
        <v>2279</v>
      </c>
      <c r="W135" t="s">
        <v>307</v>
      </c>
      <c r="Y135">
        <f t="shared" si="33"/>
        <v>134</v>
      </c>
      <c r="Z135" t="s">
        <v>2341</v>
      </c>
      <c r="AA135" t="s">
        <v>2342</v>
      </c>
      <c r="AB135" t="s">
        <v>2343</v>
      </c>
      <c r="AC135" t="s">
        <v>2344</v>
      </c>
      <c r="AE135">
        <f t="shared" si="34"/>
        <v>134</v>
      </c>
      <c r="AK135">
        <f t="shared" si="35"/>
        <v>134</v>
      </c>
      <c r="AL135" t="s">
        <v>259</v>
      </c>
      <c r="AM135" t="s">
        <v>2280</v>
      </c>
      <c r="AN135" t="s">
        <v>2281</v>
      </c>
      <c r="AO135" t="s">
        <v>464</v>
      </c>
      <c r="AQ135">
        <f t="shared" si="36"/>
        <v>134</v>
      </c>
      <c r="AR135" t="s">
        <v>732</v>
      </c>
      <c r="AS135" t="s">
        <v>733</v>
      </c>
      <c r="AT135" t="s">
        <v>2282</v>
      </c>
      <c r="AU135" t="s">
        <v>734</v>
      </c>
      <c r="AW135">
        <f t="shared" si="37"/>
        <v>134</v>
      </c>
      <c r="BC135">
        <f t="shared" si="38"/>
        <v>134</v>
      </c>
      <c r="BD135" t="s">
        <v>823</v>
      </c>
      <c r="BE135" t="s">
        <v>1176</v>
      </c>
      <c r="BF135" t="s">
        <v>2283</v>
      </c>
      <c r="BG135" t="s">
        <v>1205</v>
      </c>
      <c r="BI135">
        <f t="shared" si="39"/>
        <v>134</v>
      </c>
      <c r="BO135">
        <f t="shared" si="40"/>
        <v>134</v>
      </c>
    </row>
    <row r="136" spans="13:71" x14ac:dyDescent="0.3">
      <c r="M136">
        <f t="shared" si="31"/>
        <v>135</v>
      </c>
      <c r="N136" t="s">
        <v>1513</v>
      </c>
      <c r="O136" s="334" t="s">
        <v>2124</v>
      </c>
      <c r="P136" s="334" t="s">
        <v>2110</v>
      </c>
      <c r="Q136" s="334" t="s">
        <v>2096</v>
      </c>
      <c r="S136">
        <f t="shared" si="32"/>
        <v>135</v>
      </c>
      <c r="T136" t="s">
        <v>57</v>
      </c>
      <c r="U136" t="s">
        <v>308</v>
      </c>
      <c r="V136" t="s">
        <v>309</v>
      </c>
      <c r="W136" t="s">
        <v>310</v>
      </c>
      <c r="Y136">
        <f t="shared" si="33"/>
        <v>135</v>
      </c>
      <c r="Z136" s="334" t="s">
        <v>2541</v>
      </c>
      <c r="AA136" s="334" t="s">
        <v>2597</v>
      </c>
      <c r="AB136" s="334" t="s">
        <v>2598</v>
      </c>
      <c r="AC136" s="334" t="s">
        <v>2599</v>
      </c>
      <c r="AE136">
        <f t="shared" si="34"/>
        <v>135</v>
      </c>
      <c r="AK136">
        <f t="shared" si="35"/>
        <v>135</v>
      </c>
      <c r="AQ136">
        <f t="shared" si="36"/>
        <v>135</v>
      </c>
      <c r="AR136" t="s">
        <v>735</v>
      </c>
      <c r="AS136" t="s">
        <v>2284</v>
      </c>
      <c r="AT136" t="s">
        <v>2285</v>
      </c>
      <c r="AU136" t="s">
        <v>736</v>
      </c>
      <c r="AW136">
        <f t="shared" si="37"/>
        <v>135</v>
      </c>
      <c r="BC136">
        <f t="shared" si="38"/>
        <v>135</v>
      </c>
      <c r="BD136" t="s">
        <v>824</v>
      </c>
      <c r="BE136" t="s">
        <v>2286</v>
      </c>
      <c r="BF136" t="s">
        <v>1237</v>
      </c>
      <c r="BG136" t="s">
        <v>1206</v>
      </c>
      <c r="BI136">
        <f t="shared" si="39"/>
        <v>135</v>
      </c>
      <c r="BO136">
        <f t="shared" si="40"/>
        <v>135</v>
      </c>
    </row>
    <row r="137" spans="13:71" x14ac:dyDescent="0.3">
      <c r="M137">
        <f t="shared" si="31"/>
        <v>136</v>
      </c>
      <c r="N137" t="s">
        <v>1514</v>
      </c>
      <c r="O137" s="334" t="s">
        <v>1922</v>
      </c>
      <c r="P137" s="334" t="s">
        <v>2111</v>
      </c>
      <c r="Q137" s="334" t="s">
        <v>2097</v>
      </c>
      <c r="S137">
        <f t="shared" si="32"/>
        <v>136</v>
      </c>
      <c r="T137" t="s">
        <v>2550</v>
      </c>
      <c r="U137" t="s">
        <v>2551</v>
      </c>
      <c r="V137" t="s">
        <v>2552</v>
      </c>
      <c r="W137" t="s">
        <v>2553</v>
      </c>
      <c r="Y137">
        <f t="shared" si="33"/>
        <v>136</v>
      </c>
      <c r="Z137" t="s">
        <v>2349</v>
      </c>
      <c r="AA137" t="s">
        <v>2350</v>
      </c>
      <c r="AB137" t="s">
        <v>2351</v>
      </c>
      <c r="AC137" t="s">
        <v>2352</v>
      </c>
      <c r="AE137">
        <f t="shared" si="34"/>
        <v>136</v>
      </c>
      <c r="AK137">
        <f t="shared" si="35"/>
        <v>136</v>
      </c>
      <c r="AQ137">
        <f t="shared" si="36"/>
        <v>136</v>
      </c>
      <c r="AW137">
        <f t="shared" si="37"/>
        <v>136</v>
      </c>
      <c r="BC137">
        <f t="shared" si="38"/>
        <v>136</v>
      </c>
      <c r="BD137" t="s">
        <v>825</v>
      </c>
      <c r="BE137" t="s">
        <v>2287</v>
      </c>
      <c r="BF137" t="s">
        <v>1238</v>
      </c>
      <c r="BG137" t="s">
        <v>1207</v>
      </c>
      <c r="BI137">
        <f t="shared" si="39"/>
        <v>136</v>
      </c>
      <c r="BO137">
        <f t="shared" si="40"/>
        <v>136</v>
      </c>
    </row>
    <row r="138" spans="13:71" x14ac:dyDescent="0.3">
      <c r="M138">
        <f t="shared" si="31"/>
        <v>137</v>
      </c>
      <c r="N138" t="s">
        <v>1515</v>
      </c>
      <c r="O138" s="334" t="s">
        <v>2125</v>
      </c>
      <c r="P138" s="334" t="s">
        <v>449</v>
      </c>
      <c r="Q138" s="334" t="s">
        <v>251</v>
      </c>
      <c r="S138">
        <f t="shared" si="32"/>
        <v>137</v>
      </c>
      <c r="Y138">
        <f t="shared" si="33"/>
        <v>137</v>
      </c>
      <c r="Z138" t="s">
        <v>2353</v>
      </c>
      <c r="AA138" t="s">
        <v>2354</v>
      </c>
      <c r="AB138" t="s">
        <v>2355</v>
      </c>
      <c r="AC138" t="s">
        <v>2356</v>
      </c>
      <c r="AE138">
        <f t="shared" si="34"/>
        <v>137</v>
      </c>
      <c r="AK138">
        <f t="shared" si="35"/>
        <v>137</v>
      </c>
      <c r="AQ138">
        <f t="shared" si="36"/>
        <v>137</v>
      </c>
      <c r="AW138">
        <f t="shared" si="37"/>
        <v>137</v>
      </c>
      <c r="BC138">
        <f t="shared" si="38"/>
        <v>137</v>
      </c>
      <c r="BD138" t="s">
        <v>826</v>
      </c>
      <c r="BE138" t="s">
        <v>1177</v>
      </c>
      <c r="BF138" t="s">
        <v>1239</v>
      </c>
      <c r="BG138" t="s">
        <v>1208</v>
      </c>
      <c r="BI138">
        <f t="shared" si="39"/>
        <v>137</v>
      </c>
      <c r="BO138">
        <f t="shared" si="40"/>
        <v>137</v>
      </c>
    </row>
    <row r="139" spans="13:71" x14ac:dyDescent="0.3">
      <c r="M139">
        <f t="shared" si="31"/>
        <v>138</v>
      </c>
      <c r="N139" t="s">
        <v>2134</v>
      </c>
      <c r="O139" s="334" t="s">
        <v>2126</v>
      </c>
      <c r="P139" s="334" t="s">
        <v>2112</v>
      </c>
      <c r="Q139" s="334" t="s">
        <v>2098</v>
      </c>
      <c r="S139">
        <f t="shared" si="32"/>
        <v>138</v>
      </c>
      <c r="Y139">
        <f t="shared" si="33"/>
        <v>138</v>
      </c>
      <c r="Z139" t="s">
        <v>2357</v>
      </c>
      <c r="AA139" t="s">
        <v>2358</v>
      </c>
      <c r="AB139" t="s">
        <v>2359</v>
      </c>
      <c r="AC139" t="s">
        <v>2360</v>
      </c>
      <c r="AE139">
        <f t="shared" si="34"/>
        <v>138</v>
      </c>
      <c r="AK139">
        <f t="shared" si="35"/>
        <v>138</v>
      </c>
      <c r="AQ139">
        <f t="shared" si="36"/>
        <v>138</v>
      </c>
      <c r="AW139">
        <f t="shared" si="37"/>
        <v>138</v>
      </c>
      <c r="BC139">
        <f t="shared" si="38"/>
        <v>138</v>
      </c>
      <c r="BI139">
        <f t="shared" si="39"/>
        <v>138</v>
      </c>
      <c r="BO139">
        <f t="shared" si="40"/>
        <v>138</v>
      </c>
    </row>
    <row r="140" spans="13:71" x14ac:dyDescent="0.3">
      <c r="M140">
        <f t="shared" si="31"/>
        <v>139</v>
      </c>
      <c r="N140" t="s">
        <v>1516</v>
      </c>
      <c r="O140" s="334" t="s">
        <v>2127</v>
      </c>
      <c r="P140" s="334" t="s">
        <v>2113</v>
      </c>
      <c r="Q140" s="334" t="s">
        <v>2099</v>
      </c>
      <c r="S140">
        <f t="shared" si="32"/>
        <v>139</v>
      </c>
      <c r="Y140">
        <f t="shared" si="33"/>
        <v>139</v>
      </c>
      <c r="AE140">
        <f t="shared" si="34"/>
        <v>139</v>
      </c>
      <c r="AK140">
        <f t="shared" si="35"/>
        <v>139</v>
      </c>
      <c r="AQ140">
        <f t="shared" si="36"/>
        <v>139</v>
      </c>
      <c r="AW140">
        <f t="shared" si="37"/>
        <v>139</v>
      </c>
      <c r="BC140">
        <f t="shared" si="38"/>
        <v>139</v>
      </c>
      <c r="BI140">
        <f t="shared" si="39"/>
        <v>139</v>
      </c>
      <c r="BO140">
        <f t="shared" si="40"/>
        <v>139</v>
      </c>
    </row>
    <row r="141" spans="13:71" x14ac:dyDescent="0.3">
      <c r="M141">
        <f t="shared" si="31"/>
        <v>140</v>
      </c>
      <c r="N141" t="s">
        <v>1517</v>
      </c>
      <c r="O141" s="334" t="s">
        <v>2128</v>
      </c>
      <c r="P141" s="334" t="s">
        <v>2114</v>
      </c>
      <c r="Q141" s="334" t="s">
        <v>2100</v>
      </c>
      <c r="S141">
        <f t="shared" si="32"/>
        <v>140</v>
      </c>
      <c r="Y141">
        <f t="shared" si="33"/>
        <v>140</v>
      </c>
      <c r="AE141">
        <f t="shared" si="34"/>
        <v>140</v>
      </c>
      <c r="AK141">
        <f t="shared" si="35"/>
        <v>140</v>
      </c>
      <c r="AQ141">
        <f t="shared" si="36"/>
        <v>140</v>
      </c>
      <c r="AW141">
        <f t="shared" si="37"/>
        <v>140</v>
      </c>
      <c r="BC141">
        <f t="shared" si="38"/>
        <v>140</v>
      </c>
      <c r="BI141">
        <f t="shared" si="39"/>
        <v>140</v>
      </c>
      <c r="BO141">
        <f t="shared" si="40"/>
        <v>140</v>
      </c>
    </row>
    <row r="142" spans="13:71" x14ac:dyDescent="0.3">
      <c r="M142">
        <f t="shared" si="31"/>
        <v>141</v>
      </c>
      <c r="N142" t="s">
        <v>1518</v>
      </c>
      <c r="O142" s="334" t="s">
        <v>2129</v>
      </c>
      <c r="P142" s="334" t="s">
        <v>2115</v>
      </c>
      <c r="Q142" s="334" t="s">
        <v>2101</v>
      </c>
      <c r="S142">
        <f t="shared" si="32"/>
        <v>141</v>
      </c>
      <c r="T142" t="s">
        <v>72</v>
      </c>
      <c r="U142" t="s">
        <v>386</v>
      </c>
      <c r="V142" t="s">
        <v>387</v>
      </c>
      <c r="W142" t="s">
        <v>388</v>
      </c>
      <c r="Y142">
        <f t="shared" si="33"/>
        <v>141</v>
      </c>
      <c r="AE142">
        <f t="shared" si="34"/>
        <v>141</v>
      </c>
      <c r="AF142" t="s">
        <v>2464</v>
      </c>
      <c r="AG142" t="s">
        <v>2463</v>
      </c>
      <c r="AH142" t="s">
        <v>2467</v>
      </c>
      <c r="AI142" t="s">
        <v>2470</v>
      </c>
      <c r="AK142">
        <f t="shared" si="35"/>
        <v>141</v>
      </c>
      <c r="AL142" t="s">
        <v>468</v>
      </c>
      <c r="AM142" t="s">
        <v>2288</v>
      </c>
      <c r="AN142" t="s">
        <v>2289</v>
      </c>
      <c r="AO142" t="s">
        <v>469</v>
      </c>
      <c r="AQ142">
        <f t="shared" si="36"/>
        <v>141</v>
      </c>
      <c r="AR142" t="s">
        <v>1090</v>
      </c>
      <c r="AS142" t="s">
        <v>2290</v>
      </c>
      <c r="AT142" t="s">
        <v>2291</v>
      </c>
      <c r="AU142" t="s">
        <v>1081</v>
      </c>
      <c r="AW142">
        <f t="shared" si="37"/>
        <v>141</v>
      </c>
      <c r="AX142" t="s">
        <v>1723</v>
      </c>
      <c r="AY142" t="s">
        <v>1720</v>
      </c>
      <c r="AZ142" t="s">
        <v>1721</v>
      </c>
      <c r="BA142" t="s">
        <v>1722</v>
      </c>
      <c r="BC142">
        <f t="shared" si="38"/>
        <v>141</v>
      </c>
      <c r="BI142">
        <f t="shared" si="39"/>
        <v>141</v>
      </c>
      <c r="BJ142" t="s">
        <v>2540</v>
      </c>
      <c r="BK142" s="334" t="s">
        <v>2591</v>
      </c>
      <c r="BL142" s="334" t="s">
        <v>2592</v>
      </c>
      <c r="BM142" s="334" t="s">
        <v>2593</v>
      </c>
      <c r="BO142">
        <f t="shared" si="40"/>
        <v>141</v>
      </c>
    </row>
    <row r="143" spans="13:71" x14ac:dyDescent="0.3">
      <c r="M143">
        <f t="shared" si="31"/>
        <v>142</v>
      </c>
      <c r="N143" t="s">
        <v>1519</v>
      </c>
      <c r="O143" s="334" t="s">
        <v>2130</v>
      </c>
      <c r="P143" s="334" t="s">
        <v>2116</v>
      </c>
      <c r="Q143" s="334" t="s">
        <v>2102</v>
      </c>
      <c r="S143">
        <f t="shared" si="32"/>
        <v>142</v>
      </c>
      <c r="T143" t="s">
        <v>73</v>
      </c>
      <c r="U143" t="s">
        <v>2292</v>
      </c>
      <c r="V143" t="s">
        <v>2293</v>
      </c>
      <c r="W143" t="s">
        <v>2294</v>
      </c>
      <c r="Y143">
        <f t="shared" si="33"/>
        <v>142</v>
      </c>
      <c r="AE143">
        <f t="shared" si="34"/>
        <v>142</v>
      </c>
      <c r="AF143" t="s">
        <v>2454</v>
      </c>
      <c r="AG143" t="s">
        <v>2460</v>
      </c>
      <c r="AH143" t="s">
        <v>2450</v>
      </c>
      <c r="AI143" t="s">
        <v>2468</v>
      </c>
      <c r="AK143">
        <f t="shared" si="35"/>
        <v>142</v>
      </c>
      <c r="AL143" t="s">
        <v>2515</v>
      </c>
      <c r="AM143" t="s">
        <v>2513</v>
      </c>
      <c r="AN143" t="s">
        <v>2511</v>
      </c>
      <c r="AO143" t="s">
        <v>2509</v>
      </c>
      <c r="AQ143">
        <f t="shared" si="36"/>
        <v>142</v>
      </c>
      <c r="AR143" t="s">
        <v>1091</v>
      </c>
      <c r="AS143" t="s">
        <v>2296</v>
      </c>
      <c r="AT143" t="s">
        <v>1077</v>
      </c>
      <c r="AU143" t="s">
        <v>1082</v>
      </c>
      <c r="AW143">
        <f t="shared" si="37"/>
        <v>142</v>
      </c>
      <c r="BC143">
        <f t="shared" si="38"/>
        <v>142</v>
      </c>
      <c r="BI143">
        <f t="shared" si="39"/>
        <v>142</v>
      </c>
      <c r="BO143">
        <f t="shared" si="40"/>
        <v>142</v>
      </c>
    </row>
    <row r="144" spans="13:71" x14ac:dyDescent="0.3">
      <c r="M144">
        <f t="shared" si="31"/>
        <v>143</v>
      </c>
      <c r="N144" t="s">
        <v>1520</v>
      </c>
      <c r="O144" s="334" t="s">
        <v>2131</v>
      </c>
      <c r="P144" s="334" t="s">
        <v>2117</v>
      </c>
      <c r="Q144" s="334" t="s">
        <v>2103</v>
      </c>
      <c r="S144">
        <f t="shared" si="32"/>
        <v>143</v>
      </c>
      <c r="T144" t="s">
        <v>2544</v>
      </c>
      <c r="U144" t="s">
        <v>2545</v>
      </c>
      <c r="V144" t="s">
        <v>2546</v>
      </c>
      <c r="W144" t="s">
        <v>2547</v>
      </c>
      <c r="Y144">
        <f t="shared" si="33"/>
        <v>143</v>
      </c>
      <c r="AE144">
        <f t="shared" si="34"/>
        <v>143</v>
      </c>
      <c r="AF144" t="s">
        <v>2455</v>
      </c>
      <c r="AG144" t="s">
        <v>2461</v>
      </c>
      <c r="AH144" t="s">
        <v>2451</v>
      </c>
      <c r="AI144" t="s">
        <v>2469</v>
      </c>
      <c r="AK144">
        <f t="shared" si="35"/>
        <v>143</v>
      </c>
      <c r="AL144" t="s">
        <v>2516</v>
      </c>
      <c r="AM144" t="s">
        <v>2514</v>
      </c>
      <c r="AN144" t="s">
        <v>2512</v>
      </c>
      <c r="AO144" t="s">
        <v>2510</v>
      </c>
      <c r="AQ144">
        <f t="shared" si="36"/>
        <v>143</v>
      </c>
      <c r="AW144">
        <f t="shared" si="37"/>
        <v>143</v>
      </c>
      <c r="BC144">
        <f t="shared" si="38"/>
        <v>143</v>
      </c>
      <c r="BI144">
        <f t="shared" si="39"/>
        <v>143</v>
      </c>
      <c r="BO144">
        <f t="shared" si="40"/>
        <v>143</v>
      </c>
    </row>
    <row r="145" spans="13:67" x14ac:dyDescent="0.3">
      <c r="M145">
        <f t="shared" si="31"/>
        <v>144</v>
      </c>
      <c r="N145" t="s">
        <v>1521</v>
      </c>
      <c r="O145" s="334" t="s">
        <v>2132</v>
      </c>
      <c r="P145" s="334" t="s">
        <v>2118</v>
      </c>
      <c r="Q145" s="334" t="s">
        <v>2104</v>
      </c>
      <c r="S145">
        <f t="shared" si="32"/>
        <v>144</v>
      </c>
      <c r="Y145">
        <f t="shared" si="33"/>
        <v>144</v>
      </c>
      <c r="AE145">
        <f t="shared" si="34"/>
        <v>144</v>
      </c>
      <c r="AF145" t="s">
        <v>2465</v>
      </c>
      <c r="AG145" t="s">
        <v>2462</v>
      </c>
      <c r="AH145" t="s">
        <v>2466</v>
      </c>
      <c r="AI145" t="s">
        <v>2471</v>
      </c>
      <c r="AK145">
        <f t="shared" si="35"/>
        <v>144</v>
      </c>
      <c r="AQ145">
        <f t="shared" si="36"/>
        <v>144</v>
      </c>
      <c r="AW145">
        <f t="shared" si="37"/>
        <v>144</v>
      </c>
      <c r="BC145">
        <f t="shared" si="38"/>
        <v>144</v>
      </c>
      <c r="BI145">
        <f t="shared" si="39"/>
        <v>144</v>
      </c>
      <c r="BO145">
        <f t="shared" si="40"/>
        <v>144</v>
      </c>
    </row>
    <row r="146" spans="13:67" x14ac:dyDescent="0.3">
      <c r="M146">
        <f t="shared" si="31"/>
        <v>145</v>
      </c>
      <c r="N146" t="s">
        <v>1515</v>
      </c>
      <c r="O146" s="334" t="s">
        <v>2125</v>
      </c>
      <c r="P146" s="334" t="s">
        <v>449</v>
      </c>
      <c r="Q146" s="334" t="s">
        <v>251</v>
      </c>
      <c r="S146">
        <f t="shared" si="32"/>
        <v>145</v>
      </c>
      <c r="Y146">
        <f t="shared" si="33"/>
        <v>145</v>
      </c>
      <c r="AE146">
        <f t="shared" si="34"/>
        <v>145</v>
      </c>
      <c r="AF146" t="s">
        <v>2456</v>
      </c>
      <c r="AG146" t="s">
        <v>2456</v>
      </c>
      <c r="AH146" t="s">
        <v>2452</v>
      </c>
      <c r="AI146" t="s">
        <v>2456</v>
      </c>
      <c r="AK146">
        <f t="shared" si="35"/>
        <v>145</v>
      </c>
      <c r="AQ146">
        <f t="shared" si="36"/>
        <v>145</v>
      </c>
      <c r="AW146">
        <f t="shared" si="37"/>
        <v>145</v>
      </c>
      <c r="BC146">
        <f t="shared" si="38"/>
        <v>145</v>
      </c>
      <c r="BI146">
        <f t="shared" si="39"/>
        <v>145</v>
      </c>
      <c r="BO146">
        <f t="shared" si="40"/>
        <v>145</v>
      </c>
    </row>
    <row r="147" spans="13:67" x14ac:dyDescent="0.3">
      <c r="M147">
        <f t="shared" si="31"/>
        <v>146</v>
      </c>
      <c r="O147" s="334"/>
      <c r="P147" s="334"/>
      <c r="Q147" s="334"/>
      <c r="S147">
        <f t="shared" si="32"/>
        <v>146</v>
      </c>
      <c r="Y147">
        <f t="shared" si="33"/>
        <v>146</v>
      </c>
      <c r="AE147">
        <f t="shared" si="34"/>
        <v>146</v>
      </c>
      <c r="AF147" t="s">
        <v>2457</v>
      </c>
      <c r="AG147" t="s">
        <v>2457</v>
      </c>
      <c r="AH147" t="s">
        <v>2453</v>
      </c>
      <c r="AI147" t="s">
        <v>2457</v>
      </c>
      <c r="AK147">
        <f t="shared" si="35"/>
        <v>146</v>
      </c>
      <c r="AQ147">
        <f t="shared" si="36"/>
        <v>146</v>
      </c>
      <c r="AW147">
        <f t="shared" si="37"/>
        <v>146</v>
      </c>
      <c r="BC147">
        <f t="shared" si="38"/>
        <v>146</v>
      </c>
      <c r="BI147">
        <f t="shared" si="39"/>
        <v>146</v>
      </c>
      <c r="BO147">
        <f t="shared" si="40"/>
        <v>146</v>
      </c>
    </row>
    <row r="148" spans="13:67" x14ac:dyDescent="0.3">
      <c r="M148">
        <f t="shared" si="31"/>
        <v>147</v>
      </c>
      <c r="O148" s="334"/>
      <c r="P148" s="334"/>
      <c r="Q148" s="334"/>
      <c r="S148">
        <f t="shared" si="32"/>
        <v>147</v>
      </c>
      <c r="Y148">
        <f t="shared" si="33"/>
        <v>147</v>
      </c>
      <c r="AE148">
        <f t="shared" si="34"/>
        <v>147</v>
      </c>
      <c r="AK148">
        <f t="shared" si="35"/>
        <v>147</v>
      </c>
      <c r="AQ148">
        <f t="shared" si="36"/>
        <v>147</v>
      </c>
      <c r="AW148">
        <f t="shared" si="37"/>
        <v>147</v>
      </c>
      <c r="BC148">
        <f t="shared" si="38"/>
        <v>147</v>
      </c>
      <c r="BI148">
        <f t="shared" si="39"/>
        <v>147</v>
      </c>
      <c r="BO148">
        <f t="shared" si="40"/>
        <v>147</v>
      </c>
    </row>
    <row r="149" spans="13:67" x14ac:dyDescent="0.3">
      <c r="M149">
        <f t="shared" si="31"/>
        <v>148</v>
      </c>
      <c r="O149" s="334"/>
      <c r="P149" s="334"/>
      <c r="Q149" s="334"/>
      <c r="S149">
        <f t="shared" si="32"/>
        <v>148</v>
      </c>
      <c r="Y149">
        <f t="shared" si="33"/>
        <v>148</v>
      </c>
      <c r="AE149">
        <f t="shared" si="34"/>
        <v>148</v>
      </c>
      <c r="AK149">
        <f t="shared" si="35"/>
        <v>148</v>
      </c>
      <c r="AQ149">
        <f t="shared" si="36"/>
        <v>148</v>
      </c>
      <c r="AW149">
        <f t="shared" si="37"/>
        <v>148</v>
      </c>
      <c r="BC149">
        <f t="shared" si="38"/>
        <v>148</v>
      </c>
      <c r="BI149">
        <f t="shared" si="39"/>
        <v>148</v>
      </c>
      <c r="BO149">
        <f t="shared" si="40"/>
        <v>148</v>
      </c>
    </row>
    <row r="150" spans="13:67" x14ac:dyDescent="0.3">
      <c r="M150">
        <f t="shared" si="31"/>
        <v>149</v>
      </c>
      <c r="O150" s="334"/>
      <c r="P150" s="334"/>
      <c r="Q150" s="334"/>
      <c r="S150">
        <f t="shared" si="32"/>
        <v>149</v>
      </c>
      <c r="Y150">
        <f t="shared" si="33"/>
        <v>149</v>
      </c>
      <c r="AE150">
        <f t="shared" si="34"/>
        <v>149</v>
      </c>
      <c r="AK150">
        <f t="shared" si="35"/>
        <v>149</v>
      </c>
      <c r="AQ150">
        <f t="shared" si="36"/>
        <v>149</v>
      </c>
      <c r="AW150">
        <f t="shared" si="37"/>
        <v>149</v>
      </c>
      <c r="BC150">
        <f t="shared" si="38"/>
        <v>149</v>
      </c>
      <c r="BI150">
        <f t="shared" si="39"/>
        <v>149</v>
      </c>
      <c r="BO150">
        <f t="shared" si="40"/>
        <v>149</v>
      </c>
    </row>
    <row r="151" spans="13:67" x14ac:dyDescent="0.3">
      <c r="M151">
        <f t="shared" si="31"/>
        <v>150</v>
      </c>
      <c r="O151" s="334"/>
      <c r="P151" s="334"/>
      <c r="Q151" s="334"/>
      <c r="S151">
        <f t="shared" si="32"/>
        <v>150</v>
      </c>
      <c r="Y151">
        <f t="shared" si="33"/>
        <v>150</v>
      </c>
      <c r="AE151">
        <f t="shared" si="34"/>
        <v>150</v>
      </c>
      <c r="AK151">
        <f t="shared" si="35"/>
        <v>150</v>
      </c>
      <c r="AQ151">
        <f t="shared" si="36"/>
        <v>150</v>
      </c>
      <c r="AW151">
        <f t="shared" si="37"/>
        <v>150</v>
      </c>
      <c r="BC151">
        <f t="shared" si="38"/>
        <v>150</v>
      </c>
      <c r="BI151">
        <f t="shared" si="39"/>
        <v>150</v>
      </c>
      <c r="BO151">
        <f t="shared" si="40"/>
        <v>150</v>
      </c>
    </row>
    <row r="152" spans="13:67" x14ac:dyDescent="0.3">
      <c r="M152">
        <f t="shared" ref="M152:M183" si="41">ROW()-1</f>
        <v>151</v>
      </c>
      <c r="N152" t="s">
        <v>781</v>
      </c>
      <c r="O152" s="334" t="s">
        <v>903</v>
      </c>
      <c r="P152" s="334" t="s">
        <v>902</v>
      </c>
      <c r="Q152" s="334" t="s">
        <v>2135</v>
      </c>
      <c r="S152">
        <f>ROW()-1</f>
        <v>151</v>
      </c>
      <c r="T152" t="s">
        <v>1348</v>
      </c>
      <c r="U152" t="s">
        <v>2298</v>
      </c>
      <c r="V152" t="s">
        <v>2299</v>
      </c>
      <c r="W152" t="s">
        <v>1391</v>
      </c>
      <c r="AE152">
        <f t="shared" ref="AE152:AE183" si="42">ROW()-1</f>
        <v>151</v>
      </c>
      <c r="AF152" t="s">
        <v>2476</v>
      </c>
      <c r="AG152" t="s">
        <v>2503</v>
      </c>
      <c r="AH152" t="s">
        <v>2481</v>
      </c>
      <c r="AI152" t="s">
        <v>2473</v>
      </c>
      <c r="AW152">
        <f t="shared" ref="AW152:AW156" si="43">ROW()-1</f>
        <v>151</v>
      </c>
      <c r="AX152" t="s">
        <v>1588</v>
      </c>
      <c r="AY152" t="s">
        <v>2300</v>
      </c>
      <c r="AZ152" t="s">
        <v>1742</v>
      </c>
      <c r="BA152" t="s">
        <v>1744</v>
      </c>
    </row>
    <row r="153" spans="13:67" x14ac:dyDescent="0.3">
      <c r="M153">
        <f t="shared" si="41"/>
        <v>152</v>
      </c>
      <c r="N153" t="s">
        <v>1593</v>
      </c>
      <c r="O153" s="334" t="s">
        <v>2139</v>
      </c>
      <c r="P153" s="334" t="s">
        <v>2136</v>
      </c>
      <c r="Q153" s="334" t="s">
        <v>2139</v>
      </c>
      <c r="S153">
        <f t="shared" ref="S153:S159" si="44">ROW()-1</f>
        <v>152</v>
      </c>
      <c r="T153" t="s">
        <v>1349</v>
      </c>
      <c r="U153" t="s">
        <v>1363</v>
      </c>
      <c r="V153" t="s">
        <v>1378</v>
      </c>
      <c r="W153" t="s">
        <v>1392</v>
      </c>
      <c r="AE153">
        <f t="shared" si="42"/>
        <v>152</v>
      </c>
      <c r="AF153" t="s">
        <v>2478</v>
      </c>
      <c r="AG153" t="s">
        <v>2479</v>
      </c>
      <c r="AH153" t="s">
        <v>2482</v>
      </c>
      <c r="AI153" t="s">
        <v>2474</v>
      </c>
      <c r="AW153">
        <f t="shared" si="43"/>
        <v>152</v>
      </c>
      <c r="AX153" t="s">
        <v>1740</v>
      </c>
      <c r="AY153" t="s">
        <v>2301</v>
      </c>
      <c r="AZ153" t="s">
        <v>1743</v>
      </c>
      <c r="BA153" t="s">
        <v>1745</v>
      </c>
    </row>
    <row r="154" spans="13:67" x14ac:dyDescent="0.3">
      <c r="M154">
        <f t="shared" si="41"/>
        <v>153</v>
      </c>
      <c r="N154" t="s">
        <v>1594</v>
      </c>
      <c r="O154" s="334" t="s">
        <v>2140</v>
      </c>
      <c r="P154" s="334" t="s">
        <v>2137</v>
      </c>
      <c r="Q154" s="334" t="s">
        <v>2138</v>
      </c>
      <c r="S154">
        <f t="shared" si="44"/>
        <v>153</v>
      </c>
      <c r="T154" t="s">
        <v>1350</v>
      </c>
      <c r="U154" t="s">
        <v>1364</v>
      </c>
      <c r="V154" t="s">
        <v>1379</v>
      </c>
      <c r="W154" t="s">
        <v>1393</v>
      </c>
      <c r="AE154">
        <f t="shared" si="42"/>
        <v>153</v>
      </c>
      <c r="AF154" t="s">
        <v>2477</v>
      </c>
      <c r="AG154" t="s">
        <v>2480</v>
      </c>
      <c r="AH154" t="s">
        <v>2483</v>
      </c>
      <c r="AI154" t="s">
        <v>2475</v>
      </c>
      <c r="AW154">
        <f t="shared" si="43"/>
        <v>153</v>
      </c>
      <c r="AX154" t="s">
        <v>822</v>
      </c>
      <c r="AY154" t="s">
        <v>2276</v>
      </c>
      <c r="AZ154" t="s">
        <v>2277</v>
      </c>
      <c r="BA154" t="s">
        <v>1204</v>
      </c>
    </row>
    <row r="155" spans="13:67" x14ac:dyDescent="0.3">
      <c r="M155">
        <f t="shared" si="41"/>
        <v>154</v>
      </c>
      <c r="N155" t="s">
        <v>767</v>
      </c>
      <c r="O155" s="334" t="s">
        <v>919</v>
      </c>
      <c r="P155" s="334" t="s">
        <v>923</v>
      </c>
      <c r="Q155" s="334" t="s">
        <v>940</v>
      </c>
      <c r="S155">
        <f t="shared" si="44"/>
        <v>154</v>
      </c>
      <c r="T155" t="s">
        <v>1351</v>
      </c>
      <c r="U155" t="s">
        <v>1365</v>
      </c>
      <c r="V155" t="s">
        <v>2302</v>
      </c>
      <c r="W155" t="s">
        <v>1394</v>
      </c>
      <c r="AE155">
        <f t="shared" si="42"/>
        <v>154</v>
      </c>
      <c r="AW155">
        <f t="shared" si="43"/>
        <v>154</v>
      </c>
    </row>
    <row r="156" spans="13:67" x14ac:dyDescent="0.3">
      <c r="M156">
        <f t="shared" si="41"/>
        <v>155</v>
      </c>
      <c r="N156" t="s">
        <v>1589</v>
      </c>
      <c r="O156" s="334" t="s">
        <v>1591</v>
      </c>
      <c r="P156" s="334" t="s">
        <v>1592</v>
      </c>
      <c r="Q156" s="334" t="s">
        <v>1590</v>
      </c>
      <c r="S156">
        <f t="shared" si="44"/>
        <v>155</v>
      </c>
      <c r="T156" t="s">
        <v>1352</v>
      </c>
      <c r="U156" t="s">
        <v>1366</v>
      </c>
      <c r="V156" t="s">
        <v>2303</v>
      </c>
      <c r="W156" t="s">
        <v>1395</v>
      </c>
      <c r="AE156">
        <f t="shared" si="42"/>
        <v>155</v>
      </c>
      <c r="AW156">
        <f t="shared" si="43"/>
        <v>155</v>
      </c>
    </row>
    <row r="157" spans="13:67" x14ac:dyDescent="0.3">
      <c r="M157">
        <f t="shared" si="41"/>
        <v>156</v>
      </c>
      <c r="N157" t="s">
        <v>954</v>
      </c>
      <c r="O157" s="334" t="s">
        <v>955</v>
      </c>
      <c r="P157" s="334" t="s">
        <v>924</v>
      </c>
      <c r="Q157" s="334" t="s">
        <v>956</v>
      </c>
      <c r="S157">
        <f t="shared" si="44"/>
        <v>156</v>
      </c>
      <c r="T157" t="s">
        <v>2565</v>
      </c>
      <c r="U157" t="s">
        <v>2566</v>
      </c>
      <c r="V157" t="s">
        <v>2567</v>
      </c>
      <c r="W157" t="s">
        <v>2568</v>
      </c>
      <c r="AE157">
        <f t="shared" si="42"/>
        <v>156</v>
      </c>
    </row>
    <row r="158" spans="13:67" x14ac:dyDescent="0.3">
      <c r="M158">
        <f t="shared" si="41"/>
        <v>157</v>
      </c>
      <c r="N158" t="s">
        <v>769</v>
      </c>
      <c r="O158" s="334" t="s">
        <v>909</v>
      </c>
      <c r="P158" s="334" t="s">
        <v>925</v>
      </c>
      <c r="Q158" s="334" t="s">
        <v>941</v>
      </c>
      <c r="S158">
        <f t="shared" si="44"/>
        <v>157</v>
      </c>
      <c r="T158" t="s">
        <v>2569</v>
      </c>
      <c r="U158" t="s">
        <v>2570</v>
      </c>
      <c r="V158" t="s">
        <v>2571</v>
      </c>
      <c r="W158" t="s">
        <v>2572</v>
      </c>
      <c r="AE158">
        <f t="shared" si="42"/>
        <v>157</v>
      </c>
    </row>
    <row r="159" spans="13:67" x14ac:dyDescent="0.3">
      <c r="M159">
        <f t="shared" si="41"/>
        <v>158</v>
      </c>
      <c r="N159" t="s">
        <v>770</v>
      </c>
      <c r="O159" s="334" t="s">
        <v>910</v>
      </c>
      <c r="P159" s="334" t="s">
        <v>926</v>
      </c>
      <c r="Q159" s="334" t="s">
        <v>942</v>
      </c>
      <c r="S159">
        <f t="shared" si="44"/>
        <v>158</v>
      </c>
      <c r="AE159">
        <f t="shared" si="42"/>
        <v>158</v>
      </c>
    </row>
    <row r="160" spans="13:67" x14ac:dyDescent="0.3">
      <c r="M160">
        <f t="shared" si="41"/>
        <v>159</v>
      </c>
      <c r="N160" t="s">
        <v>771</v>
      </c>
      <c r="O160" s="334" t="s">
        <v>911</v>
      </c>
      <c r="P160" s="334" t="s">
        <v>927</v>
      </c>
      <c r="Q160" s="334" t="s">
        <v>943</v>
      </c>
      <c r="AE160">
        <f t="shared" si="42"/>
        <v>159</v>
      </c>
    </row>
    <row r="161" spans="13:35" x14ac:dyDescent="0.3">
      <c r="M161">
        <f t="shared" si="41"/>
        <v>160</v>
      </c>
      <c r="N161" t="s">
        <v>571</v>
      </c>
      <c r="O161" s="334" t="s">
        <v>607</v>
      </c>
      <c r="P161" s="334" t="s">
        <v>928</v>
      </c>
      <c r="Q161" s="334" t="s">
        <v>675</v>
      </c>
      <c r="AE161">
        <f t="shared" si="42"/>
        <v>160</v>
      </c>
    </row>
    <row r="162" spans="13:35" x14ac:dyDescent="0.3">
      <c r="M162">
        <f t="shared" si="41"/>
        <v>161</v>
      </c>
      <c r="N162" t="s">
        <v>772</v>
      </c>
      <c r="O162" s="334" t="s">
        <v>608</v>
      </c>
      <c r="P162" s="334" t="s">
        <v>929</v>
      </c>
      <c r="Q162" s="334" t="s">
        <v>944</v>
      </c>
      <c r="AE162">
        <f t="shared" si="42"/>
        <v>161</v>
      </c>
      <c r="AF162" t="s">
        <v>2486</v>
      </c>
      <c r="AG162" t="s">
        <v>2489</v>
      </c>
      <c r="AH162" t="s">
        <v>2492</v>
      </c>
      <c r="AI162" t="s">
        <v>2496</v>
      </c>
    </row>
    <row r="163" spans="13:35" x14ac:dyDescent="0.3">
      <c r="M163">
        <f t="shared" si="41"/>
        <v>162</v>
      </c>
      <c r="N163" t="s">
        <v>773</v>
      </c>
      <c r="O163" s="334" t="s">
        <v>338</v>
      </c>
      <c r="P163" s="334" t="s">
        <v>930</v>
      </c>
      <c r="Q163" s="334" t="s">
        <v>340</v>
      </c>
      <c r="AE163">
        <f t="shared" si="42"/>
        <v>162</v>
      </c>
      <c r="AF163" t="s">
        <v>2484</v>
      </c>
      <c r="AG163" t="s">
        <v>2488</v>
      </c>
      <c r="AH163" t="s">
        <v>2493</v>
      </c>
      <c r="AI163" t="s">
        <v>2495</v>
      </c>
    </row>
    <row r="164" spans="13:35" x14ac:dyDescent="0.3">
      <c r="M164">
        <f t="shared" si="41"/>
        <v>163</v>
      </c>
      <c r="N164" t="s">
        <v>774</v>
      </c>
      <c r="O164" s="334" t="s">
        <v>912</v>
      </c>
      <c r="P164" s="334" t="s">
        <v>931</v>
      </c>
      <c r="Q164" s="334" t="s">
        <v>945</v>
      </c>
      <c r="AE164">
        <f t="shared" si="42"/>
        <v>163</v>
      </c>
      <c r="AF164" t="s">
        <v>2487</v>
      </c>
      <c r="AG164" t="s">
        <v>2490</v>
      </c>
      <c r="AH164" t="s">
        <v>2494</v>
      </c>
      <c r="AI164" t="s">
        <v>2497</v>
      </c>
    </row>
    <row r="165" spans="13:35" x14ac:dyDescent="0.3">
      <c r="M165">
        <f t="shared" si="41"/>
        <v>164</v>
      </c>
      <c r="N165" t="s">
        <v>775</v>
      </c>
      <c r="O165" s="334" t="s">
        <v>913</v>
      </c>
      <c r="P165" s="334" t="s">
        <v>932</v>
      </c>
      <c r="Q165" s="334" t="s">
        <v>946</v>
      </c>
      <c r="AE165">
        <f t="shared" si="42"/>
        <v>164</v>
      </c>
    </row>
    <row r="166" spans="13:35" x14ac:dyDescent="0.3">
      <c r="M166">
        <f t="shared" si="41"/>
        <v>165</v>
      </c>
      <c r="N166" t="s">
        <v>773</v>
      </c>
      <c r="O166" s="334" t="s">
        <v>338</v>
      </c>
      <c r="P166" s="334" t="s">
        <v>930</v>
      </c>
      <c r="Q166" s="334" t="s">
        <v>340</v>
      </c>
      <c r="AE166">
        <f t="shared" si="42"/>
        <v>165</v>
      </c>
    </row>
    <row r="167" spans="13:35" x14ac:dyDescent="0.3">
      <c r="M167">
        <f t="shared" si="41"/>
        <v>166</v>
      </c>
      <c r="N167" t="s">
        <v>776</v>
      </c>
      <c r="O167" s="334" t="s">
        <v>776</v>
      </c>
      <c r="P167" s="334" t="s">
        <v>776</v>
      </c>
      <c r="Q167" s="334" t="s">
        <v>776</v>
      </c>
      <c r="AE167">
        <f t="shared" si="42"/>
        <v>166</v>
      </c>
    </row>
    <row r="168" spans="13:35" x14ac:dyDescent="0.3">
      <c r="M168">
        <f t="shared" si="41"/>
        <v>167</v>
      </c>
      <c r="N168" t="s">
        <v>777</v>
      </c>
      <c r="O168" s="334" t="s">
        <v>914</v>
      </c>
      <c r="P168" s="334" t="s">
        <v>933</v>
      </c>
      <c r="Q168" s="334" t="s">
        <v>947</v>
      </c>
      <c r="AE168">
        <f t="shared" si="42"/>
        <v>167</v>
      </c>
    </row>
    <row r="169" spans="13:35" x14ac:dyDescent="0.3">
      <c r="M169">
        <f t="shared" si="41"/>
        <v>168</v>
      </c>
      <c r="N169" t="s">
        <v>957</v>
      </c>
      <c r="O169" s="334" t="s">
        <v>915</v>
      </c>
      <c r="P169" s="334" t="s">
        <v>934</v>
      </c>
      <c r="Q169" s="334" t="s">
        <v>958</v>
      </c>
      <c r="AE169">
        <f t="shared" si="42"/>
        <v>168</v>
      </c>
    </row>
    <row r="170" spans="13:35" x14ac:dyDescent="0.3">
      <c r="M170">
        <f t="shared" si="41"/>
        <v>169</v>
      </c>
      <c r="N170" t="s">
        <v>778</v>
      </c>
      <c r="O170" s="334" t="s">
        <v>916</v>
      </c>
      <c r="P170" s="334" t="s">
        <v>935</v>
      </c>
      <c r="Q170" s="334" t="s">
        <v>948</v>
      </c>
      <c r="AE170">
        <f t="shared" si="42"/>
        <v>169</v>
      </c>
    </row>
    <row r="171" spans="13:35" x14ac:dyDescent="0.3">
      <c r="M171">
        <f t="shared" si="41"/>
        <v>170</v>
      </c>
      <c r="N171" t="s">
        <v>773</v>
      </c>
      <c r="O171" s="334" t="s">
        <v>338</v>
      </c>
      <c r="P171" s="334" t="s">
        <v>930</v>
      </c>
      <c r="Q171" s="334" t="s">
        <v>340</v>
      </c>
      <c r="AE171">
        <f t="shared" si="42"/>
        <v>170</v>
      </c>
    </row>
    <row r="172" spans="13:35" x14ac:dyDescent="0.3">
      <c r="M172">
        <f t="shared" si="41"/>
        <v>171</v>
      </c>
      <c r="N172" t="s">
        <v>779</v>
      </c>
      <c r="O172" s="334" t="s">
        <v>917</v>
      </c>
      <c r="P172" s="334" t="s">
        <v>936</v>
      </c>
      <c r="Q172" s="334" t="s">
        <v>949</v>
      </c>
      <c r="AE172">
        <f t="shared" si="42"/>
        <v>171</v>
      </c>
    </row>
    <row r="173" spans="13:35" x14ac:dyDescent="0.3">
      <c r="M173">
        <f t="shared" si="41"/>
        <v>172</v>
      </c>
      <c r="N173" t="s">
        <v>780</v>
      </c>
      <c r="O173" s="334" t="s">
        <v>918</v>
      </c>
      <c r="P173" s="334" t="s">
        <v>937</v>
      </c>
      <c r="Q173" s="334" t="s">
        <v>950</v>
      </c>
      <c r="AE173">
        <f t="shared" si="42"/>
        <v>172</v>
      </c>
    </row>
    <row r="174" spans="13:35" x14ac:dyDescent="0.3">
      <c r="M174">
        <f t="shared" si="41"/>
        <v>173</v>
      </c>
      <c r="O174" s="334"/>
      <c r="P174" s="334"/>
      <c r="Q174" s="334"/>
      <c r="AE174">
        <f t="shared" si="42"/>
        <v>173</v>
      </c>
    </row>
    <row r="175" spans="13:35" x14ac:dyDescent="0.3">
      <c r="M175">
        <f t="shared" si="41"/>
        <v>174</v>
      </c>
      <c r="O175" s="334"/>
      <c r="P175" s="334"/>
      <c r="Q175" s="334"/>
      <c r="AE175">
        <f t="shared" si="42"/>
        <v>174</v>
      </c>
    </row>
    <row r="176" spans="13:35" x14ac:dyDescent="0.3">
      <c r="M176">
        <f t="shared" si="41"/>
        <v>175</v>
      </c>
      <c r="O176" s="334"/>
      <c r="P176" s="334"/>
      <c r="Q176" s="334"/>
      <c r="AE176">
        <f t="shared" si="42"/>
        <v>175</v>
      </c>
    </row>
    <row r="177" spans="13:31" x14ac:dyDescent="0.3">
      <c r="M177">
        <f t="shared" si="41"/>
        <v>176</v>
      </c>
      <c r="O177" s="334"/>
      <c r="P177" s="334"/>
      <c r="Q177" s="334"/>
      <c r="AE177">
        <f t="shared" si="42"/>
        <v>176</v>
      </c>
    </row>
    <row r="178" spans="13:31" x14ac:dyDescent="0.3">
      <c r="M178">
        <f t="shared" si="41"/>
        <v>177</v>
      </c>
      <c r="O178" s="334"/>
      <c r="P178" s="334"/>
      <c r="Q178" s="334"/>
      <c r="AE178">
        <f t="shared" si="42"/>
        <v>177</v>
      </c>
    </row>
    <row r="179" spans="13:31" x14ac:dyDescent="0.3">
      <c r="M179">
        <f t="shared" si="41"/>
        <v>178</v>
      </c>
      <c r="O179" s="334"/>
      <c r="P179" s="334"/>
      <c r="Q179" s="334"/>
      <c r="AE179">
        <f t="shared" si="42"/>
        <v>178</v>
      </c>
    </row>
    <row r="180" spans="13:31" x14ac:dyDescent="0.3">
      <c r="M180">
        <f t="shared" si="41"/>
        <v>179</v>
      </c>
      <c r="O180" s="334"/>
      <c r="P180" s="334"/>
      <c r="Q180" s="334"/>
      <c r="AE180">
        <f t="shared" si="42"/>
        <v>179</v>
      </c>
    </row>
    <row r="181" spans="13:31" x14ac:dyDescent="0.3">
      <c r="M181">
        <f t="shared" si="41"/>
        <v>180</v>
      </c>
      <c r="O181" s="334"/>
      <c r="P181" s="334"/>
      <c r="Q181" s="334"/>
      <c r="AE181">
        <f t="shared" si="42"/>
        <v>180</v>
      </c>
    </row>
    <row r="182" spans="13:31" x14ac:dyDescent="0.3">
      <c r="M182">
        <f t="shared" si="41"/>
        <v>181</v>
      </c>
      <c r="N182" t="s">
        <v>875</v>
      </c>
      <c r="O182" s="334" t="s">
        <v>972</v>
      </c>
      <c r="P182" s="334" t="s">
        <v>974</v>
      </c>
      <c r="Q182" s="334" t="s">
        <v>962</v>
      </c>
      <c r="AE182">
        <f t="shared" si="42"/>
        <v>181</v>
      </c>
    </row>
    <row r="183" spans="13:31" x14ac:dyDescent="0.3">
      <c r="M183">
        <f t="shared" si="41"/>
        <v>182</v>
      </c>
      <c r="N183" t="s">
        <v>876</v>
      </c>
      <c r="O183" s="334" t="s">
        <v>973</v>
      </c>
      <c r="P183" s="334" t="s">
        <v>975</v>
      </c>
      <c r="Q183" s="334" t="s">
        <v>963</v>
      </c>
      <c r="AE183">
        <f t="shared" si="42"/>
        <v>182</v>
      </c>
    </row>
    <row r="184" spans="13:31" x14ac:dyDescent="0.3">
      <c r="M184">
        <f t="shared" ref="M184:M215" si="45">ROW()-1</f>
        <v>183</v>
      </c>
      <c r="O184" s="334"/>
      <c r="P184" s="334"/>
      <c r="Q184" s="334"/>
      <c r="AE184">
        <f t="shared" ref="AE184:AE215" si="46">ROW()-1</f>
        <v>183</v>
      </c>
    </row>
    <row r="185" spans="13:31" x14ac:dyDescent="0.3">
      <c r="M185">
        <f t="shared" si="45"/>
        <v>184</v>
      </c>
      <c r="O185" s="334"/>
      <c r="P185" s="334"/>
      <c r="Q185" s="334"/>
      <c r="AE185">
        <f t="shared" si="46"/>
        <v>184</v>
      </c>
    </row>
    <row r="186" spans="13:31" x14ac:dyDescent="0.3">
      <c r="M186">
        <f t="shared" si="45"/>
        <v>185</v>
      </c>
      <c r="O186" s="334"/>
      <c r="P186" s="334"/>
      <c r="Q186" s="334"/>
      <c r="AE186">
        <f t="shared" si="46"/>
        <v>185</v>
      </c>
    </row>
    <row r="187" spans="13:31" x14ac:dyDescent="0.3">
      <c r="M187">
        <f t="shared" si="45"/>
        <v>186</v>
      </c>
      <c r="O187" s="334"/>
      <c r="P187" s="334"/>
      <c r="Q187" s="334"/>
      <c r="AE187">
        <f t="shared" si="46"/>
        <v>186</v>
      </c>
    </row>
    <row r="188" spans="13:31" x14ac:dyDescent="0.3">
      <c r="M188">
        <f t="shared" si="45"/>
        <v>187</v>
      </c>
      <c r="O188" s="334"/>
      <c r="P188" s="334"/>
      <c r="Q188" s="334"/>
      <c r="AE188">
        <f t="shared" si="46"/>
        <v>187</v>
      </c>
    </row>
    <row r="189" spans="13:31" x14ac:dyDescent="0.3">
      <c r="M189">
        <f t="shared" si="45"/>
        <v>188</v>
      </c>
      <c r="O189" s="334"/>
      <c r="P189" s="334"/>
      <c r="Q189" s="334"/>
      <c r="AE189">
        <f t="shared" si="46"/>
        <v>188</v>
      </c>
    </row>
    <row r="190" spans="13:31" x14ac:dyDescent="0.3">
      <c r="M190">
        <f t="shared" si="45"/>
        <v>189</v>
      </c>
      <c r="O190" s="334"/>
      <c r="P190" s="334"/>
      <c r="Q190" s="334"/>
      <c r="AE190">
        <f t="shared" si="46"/>
        <v>189</v>
      </c>
    </row>
    <row r="191" spans="13:31" x14ac:dyDescent="0.3">
      <c r="M191">
        <f t="shared" si="45"/>
        <v>190</v>
      </c>
      <c r="O191" s="334"/>
      <c r="P191" s="334"/>
      <c r="Q191" s="334"/>
      <c r="AE191">
        <f t="shared" si="46"/>
        <v>190</v>
      </c>
    </row>
    <row r="192" spans="13:31" x14ac:dyDescent="0.3">
      <c r="M192">
        <f t="shared" si="45"/>
        <v>191</v>
      </c>
      <c r="N192" t="s">
        <v>860</v>
      </c>
      <c r="O192" s="334" t="s">
        <v>994</v>
      </c>
      <c r="P192" s="334" t="s">
        <v>976</v>
      </c>
      <c r="Q192" s="334" t="s">
        <v>1014</v>
      </c>
      <c r="AE192">
        <f t="shared" si="46"/>
        <v>191</v>
      </c>
    </row>
    <row r="193" spans="13:35" x14ac:dyDescent="0.3">
      <c r="M193">
        <f t="shared" si="45"/>
        <v>192</v>
      </c>
      <c r="N193" t="s">
        <v>861</v>
      </c>
      <c r="O193" s="334" t="s">
        <v>995</v>
      </c>
      <c r="P193" s="334" t="s">
        <v>977</v>
      </c>
      <c r="Q193" s="334" t="s">
        <v>1015</v>
      </c>
      <c r="AE193">
        <f t="shared" si="46"/>
        <v>192</v>
      </c>
    </row>
    <row r="194" spans="13:35" x14ac:dyDescent="0.3">
      <c r="M194">
        <f t="shared" si="45"/>
        <v>193</v>
      </c>
      <c r="N194" t="s">
        <v>862</v>
      </c>
      <c r="O194" s="334" t="s">
        <v>996</v>
      </c>
      <c r="P194" s="334" t="s">
        <v>2304</v>
      </c>
      <c r="Q194" s="334" t="s">
        <v>1016</v>
      </c>
      <c r="AE194">
        <f t="shared" si="46"/>
        <v>193</v>
      </c>
    </row>
    <row r="195" spans="13:35" x14ac:dyDescent="0.3">
      <c r="M195">
        <f t="shared" si="45"/>
        <v>194</v>
      </c>
      <c r="N195" t="s">
        <v>863</v>
      </c>
      <c r="O195" s="334" t="s">
        <v>997</v>
      </c>
      <c r="P195" s="334" t="s">
        <v>978</v>
      </c>
      <c r="Q195" s="334" t="s">
        <v>1017</v>
      </c>
      <c r="AE195">
        <f t="shared" si="46"/>
        <v>194</v>
      </c>
    </row>
    <row r="196" spans="13:35" x14ac:dyDescent="0.3">
      <c r="M196">
        <f t="shared" si="45"/>
        <v>195</v>
      </c>
      <c r="N196" t="s">
        <v>864</v>
      </c>
      <c r="O196" s="334" t="s">
        <v>998</v>
      </c>
      <c r="P196" s="334" t="s">
        <v>979</v>
      </c>
      <c r="Q196" s="334" t="s">
        <v>1018</v>
      </c>
      <c r="AE196">
        <f t="shared" si="46"/>
        <v>195</v>
      </c>
    </row>
    <row r="197" spans="13:35" x14ac:dyDescent="0.3">
      <c r="M197">
        <f t="shared" si="45"/>
        <v>196</v>
      </c>
      <c r="N197" t="s">
        <v>865</v>
      </c>
      <c r="O197" s="334" t="s">
        <v>999</v>
      </c>
      <c r="P197" s="334" t="s">
        <v>980</v>
      </c>
      <c r="Q197" s="334" t="s">
        <v>1019</v>
      </c>
      <c r="AE197">
        <f t="shared" si="46"/>
        <v>196</v>
      </c>
    </row>
    <row r="198" spans="13:35" x14ac:dyDescent="0.3">
      <c r="M198">
        <f t="shared" si="45"/>
        <v>197</v>
      </c>
      <c r="N198" t="s">
        <v>866</v>
      </c>
      <c r="O198" s="334" t="s">
        <v>1000</v>
      </c>
      <c r="P198" s="334" t="s">
        <v>2305</v>
      </c>
      <c r="Q198" s="334" t="s">
        <v>1020</v>
      </c>
      <c r="AE198">
        <f t="shared" si="46"/>
        <v>197</v>
      </c>
    </row>
    <row r="199" spans="13:35" x14ac:dyDescent="0.3">
      <c r="M199">
        <f t="shared" si="45"/>
        <v>198</v>
      </c>
      <c r="N199" t="s">
        <v>867</v>
      </c>
      <c r="O199" s="334" t="s">
        <v>1001</v>
      </c>
      <c r="P199" s="334" t="s">
        <v>981</v>
      </c>
      <c r="Q199" s="334" t="s">
        <v>1021</v>
      </c>
      <c r="AE199">
        <f t="shared" si="46"/>
        <v>198</v>
      </c>
    </row>
    <row r="200" spans="13:35" x14ac:dyDescent="0.3">
      <c r="M200">
        <f t="shared" si="45"/>
        <v>199</v>
      </c>
      <c r="N200" t="s">
        <v>868</v>
      </c>
      <c r="O200" s="334" t="s">
        <v>1002</v>
      </c>
      <c r="P200" s="334" t="s">
        <v>982</v>
      </c>
      <c r="Q200" s="334" t="s">
        <v>1022</v>
      </c>
      <c r="AE200">
        <f t="shared" si="46"/>
        <v>199</v>
      </c>
    </row>
    <row r="201" spans="13:35" x14ac:dyDescent="0.3">
      <c r="M201">
        <f t="shared" si="45"/>
        <v>200</v>
      </c>
      <c r="N201" t="s">
        <v>869</v>
      </c>
      <c r="O201" s="334" t="s">
        <v>1003</v>
      </c>
      <c r="P201" s="334" t="s">
        <v>983</v>
      </c>
      <c r="Q201" s="334" t="s">
        <v>1023</v>
      </c>
      <c r="AE201">
        <f t="shared" si="46"/>
        <v>200</v>
      </c>
    </row>
    <row r="202" spans="13:35" x14ac:dyDescent="0.3">
      <c r="M202">
        <f t="shared" si="45"/>
        <v>201</v>
      </c>
      <c r="N202" t="s">
        <v>870</v>
      </c>
      <c r="O202" s="334" t="s">
        <v>1004</v>
      </c>
      <c r="P202" s="334" t="s">
        <v>2306</v>
      </c>
      <c r="Q202" s="334" t="s">
        <v>1024</v>
      </c>
      <c r="AE202">
        <f t="shared" si="46"/>
        <v>201</v>
      </c>
      <c r="AF202" t="s">
        <v>209</v>
      </c>
      <c r="AG202" t="s">
        <v>419</v>
      </c>
      <c r="AH202" t="s">
        <v>2263</v>
      </c>
      <c r="AI202" t="s">
        <v>433</v>
      </c>
    </row>
    <row r="203" spans="13:35" x14ac:dyDescent="0.3">
      <c r="M203">
        <f t="shared" si="45"/>
        <v>202</v>
      </c>
      <c r="N203" t="s">
        <v>871</v>
      </c>
      <c r="O203" s="334" t="s">
        <v>1005</v>
      </c>
      <c r="P203" s="334" t="s">
        <v>984</v>
      </c>
      <c r="Q203" s="334" t="s">
        <v>1025</v>
      </c>
      <c r="AE203">
        <f t="shared" si="46"/>
        <v>202</v>
      </c>
    </row>
    <row r="204" spans="13:35" x14ac:dyDescent="0.3">
      <c r="M204">
        <f t="shared" si="45"/>
        <v>203</v>
      </c>
      <c r="N204" t="s">
        <v>989</v>
      </c>
      <c r="O204" s="334" t="s">
        <v>1006</v>
      </c>
      <c r="P204" s="334" t="s">
        <v>985</v>
      </c>
      <c r="Q204" s="334" t="s">
        <v>1026</v>
      </c>
      <c r="AE204">
        <f t="shared" si="46"/>
        <v>203</v>
      </c>
    </row>
    <row r="205" spans="13:35" x14ac:dyDescent="0.3">
      <c r="M205">
        <f t="shared" si="45"/>
        <v>204</v>
      </c>
      <c r="N205" t="s">
        <v>990</v>
      </c>
      <c r="O205" s="334" t="s">
        <v>1007</v>
      </c>
      <c r="P205" s="334" t="s">
        <v>986</v>
      </c>
      <c r="Q205" s="334" t="s">
        <v>1027</v>
      </c>
      <c r="AE205">
        <f t="shared" si="46"/>
        <v>204</v>
      </c>
    </row>
    <row r="206" spans="13:35" x14ac:dyDescent="0.3">
      <c r="M206">
        <f t="shared" si="45"/>
        <v>205</v>
      </c>
      <c r="N206" t="s">
        <v>991</v>
      </c>
      <c r="O206" s="334" t="s">
        <v>1008</v>
      </c>
      <c r="P206" s="334" t="s">
        <v>1010</v>
      </c>
      <c r="Q206" s="334" t="s">
        <v>1028</v>
      </c>
      <c r="AE206">
        <f t="shared" si="46"/>
        <v>205</v>
      </c>
      <c r="AF206" s="334" t="s">
        <v>2535</v>
      </c>
      <c r="AG206" s="334" t="s">
        <v>2603</v>
      </c>
      <c r="AH206" s="334" t="s">
        <v>2604</v>
      </c>
      <c r="AI206" s="334" t="s">
        <v>2605</v>
      </c>
    </row>
    <row r="207" spans="13:35" x14ac:dyDescent="0.3">
      <c r="M207">
        <f t="shared" si="45"/>
        <v>206</v>
      </c>
      <c r="N207" t="s">
        <v>992</v>
      </c>
      <c r="O207" s="334" t="s">
        <v>1009</v>
      </c>
      <c r="P207" s="334" t="s">
        <v>1011</v>
      </c>
      <c r="Q207" s="334" t="s">
        <v>1029</v>
      </c>
      <c r="AE207">
        <f t="shared" si="46"/>
        <v>206</v>
      </c>
    </row>
    <row r="208" spans="13:35" x14ac:dyDescent="0.3">
      <c r="M208">
        <f t="shared" si="45"/>
        <v>207</v>
      </c>
      <c r="O208" s="334"/>
      <c r="P208" s="334"/>
      <c r="Q208" s="334"/>
      <c r="AE208">
        <f t="shared" si="46"/>
        <v>207</v>
      </c>
    </row>
    <row r="209" spans="13:35" x14ac:dyDescent="0.3">
      <c r="M209">
        <f t="shared" si="45"/>
        <v>208</v>
      </c>
      <c r="O209" s="334"/>
      <c r="P209" s="334"/>
      <c r="Q209" s="334"/>
      <c r="AE209">
        <f t="shared" si="46"/>
        <v>208</v>
      </c>
    </row>
    <row r="210" spans="13:35" x14ac:dyDescent="0.3">
      <c r="M210">
        <f t="shared" si="45"/>
        <v>209</v>
      </c>
      <c r="O210" s="334"/>
      <c r="P210" s="334"/>
      <c r="Q210" s="334"/>
      <c r="AE210">
        <f t="shared" si="46"/>
        <v>209</v>
      </c>
    </row>
    <row r="211" spans="13:35" x14ac:dyDescent="0.3">
      <c r="M211">
        <f t="shared" si="45"/>
        <v>210</v>
      </c>
      <c r="O211" s="334"/>
      <c r="P211" s="334"/>
      <c r="Q211" s="334"/>
      <c r="AE211">
        <f t="shared" si="46"/>
        <v>210</v>
      </c>
    </row>
    <row r="212" spans="13:35" x14ac:dyDescent="0.3">
      <c r="M212">
        <f t="shared" si="45"/>
        <v>211</v>
      </c>
      <c r="N212" t="s">
        <v>786</v>
      </c>
      <c r="O212" s="334" t="s">
        <v>1047</v>
      </c>
      <c r="P212" s="334" t="s">
        <v>1058</v>
      </c>
      <c r="Q212" s="334" t="s">
        <v>1032</v>
      </c>
      <c r="AE212">
        <f t="shared" si="46"/>
        <v>211</v>
      </c>
      <c r="AF212" t="s">
        <v>783</v>
      </c>
      <c r="AG212" t="s">
        <v>920</v>
      </c>
      <c r="AH212" t="s">
        <v>1132</v>
      </c>
      <c r="AI212" t="s">
        <v>1711</v>
      </c>
    </row>
    <row r="213" spans="13:35" x14ac:dyDescent="0.3">
      <c r="M213">
        <f t="shared" si="45"/>
        <v>212</v>
      </c>
      <c r="N213" t="s">
        <v>787</v>
      </c>
      <c r="O213" s="334" t="s">
        <v>1048</v>
      </c>
      <c r="P213" s="334" t="s">
        <v>1059</v>
      </c>
      <c r="Q213" s="334" t="s">
        <v>1033</v>
      </c>
      <c r="AE213">
        <f t="shared" si="46"/>
        <v>212</v>
      </c>
      <c r="AF213" t="s">
        <v>784</v>
      </c>
      <c r="AG213" t="s">
        <v>921</v>
      </c>
      <c r="AH213" t="s">
        <v>2295</v>
      </c>
      <c r="AI213" t="s">
        <v>952</v>
      </c>
    </row>
    <row r="214" spans="13:35" x14ac:dyDescent="0.3">
      <c r="M214">
        <f t="shared" si="45"/>
        <v>213</v>
      </c>
      <c r="N214" t="s">
        <v>788</v>
      </c>
      <c r="O214" s="334" t="s">
        <v>1049</v>
      </c>
      <c r="P214" s="334" t="s">
        <v>1060</v>
      </c>
      <c r="Q214" s="334" t="s">
        <v>1034</v>
      </c>
      <c r="AE214">
        <f t="shared" si="46"/>
        <v>213</v>
      </c>
      <c r="AF214" t="s">
        <v>1582</v>
      </c>
      <c r="AG214" t="s">
        <v>1702</v>
      </c>
      <c r="AH214" t="s">
        <v>1709</v>
      </c>
      <c r="AI214" t="s">
        <v>1712</v>
      </c>
    </row>
    <row r="215" spans="13:35" x14ac:dyDescent="0.3">
      <c r="M215">
        <f t="shared" si="45"/>
        <v>214</v>
      </c>
      <c r="N215" t="s">
        <v>789</v>
      </c>
      <c r="O215" s="334" t="s">
        <v>1050</v>
      </c>
      <c r="P215" s="334" t="s">
        <v>1061</v>
      </c>
      <c r="Q215" s="334" t="s">
        <v>1035</v>
      </c>
      <c r="AE215">
        <f t="shared" si="46"/>
        <v>214</v>
      </c>
      <c r="AF215" t="s">
        <v>1583</v>
      </c>
      <c r="AG215" t="s">
        <v>2297</v>
      </c>
      <c r="AH215" t="s">
        <v>1710</v>
      </c>
      <c r="AI215" t="s">
        <v>1713</v>
      </c>
    </row>
    <row r="216" spans="13:35" x14ac:dyDescent="0.3">
      <c r="M216">
        <f t="shared" ref="M216:M226" si="47">ROW()-1</f>
        <v>215</v>
      </c>
      <c r="N216" t="s">
        <v>791</v>
      </c>
      <c r="O216" s="334" t="s">
        <v>1051</v>
      </c>
      <c r="P216" s="334" t="s">
        <v>1062</v>
      </c>
      <c r="Q216" s="334" t="s">
        <v>1036</v>
      </c>
      <c r="AE216">
        <f t="shared" ref="AE216:AE239" si="48">ROW()-1</f>
        <v>215</v>
      </c>
      <c r="AF216" t="s">
        <v>1705</v>
      </c>
      <c r="AG216" t="s">
        <v>1706</v>
      </c>
      <c r="AH216" t="s">
        <v>1707</v>
      </c>
      <c r="AI216" t="s">
        <v>1708</v>
      </c>
    </row>
    <row r="217" spans="13:35" x14ac:dyDescent="0.3">
      <c r="M217">
        <f t="shared" si="47"/>
        <v>216</v>
      </c>
      <c r="N217" t="s">
        <v>793</v>
      </c>
      <c r="O217" s="334" t="s">
        <v>1052</v>
      </c>
      <c r="P217" s="334" t="s">
        <v>1063</v>
      </c>
      <c r="Q217" s="334" t="s">
        <v>1037</v>
      </c>
      <c r="AE217" s="334">
        <f t="shared" si="48"/>
        <v>216</v>
      </c>
      <c r="AF217" s="334" t="s">
        <v>2542</v>
      </c>
      <c r="AG217" s="334" t="s">
        <v>2606</v>
      </c>
      <c r="AH217" s="334" t="s">
        <v>2607</v>
      </c>
      <c r="AI217" s="334" t="s">
        <v>2608</v>
      </c>
    </row>
    <row r="218" spans="13:35" x14ac:dyDescent="0.3">
      <c r="M218">
        <f t="shared" si="47"/>
        <v>217</v>
      </c>
      <c r="N218" t="s">
        <v>794</v>
      </c>
      <c r="O218" s="334" t="s">
        <v>1053</v>
      </c>
      <c r="P218" s="334" t="s">
        <v>1053</v>
      </c>
      <c r="Q218" s="334" t="s">
        <v>1038</v>
      </c>
      <c r="AE218">
        <f t="shared" si="48"/>
        <v>217</v>
      </c>
    </row>
    <row r="219" spans="13:35" x14ac:dyDescent="0.3">
      <c r="M219">
        <f t="shared" si="47"/>
        <v>218</v>
      </c>
      <c r="N219" t="s">
        <v>795</v>
      </c>
      <c r="O219" s="334" t="s">
        <v>1054</v>
      </c>
      <c r="P219" s="334" t="s">
        <v>1064</v>
      </c>
      <c r="Q219" s="334" t="s">
        <v>1039</v>
      </c>
      <c r="AE219">
        <f t="shared" si="48"/>
        <v>218</v>
      </c>
    </row>
    <row r="220" spans="13:35" x14ac:dyDescent="0.3">
      <c r="M220">
        <f t="shared" si="47"/>
        <v>219</v>
      </c>
      <c r="N220" t="s">
        <v>796</v>
      </c>
      <c r="O220" s="334" t="s">
        <v>1055</v>
      </c>
      <c r="P220" s="334" t="s">
        <v>1065</v>
      </c>
      <c r="Q220" s="334" t="s">
        <v>1040</v>
      </c>
      <c r="AE220">
        <f t="shared" si="48"/>
        <v>219</v>
      </c>
    </row>
    <row r="221" spans="13:35" x14ac:dyDescent="0.3">
      <c r="M221">
        <f t="shared" si="47"/>
        <v>220</v>
      </c>
      <c r="O221" s="334"/>
      <c r="P221" s="334"/>
      <c r="Q221" s="334"/>
      <c r="AE221">
        <f t="shared" si="48"/>
        <v>220</v>
      </c>
    </row>
    <row r="222" spans="13:35" x14ac:dyDescent="0.3">
      <c r="M222">
        <f t="shared" si="47"/>
        <v>221</v>
      </c>
      <c r="N222" t="s">
        <v>1428</v>
      </c>
      <c r="O222" s="334" t="s">
        <v>2148</v>
      </c>
      <c r="P222" s="334" t="s">
        <v>2146</v>
      </c>
      <c r="Q222" s="334" t="s">
        <v>2153</v>
      </c>
      <c r="AE222">
        <f t="shared" si="48"/>
        <v>221</v>
      </c>
      <c r="AF222" t="s">
        <v>2556</v>
      </c>
      <c r="AG222" t="s">
        <v>2557</v>
      </c>
      <c r="AH222" t="s">
        <v>2558</v>
      </c>
      <c r="AI222" t="s">
        <v>2559</v>
      </c>
    </row>
    <row r="223" spans="13:35" x14ac:dyDescent="0.3">
      <c r="M223">
        <f t="shared" si="47"/>
        <v>222</v>
      </c>
      <c r="N223" t="s">
        <v>1429</v>
      </c>
      <c r="O223" s="334" t="s">
        <v>2149</v>
      </c>
      <c r="P223" s="334" t="s">
        <v>2147</v>
      </c>
      <c r="Q223" s="334" t="s">
        <v>2154</v>
      </c>
      <c r="AE223">
        <f t="shared" si="48"/>
        <v>222</v>
      </c>
      <c r="AF223" t="s">
        <v>2560</v>
      </c>
      <c r="AG223" t="s">
        <v>2561</v>
      </c>
      <c r="AH223" t="s">
        <v>2562</v>
      </c>
      <c r="AI223" t="s">
        <v>2563</v>
      </c>
    </row>
    <row r="224" spans="13:35" x14ac:dyDescent="0.3">
      <c r="M224">
        <f t="shared" si="47"/>
        <v>223</v>
      </c>
      <c r="N224" t="s">
        <v>1430</v>
      </c>
      <c r="O224" s="334" t="s">
        <v>2150</v>
      </c>
      <c r="P224" s="334" t="s">
        <v>2307</v>
      </c>
      <c r="Q224" s="334" t="s">
        <v>2155</v>
      </c>
      <c r="AE224">
        <f t="shared" si="48"/>
        <v>223</v>
      </c>
      <c r="AF224" t="s">
        <v>2403</v>
      </c>
      <c r="AG224" t="s">
        <v>2504</v>
      </c>
      <c r="AH224" t="s">
        <v>2505</v>
      </c>
      <c r="AI224" t="s">
        <v>2449</v>
      </c>
    </row>
    <row r="225" spans="13:35" x14ac:dyDescent="0.3">
      <c r="M225">
        <f t="shared" si="47"/>
        <v>224</v>
      </c>
      <c r="O225" s="334"/>
      <c r="P225" s="334"/>
      <c r="Q225" s="334"/>
      <c r="AE225">
        <f t="shared" si="48"/>
        <v>224</v>
      </c>
    </row>
    <row r="226" spans="13:35" x14ac:dyDescent="0.3">
      <c r="M226">
        <f t="shared" si="47"/>
        <v>225</v>
      </c>
      <c r="O226" s="334"/>
      <c r="P226" s="334"/>
      <c r="Q226" s="334"/>
      <c r="AE226">
        <f t="shared" si="48"/>
        <v>225</v>
      </c>
    </row>
    <row r="227" spans="13:35" x14ac:dyDescent="0.3">
      <c r="M227">
        <f t="shared" ref="M227:M258" si="49">ROW()-1</f>
        <v>226</v>
      </c>
      <c r="O227" s="334"/>
      <c r="P227" s="334"/>
      <c r="Q227" s="334"/>
      <c r="AE227">
        <f t="shared" si="48"/>
        <v>226</v>
      </c>
    </row>
    <row r="228" spans="13:35" x14ac:dyDescent="0.3">
      <c r="M228">
        <f t="shared" si="49"/>
        <v>227</v>
      </c>
      <c r="O228" s="334"/>
      <c r="P228" s="334"/>
      <c r="Q228" s="334"/>
      <c r="AE228">
        <f t="shared" si="48"/>
        <v>227</v>
      </c>
    </row>
    <row r="229" spans="13:35" x14ac:dyDescent="0.3">
      <c r="M229">
        <f t="shared" si="49"/>
        <v>228</v>
      </c>
      <c r="O229" s="334"/>
      <c r="P229" s="334"/>
      <c r="Q229" s="334"/>
      <c r="AE229">
        <f t="shared" si="48"/>
        <v>228</v>
      </c>
    </row>
    <row r="230" spans="13:35" x14ac:dyDescent="0.3">
      <c r="M230">
        <f t="shared" si="49"/>
        <v>229</v>
      </c>
      <c r="O230" s="334"/>
      <c r="P230" s="334"/>
      <c r="Q230" s="334"/>
      <c r="AE230">
        <f t="shared" si="48"/>
        <v>229</v>
      </c>
    </row>
    <row r="231" spans="13:35" x14ac:dyDescent="0.3">
      <c r="M231">
        <f t="shared" si="49"/>
        <v>230</v>
      </c>
      <c r="O231" s="334"/>
      <c r="P231" s="334"/>
      <c r="Q231" s="334"/>
      <c r="AE231">
        <f t="shared" si="48"/>
        <v>230</v>
      </c>
    </row>
    <row r="232" spans="13:35" x14ac:dyDescent="0.3">
      <c r="M232">
        <f t="shared" si="49"/>
        <v>231</v>
      </c>
      <c r="N232" t="s">
        <v>2160</v>
      </c>
      <c r="O232" s="334" t="s">
        <v>2172</v>
      </c>
      <c r="P232" s="334" t="s">
        <v>2158</v>
      </c>
      <c r="Q232" s="334" t="s">
        <v>2177</v>
      </c>
      <c r="AE232">
        <f t="shared" si="48"/>
        <v>231</v>
      </c>
      <c r="AF232" t="s">
        <v>2458</v>
      </c>
      <c r="AG232" t="s">
        <v>2459</v>
      </c>
      <c r="AH232" t="s">
        <v>2506</v>
      </c>
      <c r="AI232" t="s">
        <v>2472</v>
      </c>
    </row>
    <row r="233" spans="13:35" x14ac:dyDescent="0.3">
      <c r="M233">
        <f t="shared" si="49"/>
        <v>232</v>
      </c>
      <c r="N233" t="s">
        <v>2186</v>
      </c>
      <c r="O233" s="334" t="s">
        <v>2165</v>
      </c>
      <c r="P233" s="334" t="s">
        <v>2166</v>
      </c>
      <c r="Q233" s="334" t="s">
        <v>2178</v>
      </c>
      <c r="AE233">
        <f t="shared" si="48"/>
        <v>232</v>
      </c>
    </row>
    <row r="234" spans="13:35" x14ac:dyDescent="0.3">
      <c r="M234">
        <f t="shared" si="49"/>
        <v>233</v>
      </c>
      <c r="N234" t="s">
        <v>2161</v>
      </c>
      <c r="O234" s="334" t="s">
        <v>2173</v>
      </c>
      <c r="P234" s="334" t="s">
        <v>2167</v>
      </c>
      <c r="Q234" s="334" t="s">
        <v>2179</v>
      </c>
      <c r="AE234">
        <f t="shared" si="48"/>
        <v>233</v>
      </c>
    </row>
    <row r="235" spans="13:35" x14ac:dyDescent="0.3">
      <c r="M235">
        <f t="shared" si="49"/>
        <v>234</v>
      </c>
      <c r="N235" t="s">
        <v>2548</v>
      </c>
      <c r="O235" s="334" t="s">
        <v>2174</v>
      </c>
      <c r="P235" s="334" t="s">
        <v>2168</v>
      </c>
      <c r="Q235" s="334" t="s">
        <v>2180</v>
      </c>
      <c r="AE235">
        <f t="shared" si="48"/>
        <v>234</v>
      </c>
    </row>
    <row r="236" spans="13:35" x14ac:dyDescent="0.3">
      <c r="M236">
        <f t="shared" si="49"/>
        <v>235</v>
      </c>
      <c r="N236" t="s">
        <v>1523</v>
      </c>
      <c r="O236" s="334" t="s">
        <v>2175</v>
      </c>
      <c r="P236" s="334" t="s">
        <v>2159</v>
      </c>
      <c r="Q236" s="334" t="s">
        <v>2181</v>
      </c>
      <c r="AE236">
        <f t="shared" si="48"/>
        <v>235</v>
      </c>
    </row>
    <row r="237" spans="13:35" x14ac:dyDescent="0.3">
      <c r="M237">
        <f t="shared" si="49"/>
        <v>236</v>
      </c>
      <c r="O237" s="334"/>
      <c r="P237" s="334"/>
      <c r="Q237" s="334"/>
      <c r="AE237">
        <f t="shared" si="48"/>
        <v>236</v>
      </c>
    </row>
    <row r="238" spans="13:35" x14ac:dyDescent="0.3">
      <c r="M238">
        <f t="shared" si="49"/>
        <v>237</v>
      </c>
      <c r="O238" s="334"/>
      <c r="P238" s="334"/>
      <c r="Q238" s="334"/>
      <c r="AE238">
        <f t="shared" si="48"/>
        <v>237</v>
      </c>
    </row>
    <row r="239" spans="13:35" x14ac:dyDescent="0.3">
      <c r="M239">
        <f t="shared" si="49"/>
        <v>238</v>
      </c>
      <c r="O239" s="334"/>
      <c r="P239" s="334"/>
      <c r="Q239" s="334"/>
      <c r="AE239">
        <f t="shared" si="48"/>
        <v>238</v>
      </c>
    </row>
    <row r="240" spans="13:35" x14ac:dyDescent="0.3">
      <c r="M240">
        <f t="shared" si="49"/>
        <v>239</v>
      </c>
      <c r="O240" s="334"/>
      <c r="P240" s="334"/>
      <c r="Q240" s="334"/>
      <c r="AE240">
        <f t="shared" ref="AE240:AE246" si="50">ROW()-1</f>
        <v>239</v>
      </c>
    </row>
    <row r="241" spans="13:35" x14ac:dyDescent="0.3">
      <c r="M241">
        <f t="shared" si="49"/>
        <v>240</v>
      </c>
      <c r="O241" s="334"/>
      <c r="P241" s="334"/>
      <c r="Q241" s="334"/>
      <c r="AE241">
        <f t="shared" si="50"/>
        <v>240</v>
      </c>
    </row>
    <row r="242" spans="13:35" x14ac:dyDescent="0.3">
      <c r="M242">
        <f t="shared" si="49"/>
        <v>241</v>
      </c>
      <c r="N242" t="s">
        <v>1531</v>
      </c>
      <c r="O242" s="334" t="s">
        <v>1843</v>
      </c>
      <c r="P242" s="334" t="s">
        <v>2308</v>
      </c>
      <c r="Q242" s="334" t="s">
        <v>1827</v>
      </c>
      <c r="AE242">
        <f t="shared" si="50"/>
        <v>241</v>
      </c>
      <c r="AF242" t="s">
        <v>2534</v>
      </c>
      <c r="AG242" s="334" t="s">
        <v>2609</v>
      </c>
      <c r="AH242" s="334" t="s">
        <v>2610</v>
      </c>
      <c r="AI242" s="334" t="s">
        <v>2611</v>
      </c>
    </row>
    <row r="243" spans="13:35" x14ac:dyDescent="0.3">
      <c r="M243">
        <f t="shared" si="49"/>
        <v>242</v>
      </c>
      <c r="N243" t="s">
        <v>1532</v>
      </c>
      <c r="O243" s="334" t="s">
        <v>2309</v>
      </c>
      <c r="P243" s="334" t="s">
        <v>2310</v>
      </c>
      <c r="Q243" s="334" t="s">
        <v>1828</v>
      </c>
      <c r="AE243">
        <f t="shared" si="50"/>
        <v>242</v>
      </c>
    </row>
    <row r="244" spans="13:35" x14ac:dyDescent="0.3">
      <c r="M244">
        <f t="shared" si="49"/>
        <v>243</v>
      </c>
      <c r="N244" t="s">
        <v>1533</v>
      </c>
      <c r="O244" s="334" t="s">
        <v>1844</v>
      </c>
      <c r="P244" s="334" t="s">
        <v>2311</v>
      </c>
      <c r="Q244" s="334" t="s">
        <v>1829</v>
      </c>
      <c r="AE244">
        <f t="shared" si="50"/>
        <v>243</v>
      </c>
    </row>
    <row r="245" spans="13:35" x14ac:dyDescent="0.3">
      <c r="M245">
        <f t="shared" si="49"/>
        <v>244</v>
      </c>
      <c r="N245" t="s">
        <v>1534</v>
      </c>
      <c r="O245" s="334" t="s">
        <v>1845</v>
      </c>
      <c r="P245" s="334" t="s">
        <v>1853</v>
      </c>
      <c r="Q245" s="334" t="s">
        <v>1830</v>
      </c>
      <c r="AE245">
        <f t="shared" si="50"/>
        <v>244</v>
      </c>
    </row>
    <row r="246" spans="13:35" x14ac:dyDescent="0.3">
      <c r="M246">
        <f t="shared" si="49"/>
        <v>245</v>
      </c>
      <c r="N246" t="s">
        <v>1833</v>
      </c>
      <c r="O246" s="334" t="s">
        <v>2312</v>
      </c>
      <c r="P246" s="334" t="s">
        <v>2313</v>
      </c>
      <c r="Q246" s="334" t="s">
        <v>1834</v>
      </c>
      <c r="AE246">
        <f t="shared" si="50"/>
        <v>245</v>
      </c>
    </row>
    <row r="247" spans="13:35" x14ac:dyDescent="0.3">
      <c r="M247">
        <f t="shared" si="49"/>
        <v>246</v>
      </c>
      <c r="N247" t="s">
        <v>1566</v>
      </c>
      <c r="O247" s="334" t="s">
        <v>1846</v>
      </c>
      <c r="P247" s="334" t="s">
        <v>1855</v>
      </c>
      <c r="Q247" s="334" t="s">
        <v>1835</v>
      </c>
      <c r="AE247">
        <f t="shared" ref="AE247:AE254" si="51">ROW()-1</f>
        <v>246</v>
      </c>
    </row>
    <row r="248" spans="13:35" x14ac:dyDescent="0.3">
      <c r="M248">
        <f t="shared" si="49"/>
        <v>247</v>
      </c>
      <c r="N248" t="s">
        <v>2577</v>
      </c>
      <c r="O248" s="334" t="s">
        <v>2314</v>
      </c>
      <c r="P248" s="334" t="s">
        <v>2315</v>
      </c>
      <c r="Q248" s="334" t="s">
        <v>1831</v>
      </c>
      <c r="AE248">
        <f t="shared" si="51"/>
        <v>247</v>
      </c>
    </row>
    <row r="249" spans="13:35" x14ac:dyDescent="0.3">
      <c r="M249">
        <f t="shared" si="49"/>
        <v>248</v>
      </c>
      <c r="N249" t="s">
        <v>1535</v>
      </c>
      <c r="O249" s="334" t="s">
        <v>2316</v>
      </c>
      <c r="P249" s="334" t="s">
        <v>1854</v>
      </c>
      <c r="Q249" s="334" t="s">
        <v>1832</v>
      </c>
      <c r="AE249">
        <f t="shared" si="51"/>
        <v>248</v>
      </c>
    </row>
    <row r="250" spans="13:35" x14ac:dyDescent="0.3">
      <c r="M250">
        <f t="shared" si="49"/>
        <v>249</v>
      </c>
      <c r="N250" t="s">
        <v>1837</v>
      </c>
      <c r="O250" s="334" t="s">
        <v>1847</v>
      </c>
      <c r="P250" s="334" t="s">
        <v>1856</v>
      </c>
      <c r="Q250" s="334" t="s">
        <v>1836</v>
      </c>
      <c r="AE250">
        <f t="shared" si="51"/>
        <v>249</v>
      </c>
    </row>
    <row r="251" spans="13:35" x14ac:dyDescent="0.3">
      <c r="M251">
        <f t="shared" si="49"/>
        <v>250</v>
      </c>
      <c r="O251" s="334"/>
      <c r="P251" s="334"/>
      <c r="Q251" s="334"/>
      <c r="AE251">
        <f t="shared" si="51"/>
        <v>250</v>
      </c>
    </row>
    <row r="252" spans="13:35" x14ac:dyDescent="0.3">
      <c r="M252">
        <f t="shared" si="49"/>
        <v>251</v>
      </c>
      <c r="N252" t="s">
        <v>2549</v>
      </c>
      <c r="O252" s="334" t="s">
        <v>2582</v>
      </c>
      <c r="P252" s="334" t="s">
        <v>2583</v>
      </c>
      <c r="Q252" s="334" t="s">
        <v>2584</v>
      </c>
      <c r="AE252">
        <f t="shared" si="51"/>
        <v>251</v>
      </c>
      <c r="AF252" t="s">
        <v>2485</v>
      </c>
      <c r="AG252" t="s">
        <v>2507</v>
      </c>
      <c r="AH252" t="s">
        <v>2491</v>
      </c>
      <c r="AI252" t="s">
        <v>2508</v>
      </c>
    </row>
    <row r="253" spans="13:35" x14ac:dyDescent="0.3">
      <c r="M253">
        <f t="shared" si="49"/>
        <v>252</v>
      </c>
      <c r="O253" s="334"/>
      <c r="P253" s="334"/>
      <c r="Q253" s="334"/>
      <c r="AE253">
        <f t="shared" si="51"/>
        <v>252</v>
      </c>
    </row>
    <row r="254" spans="13:35" x14ac:dyDescent="0.3">
      <c r="M254">
        <f t="shared" si="49"/>
        <v>253</v>
      </c>
      <c r="O254" s="334"/>
      <c r="P254" s="334"/>
      <c r="Q254" s="334"/>
      <c r="AE254">
        <f t="shared" si="51"/>
        <v>253</v>
      </c>
    </row>
    <row r="255" spans="13:35" x14ac:dyDescent="0.3">
      <c r="M255">
        <f t="shared" si="49"/>
        <v>254</v>
      </c>
      <c r="O255" s="334"/>
      <c r="P255" s="334"/>
      <c r="Q255" s="334"/>
    </row>
    <row r="256" spans="13:35" x14ac:dyDescent="0.3">
      <c r="M256">
        <f t="shared" si="49"/>
        <v>255</v>
      </c>
      <c r="O256" s="334"/>
      <c r="P256" s="334"/>
      <c r="Q256" s="334"/>
    </row>
    <row r="257" spans="13:17" x14ac:dyDescent="0.3">
      <c r="M257">
        <f t="shared" si="49"/>
        <v>256</v>
      </c>
      <c r="O257" s="334"/>
      <c r="P257" s="334"/>
      <c r="Q257" s="334"/>
    </row>
    <row r="258" spans="13:17" x14ac:dyDescent="0.3">
      <c r="M258">
        <f t="shared" si="49"/>
        <v>257</v>
      </c>
      <c r="O258" s="334"/>
      <c r="P258" s="334"/>
      <c r="Q258" s="334"/>
    </row>
    <row r="259" spans="13:17" x14ac:dyDescent="0.3">
      <c r="M259">
        <f t="shared" ref="M259:M280" si="52">ROW()-1</f>
        <v>258</v>
      </c>
      <c r="O259" s="334"/>
      <c r="P259" s="334"/>
      <c r="Q259" s="334"/>
    </row>
    <row r="260" spans="13:17" x14ac:dyDescent="0.3">
      <c r="M260">
        <f t="shared" si="52"/>
        <v>259</v>
      </c>
      <c r="O260" s="334"/>
      <c r="P260" s="334"/>
      <c r="Q260" s="334"/>
    </row>
    <row r="261" spans="13:17" x14ac:dyDescent="0.3">
      <c r="M261">
        <f t="shared" si="52"/>
        <v>260</v>
      </c>
      <c r="O261" s="334"/>
      <c r="P261" s="334"/>
      <c r="Q261" s="334"/>
    </row>
    <row r="262" spans="13:17" x14ac:dyDescent="0.3">
      <c r="M262">
        <f t="shared" si="52"/>
        <v>261</v>
      </c>
      <c r="N262" t="s">
        <v>1499</v>
      </c>
      <c r="O262" s="334" t="s">
        <v>2081</v>
      </c>
      <c r="P262" s="334" t="s">
        <v>2084</v>
      </c>
      <c r="Q262" s="334" t="s">
        <v>2087</v>
      </c>
    </row>
    <row r="263" spans="13:17" x14ac:dyDescent="0.3">
      <c r="M263">
        <f t="shared" si="52"/>
        <v>262</v>
      </c>
      <c r="N263" t="s">
        <v>1500</v>
      </c>
      <c r="O263" s="334" t="s">
        <v>2082</v>
      </c>
      <c r="P263" s="334" t="s">
        <v>2085</v>
      </c>
      <c r="Q263" s="334" t="s">
        <v>2088</v>
      </c>
    </row>
    <row r="264" spans="13:17" x14ac:dyDescent="0.3">
      <c r="M264">
        <f t="shared" si="52"/>
        <v>263</v>
      </c>
      <c r="N264" t="s">
        <v>1501</v>
      </c>
      <c r="O264" s="334" t="s">
        <v>2083</v>
      </c>
      <c r="P264" s="334" t="s">
        <v>2317</v>
      </c>
      <c r="Q264" s="334" t="s">
        <v>2089</v>
      </c>
    </row>
    <row r="265" spans="13:17" x14ac:dyDescent="0.3">
      <c r="M265">
        <f t="shared" si="52"/>
        <v>264</v>
      </c>
      <c r="N265" t="s">
        <v>1502</v>
      </c>
      <c r="O265" s="334" t="s">
        <v>2318</v>
      </c>
      <c r="P265" s="334" t="s">
        <v>2086</v>
      </c>
      <c r="Q265" s="334" t="s">
        <v>2090</v>
      </c>
    </row>
    <row r="266" spans="13:17" x14ac:dyDescent="0.3">
      <c r="M266">
        <f t="shared" si="52"/>
        <v>265</v>
      </c>
      <c r="N266" t="s">
        <v>57</v>
      </c>
      <c r="O266" s="334" t="s">
        <v>308</v>
      </c>
      <c r="P266" s="334" t="s">
        <v>309</v>
      </c>
      <c r="Q266" s="334" t="s">
        <v>310</v>
      </c>
    </row>
    <row r="267" spans="13:17" x14ac:dyDescent="0.3">
      <c r="M267">
        <f t="shared" si="52"/>
        <v>266</v>
      </c>
      <c r="N267" t="s">
        <v>2533</v>
      </c>
      <c r="O267" s="334" t="s">
        <v>2585</v>
      </c>
      <c r="P267" s="334" t="s">
        <v>2586</v>
      </c>
      <c r="Q267" s="334" t="s">
        <v>2587</v>
      </c>
    </row>
    <row r="268" spans="13:17" x14ac:dyDescent="0.3">
      <c r="M268">
        <f t="shared" si="52"/>
        <v>267</v>
      </c>
      <c r="N268" t="s">
        <v>2525</v>
      </c>
      <c r="O268" s="334" t="s">
        <v>2526</v>
      </c>
      <c r="P268" s="334" t="s">
        <v>2527</v>
      </c>
      <c r="Q268" s="334" t="s">
        <v>2528</v>
      </c>
    </row>
    <row r="269" spans="13:17" x14ac:dyDescent="0.3">
      <c r="M269">
        <f t="shared" si="52"/>
        <v>268</v>
      </c>
      <c r="N269" t="s">
        <v>2529</v>
      </c>
      <c r="O269" s="334" t="s">
        <v>2530</v>
      </c>
      <c r="P269" s="334" t="s">
        <v>2531</v>
      </c>
      <c r="Q269" s="334" t="s">
        <v>2532</v>
      </c>
    </row>
    <row r="270" spans="13:17" x14ac:dyDescent="0.3">
      <c r="M270">
        <f t="shared" si="52"/>
        <v>269</v>
      </c>
      <c r="O270" s="334"/>
      <c r="P270" s="334"/>
      <c r="Q270" s="334"/>
    </row>
    <row r="271" spans="13:17" x14ac:dyDescent="0.3">
      <c r="M271">
        <f t="shared" si="52"/>
        <v>270</v>
      </c>
      <c r="O271" s="334"/>
      <c r="P271" s="334"/>
      <c r="Q271" s="334"/>
    </row>
    <row r="272" spans="13:17" x14ac:dyDescent="0.3">
      <c r="M272">
        <f t="shared" si="52"/>
        <v>271</v>
      </c>
      <c r="N272" t="s">
        <v>783</v>
      </c>
      <c r="O272" s="334" t="s">
        <v>920</v>
      </c>
      <c r="P272" s="334" t="s">
        <v>938</v>
      </c>
      <c r="Q272" s="334" t="s">
        <v>951</v>
      </c>
    </row>
    <row r="273" spans="13:17" x14ac:dyDescent="0.3">
      <c r="M273">
        <f t="shared" si="52"/>
        <v>272</v>
      </c>
      <c r="N273" t="s">
        <v>784</v>
      </c>
      <c r="O273" s="334" t="s">
        <v>921</v>
      </c>
      <c r="P273" s="334" t="s">
        <v>2295</v>
      </c>
      <c r="Q273" s="334" t="s">
        <v>952</v>
      </c>
    </row>
    <row r="274" spans="13:17" x14ac:dyDescent="0.3">
      <c r="M274">
        <f t="shared" si="52"/>
        <v>273</v>
      </c>
      <c r="N274" t="s">
        <v>2539</v>
      </c>
      <c r="O274" s="334" t="s">
        <v>2588</v>
      </c>
      <c r="P274" s="334" t="s">
        <v>2589</v>
      </c>
      <c r="Q274" s="334" t="s">
        <v>2590</v>
      </c>
    </row>
    <row r="275" spans="13:17" x14ac:dyDescent="0.3">
      <c r="M275">
        <f t="shared" si="52"/>
        <v>274</v>
      </c>
      <c r="N275" t="s">
        <v>782</v>
      </c>
      <c r="O275" s="334" t="s">
        <v>922</v>
      </c>
      <c r="P275" s="334" t="s">
        <v>939</v>
      </c>
      <c r="Q275" s="334" t="s">
        <v>953</v>
      </c>
    </row>
    <row r="276" spans="13:17" x14ac:dyDescent="0.3">
      <c r="M276">
        <f t="shared" si="52"/>
        <v>275</v>
      </c>
      <c r="O276" s="334"/>
      <c r="P276" s="334"/>
      <c r="Q276" s="334"/>
    </row>
    <row r="277" spans="13:17" x14ac:dyDescent="0.3">
      <c r="M277">
        <f t="shared" si="52"/>
        <v>276</v>
      </c>
      <c r="O277" s="334"/>
      <c r="P277" s="334"/>
      <c r="Q277" s="334"/>
    </row>
    <row r="278" spans="13:17" x14ac:dyDescent="0.3">
      <c r="M278">
        <f t="shared" si="52"/>
        <v>277</v>
      </c>
      <c r="O278" s="334"/>
      <c r="P278" s="334"/>
      <c r="Q278" s="334"/>
    </row>
    <row r="279" spans="13:17" x14ac:dyDescent="0.3">
      <c r="M279">
        <f t="shared" si="52"/>
        <v>278</v>
      </c>
      <c r="O279" s="334"/>
      <c r="P279" s="334"/>
      <c r="Q279" s="334"/>
    </row>
    <row r="280" spans="13:17" x14ac:dyDescent="0.3">
      <c r="M280">
        <f t="shared" si="52"/>
        <v>279</v>
      </c>
      <c r="O280" s="334"/>
      <c r="P280" s="334"/>
      <c r="Q280" s="334"/>
    </row>
    <row r="281" spans="13:17" x14ac:dyDescent="0.3">
      <c r="M281">
        <f t="shared" ref="M281:M294" si="53">ROW()-1</f>
        <v>280</v>
      </c>
      <c r="O281" s="334"/>
      <c r="P281" s="334"/>
      <c r="Q281" s="334"/>
    </row>
    <row r="282" spans="13:17" x14ac:dyDescent="0.3">
      <c r="M282">
        <f t="shared" si="53"/>
        <v>281</v>
      </c>
      <c r="N282" t="s">
        <v>2540</v>
      </c>
      <c r="O282" s="334" t="s">
        <v>2591</v>
      </c>
      <c r="P282" s="334" t="s">
        <v>2592</v>
      </c>
      <c r="Q282" s="334" t="s">
        <v>2593</v>
      </c>
    </row>
    <row r="283" spans="13:17" x14ac:dyDescent="0.3">
      <c r="M283">
        <f t="shared" si="53"/>
        <v>282</v>
      </c>
      <c r="N283" t="s">
        <v>872</v>
      </c>
      <c r="O283" t="s">
        <v>1012</v>
      </c>
      <c r="P283" t="s">
        <v>987</v>
      </c>
      <c r="Q283" t="s">
        <v>1030</v>
      </c>
    </row>
    <row r="284" spans="13:17" x14ac:dyDescent="0.3">
      <c r="M284">
        <f t="shared" si="53"/>
        <v>283</v>
      </c>
    </row>
    <row r="285" spans="13:17" x14ac:dyDescent="0.3">
      <c r="M285">
        <f t="shared" si="53"/>
        <v>284</v>
      </c>
    </row>
    <row r="286" spans="13:17" x14ac:dyDescent="0.3">
      <c r="M286">
        <f t="shared" si="53"/>
        <v>285</v>
      </c>
    </row>
    <row r="287" spans="13:17" x14ac:dyDescent="0.3">
      <c r="M287">
        <f t="shared" si="53"/>
        <v>286</v>
      </c>
    </row>
    <row r="288" spans="13:17" x14ac:dyDescent="0.3">
      <c r="M288">
        <f t="shared" si="53"/>
        <v>287</v>
      </c>
    </row>
    <row r="289" spans="13:17" x14ac:dyDescent="0.3">
      <c r="M289">
        <f t="shared" si="53"/>
        <v>288</v>
      </c>
    </row>
    <row r="290" spans="13:17" x14ac:dyDescent="0.3">
      <c r="M290">
        <f t="shared" si="53"/>
        <v>289</v>
      </c>
    </row>
    <row r="291" spans="13:17" x14ac:dyDescent="0.3">
      <c r="M291">
        <f t="shared" si="53"/>
        <v>290</v>
      </c>
    </row>
    <row r="292" spans="13:17" x14ac:dyDescent="0.3">
      <c r="M292">
        <f t="shared" si="53"/>
        <v>291</v>
      </c>
      <c r="N292" t="s">
        <v>797</v>
      </c>
      <c r="O292" t="s">
        <v>1056</v>
      </c>
      <c r="P292" t="s">
        <v>2267</v>
      </c>
      <c r="Q292" t="s">
        <v>1041</v>
      </c>
    </row>
    <row r="293" spans="13:17" x14ac:dyDescent="0.3">
      <c r="M293">
        <f t="shared" si="53"/>
        <v>292</v>
      </c>
      <c r="N293" t="s">
        <v>798</v>
      </c>
      <c r="O293" t="s">
        <v>2319</v>
      </c>
      <c r="P293" t="s">
        <v>2320</v>
      </c>
      <c r="Q293" t="s">
        <v>1042</v>
      </c>
    </row>
    <row r="294" spans="13:17" x14ac:dyDescent="0.3">
      <c r="M294">
        <f t="shared" si="53"/>
        <v>293</v>
      </c>
      <c r="N294" t="s">
        <v>799</v>
      </c>
      <c r="O294" t="s">
        <v>1057</v>
      </c>
      <c r="P294" t="s">
        <v>1066</v>
      </c>
      <c r="Q294" t="s">
        <v>1043</v>
      </c>
    </row>
    <row r="295" spans="13:17" x14ac:dyDescent="0.3">
      <c r="M295">
        <f t="shared" ref="M295:M307" si="54">ROW()-1</f>
        <v>294</v>
      </c>
      <c r="N295" t="s">
        <v>2141</v>
      </c>
      <c r="O295" t="s">
        <v>2142</v>
      </c>
      <c r="P295" t="s">
        <v>2143</v>
      </c>
      <c r="Q295" t="s">
        <v>2144</v>
      </c>
    </row>
    <row r="296" spans="13:17" x14ac:dyDescent="0.3">
      <c r="M296">
        <f t="shared" si="54"/>
        <v>295</v>
      </c>
      <c r="N296" t="s">
        <v>800</v>
      </c>
      <c r="O296" t="s">
        <v>2321</v>
      </c>
      <c r="P296" t="s">
        <v>2322</v>
      </c>
      <c r="Q296" t="s">
        <v>1044</v>
      </c>
    </row>
    <row r="297" spans="13:17" x14ac:dyDescent="0.3">
      <c r="M297">
        <f t="shared" si="54"/>
        <v>296</v>
      </c>
    </row>
    <row r="298" spans="13:17" x14ac:dyDescent="0.3">
      <c r="M298">
        <f t="shared" si="54"/>
        <v>297</v>
      </c>
    </row>
    <row r="299" spans="13:17" x14ac:dyDescent="0.3">
      <c r="M299">
        <f t="shared" si="54"/>
        <v>298</v>
      </c>
    </row>
    <row r="300" spans="13:17" x14ac:dyDescent="0.3">
      <c r="M300">
        <f t="shared" si="54"/>
        <v>299</v>
      </c>
    </row>
    <row r="301" spans="13:17" x14ac:dyDescent="0.3">
      <c r="M301">
        <f t="shared" si="54"/>
        <v>300</v>
      </c>
    </row>
    <row r="302" spans="13:17" x14ac:dyDescent="0.3">
      <c r="M302">
        <f t="shared" si="54"/>
        <v>301</v>
      </c>
      <c r="N302" t="s">
        <v>2564</v>
      </c>
      <c r="O302" s="334" t="s">
        <v>2596</v>
      </c>
      <c r="P302" s="334" t="s">
        <v>2594</v>
      </c>
      <c r="Q302" s="334" t="s">
        <v>2595</v>
      </c>
    </row>
    <row r="303" spans="13:17" x14ac:dyDescent="0.3">
      <c r="M303">
        <f t="shared" si="54"/>
        <v>302</v>
      </c>
    </row>
    <row r="304" spans="13:17" x14ac:dyDescent="0.3">
      <c r="M304">
        <f t="shared" si="54"/>
        <v>303</v>
      </c>
    </row>
    <row r="305" spans="13:17" x14ac:dyDescent="0.3">
      <c r="M305">
        <f t="shared" si="54"/>
        <v>304</v>
      </c>
    </row>
    <row r="306" spans="13:17" x14ac:dyDescent="0.3">
      <c r="M306">
        <f t="shared" si="54"/>
        <v>305</v>
      </c>
    </row>
    <row r="307" spans="13:17" x14ac:dyDescent="0.3">
      <c r="M307">
        <f t="shared" si="54"/>
        <v>306</v>
      </c>
    </row>
    <row r="308" spans="13:17" x14ac:dyDescent="0.3">
      <c r="M308">
        <f t="shared" ref="M308:M313" si="55">ROW()-1</f>
        <v>307</v>
      </c>
    </row>
    <row r="309" spans="13:17" x14ac:dyDescent="0.3">
      <c r="M309">
        <f t="shared" si="55"/>
        <v>308</v>
      </c>
    </row>
    <row r="310" spans="13:17" x14ac:dyDescent="0.3">
      <c r="M310">
        <f t="shared" si="55"/>
        <v>309</v>
      </c>
    </row>
    <row r="311" spans="13:17" x14ac:dyDescent="0.3">
      <c r="M311">
        <f t="shared" si="55"/>
        <v>310</v>
      </c>
    </row>
    <row r="312" spans="13:17" x14ac:dyDescent="0.3">
      <c r="M312">
        <f t="shared" si="55"/>
        <v>311</v>
      </c>
      <c r="N312" t="s">
        <v>1525</v>
      </c>
      <c r="O312" t="s">
        <v>2323</v>
      </c>
      <c r="P312" t="s">
        <v>2169</v>
      </c>
      <c r="Q312" t="s">
        <v>2324</v>
      </c>
    </row>
    <row r="313" spans="13:17" x14ac:dyDescent="0.3">
      <c r="M313">
        <f t="shared" si="55"/>
        <v>312</v>
      </c>
      <c r="N313" t="s">
        <v>1526</v>
      </c>
      <c r="O313" t="s">
        <v>2325</v>
      </c>
      <c r="P313" t="s">
        <v>2170</v>
      </c>
      <c r="Q313" t="s">
        <v>2182</v>
      </c>
    </row>
    <row r="314" spans="13:17" x14ac:dyDescent="0.3">
      <c r="M314">
        <f t="shared" ref="M314:M316" si="56">ROW()-1</f>
        <v>313</v>
      </c>
      <c r="N314" t="s">
        <v>2162</v>
      </c>
      <c r="O314" t="s">
        <v>2326</v>
      </c>
      <c r="P314" t="s">
        <v>2327</v>
      </c>
      <c r="Q314" t="s">
        <v>2183</v>
      </c>
    </row>
    <row r="315" spans="13:17" x14ac:dyDescent="0.3">
      <c r="M315">
        <f t="shared" si="56"/>
        <v>314</v>
      </c>
      <c r="N315" t="s">
        <v>2163</v>
      </c>
      <c r="O315" t="s">
        <v>2328</v>
      </c>
      <c r="P315" t="s">
        <v>2329</v>
      </c>
      <c r="Q315" t="s">
        <v>2184</v>
      </c>
    </row>
    <row r="316" spans="13:17" x14ac:dyDescent="0.3">
      <c r="M316">
        <f t="shared" si="56"/>
        <v>315</v>
      </c>
      <c r="N316" t="s">
        <v>2164</v>
      </c>
      <c r="O316" t="s">
        <v>2330</v>
      </c>
      <c r="P316" t="s">
        <v>2331</v>
      </c>
      <c r="Q316" t="s">
        <v>2185</v>
      </c>
    </row>
  </sheetData>
  <sheetProtection algorithmName="SHA-512" hashValue="e46xJJSxLe14z06rvDGsyeYnn7TAB5pUmT2PSn82dNr4kuYU/RHhVwobYA40Ayuhdi68SpNKaumXZbBv67bmRg==" saltValue="Wbttd2kRGk84YotPFLx8nQ==" spinCount="100000" sheet="1" objects="1" scenarios="1"/>
  <dataValidations count="1">
    <dataValidation allowBlank="1" showInputMessage="1" showErrorMessage="1" sqref="F2"/>
  </dataValidations>
  <pageMargins left="0.7" right="0.7" top="0.78740157499999996" bottom="0.78740157499999996" header="0.3" footer="0.3"/>
  <pageSetup paperSize="9"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4976"/>
  </sheetPr>
  <dimension ref="A2:CG337"/>
  <sheetViews>
    <sheetView showGridLines="0" zoomScale="90" zoomScaleNormal="90" workbookViewId="0">
      <pane xSplit="7" topLeftCell="H1" activePane="topRight" state="frozen"/>
      <selection activeCell="C1" sqref="C1:C1048576"/>
      <selection pane="topRight" activeCell="B3" sqref="B3:C3"/>
    </sheetView>
  </sheetViews>
  <sheetFormatPr baseColWidth="10" defaultColWidth="10.81640625" defaultRowHeight="12.65" customHeight="1" x14ac:dyDescent="0.3"/>
  <cols>
    <col min="1" max="1" width="2.453125" style="81" customWidth="1"/>
    <col min="2" max="2" width="2.453125" style="1" customWidth="1"/>
    <col min="3" max="3" width="73.26953125" style="9" customWidth="1"/>
    <col min="4" max="4" width="23.54296875" style="1" customWidth="1"/>
    <col min="5" max="5" width="9.453125" style="289" customWidth="1"/>
    <col min="6" max="6" width="14.1796875" style="37" customWidth="1"/>
    <col min="7" max="7" width="2.453125" style="47" customWidth="1"/>
    <col min="8" max="19" width="12" style="100" customWidth="1"/>
    <col min="20" max="20" width="12" style="20" customWidth="1"/>
    <col min="21" max="21" width="12" style="112" customWidth="1"/>
    <col min="22" max="85" width="12" style="37" customWidth="1"/>
    <col min="86" max="16384" width="10.81640625" style="1"/>
  </cols>
  <sheetData>
    <row r="2" spans="1:85" s="153" customFormat="1" ht="26.15" customHeight="1" x14ac:dyDescent="0.3">
      <c r="A2" s="78"/>
      <c r="B2" s="390" t="str">
        <f>UPPER(RIGHT('Table des matières'!$C$7,LEN('Table des matières'!$C$7)-FIND(" – ",'Table des matières'!$C$7,1)-2))</f>
        <v>DIVULGATIONS GÉNÉRAUX</v>
      </c>
      <c r="C2" s="390"/>
      <c r="D2" s="386" t="str">
        <f>VLOOKUP(35,Textbausteine_Menu[],Hilfsgrössen!$D$2,FALSE)</f>
        <v>retour à la table des matières</v>
      </c>
      <c r="E2" s="387"/>
      <c r="F2" s="145" t="s">
        <v>88</v>
      </c>
      <c r="G2" s="171"/>
      <c r="H2" s="159"/>
      <c r="I2" s="159"/>
      <c r="J2" s="159"/>
      <c r="K2" s="159"/>
      <c r="L2" s="159"/>
      <c r="M2" s="159"/>
      <c r="N2" s="159"/>
      <c r="O2" s="159"/>
      <c r="P2" s="159"/>
      <c r="Q2" s="159"/>
      <c r="R2" s="159"/>
      <c r="S2" s="159"/>
      <c r="T2" s="299"/>
      <c r="U2" s="109"/>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row>
    <row r="3" spans="1:85" s="154" customFormat="1" ht="26.15" customHeight="1" x14ac:dyDescent="0.3">
      <c r="A3" s="79"/>
      <c r="B3" s="391" t="str">
        <f>UPPER("GRI "&amp;LEFT('Table des matières'!$C$7,3))</f>
        <v>GRI 102</v>
      </c>
      <c r="C3" s="391"/>
      <c r="E3" s="287"/>
      <c r="F3" s="38"/>
      <c r="G3" s="45"/>
      <c r="H3" s="94"/>
      <c r="I3" s="94"/>
      <c r="J3" s="94"/>
      <c r="K3" s="94"/>
      <c r="L3" s="94"/>
      <c r="M3" s="94"/>
      <c r="N3" s="94"/>
      <c r="O3" s="94"/>
      <c r="P3" s="94"/>
      <c r="Q3" s="94"/>
      <c r="R3" s="94"/>
      <c r="S3" s="94"/>
      <c r="T3" s="116"/>
      <c r="U3" s="110"/>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row>
    <row r="6" spans="1:85" s="31" customFormat="1" ht="12.65" customHeight="1" x14ac:dyDescent="0.3">
      <c r="A6" s="80"/>
      <c r="B6" s="6" t="str">
        <f>VLOOKUP(31,Textbausteine_Menu[],Hilfsgrössen!$D$2,FALSE)</f>
        <v>Divulgations</v>
      </c>
      <c r="C6" s="6"/>
      <c r="E6" s="288"/>
      <c r="F6" s="39"/>
      <c r="G6" s="46"/>
      <c r="H6" s="96"/>
      <c r="I6" s="96"/>
      <c r="J6" s="96"/>
      <c r="K6" s="96"/>
      <c r="L6" s="96"/>
      <c r="M6" s="96"/>
      <c r="N6" s="96"/>
      <c r="O6" s="96"/>
      <c r="P6" s="96"/>
      <c r="Q6" s="96"/>
      <c r="R6" s="96"/>
      <c r="S6" s="96"/>
      <c r="T6" s="117"/>
      <c r="U6" s="111"/>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row>
    <row r="7" spans="1:85" ht="12.65" customHeight="1" x14ac:dyDescent="0.3">
      <c r="B7" s="2"/>
      <c r="C7" s="148" t="str">
        <f>VLOOKUP(1,Textbausteine_102[],Hilfsgrössen!$D$2,FALSE)</f>
        <v>Parts de marché</v>
      </c>
      <c r="D7" s="4"/>
    </row>
    <row r="8" spans="1:85" ht="12.65" customHeight="1" x14ac:dyDescent="0.3">
      <c r="B8" s="2"/>
      <c r="C8" s="148" t="str">
        <f>VLOOKUP(2,Textbausteine_102[],Hilfsgrössen!$D$2,FALSE)</f>
        <v>Financement</v>
      </c>
      <c r="D8" s="4"/>
    </row>
    <row r="9" spans="1:85" ht="12.65" customHeight="1" x14ac:dyDescent="0.3">
      <c r="B9" s="2"/>
      <c r="C9" s="148" t="str">
        <f>VLOOKUP(3,Textbausteine_102[],Hilfsgrössen!$D$2,FALSE)</f>
        <v>Cash-flow et investissements</v>
      </c>
      <c r="D9" s="4"/>
    </row>
    <row r="10" spans="1:85" ht="12.65" customHeight="1" x14ac:dyDescent="0.3">
      <c r="B10" s="2"/>
      <c r="C10" s="148" t="str">
        <f>VLOOKUP(4,Textbausteine_102[],Hilfsgrössen!$D$2,FALSE)</f>
        <v>Evolution des volumes</v>
      </c>
      <c r="D10" s="4"/>
    </row>
    <row r="11" spans="1:85" ht="12.65" customHeight="1" x14ac:dyDescent="0.3">
      <c r="B11" s="2"/>
      <c r="C11" s="148" t="str">
        <f>VLOOKUP(5,Textbausteine_102[],Hilfsgrössen!$D$2,FALSE)</f>
        <v>Volume trafic des paiements</v>
      </c>
      <c r="D11" s="4"/>
    </row>
    <row r="12" spans="1:85" ht="12.65" customHeight="1" x14ac:dyDescent="0.3">
      <c r="B12" s="2"/>
      <c r="C12" s="148" t="str">
        <f>VLOOKUP(6,Textbausteine_102[],Hilfsgrössen!$D$2,FALSE)</f>
        <v>Effectif</v>
      </c>
      <c r="D12" s="4"/>
    </row>
    <row r="13" spans="1:85" ht="12.65" customHeight="1" x14ac:dyDescent="0.3">
      <c r="B13" s="2"/>
      <c r="C13" s="148" t="str">
        <f>VLOOKUP(7,Textbausteine_102[],Hilfsgrössen!$D$2,FALSE)</f>
        <v>Répartition des sexes</v>
      </c>
      <c r="D13" s="4"/>
    </row>
    <row r="14" spans="1:85" ht="12.65" customHeight="1" x14ac:dyDescent="0.3">
      <c r="B14" s="2"/>
      <c r="C14" s="148" t="str">
        <f>VLOOKUP(8,Textbausteine_102[],Hilfsgrössen!$D$2,FALSE)</f>
        <v>Temps partiel</v>
      </c>
      <c r="D14" s="4"/>
    </row>
    <row r="15" spans="1:85" ht="12.65" customHeight="1" x14ac:dyDescent="0.3">
      <c r="B15" s="2"/>
      <c r="C15" s="148" t="str">
        <f>VLOOKUP(9,Textbausteine_102[],Hilfsgrössen!$D$2,FALSE)</f>
        <v>Rapports de travail</v>
      </c>
      <c r="D15" s="4"/>
      <c r="E15" s="290"/>
      <c r="F15" s="40"/>
      <c r="G15" s="48"/>
    </row>
    <row r="16" spans="1:85" ht="12.65" customHeight="1" x14ac:dyDescent="0.3">
      <c r="B16" s="2"/>
      <c r="C16" s="148" t="str">
        <f>VLOOKUP(10,Textbausteine_102[],Hilfsgrössen!$D$2,FALSE)</f>
        <v>Chaîne de livraison</v>
      </c>
      <c r="D16" s="4"/>
      <c r="E16" s="290"/>
      <c r="F16" s="40"/>
      <c r="G16" s="48"/>
    </row>
    <row r="17" spans="1:85" ht="12.65" customHeight="1" x14ac:dyDescent="0.3">
      <c r="B17" s="2"/>
      <c r="C17" s="148" t="str">
        <f>VLOOKUP(11,Textbausteine_102[],Hilfsgrössen!$D$2,FALSE)</f>
        <v>Satisfaction des clients</v>
      </c>
      <c r="D17" s="4"/>
    </row>
    <row r="18" spans="1:85" ht="12.65" customHeight="1" x14ac:dyDescent="0.3">
      <c r="B18" s="2"/>
      <c r="E18" s="291"/>
      <c r="F18" s="11"/>
      <c r="G18" s="49"/>
    </row>
    <row r="19" spans="1:85" ht="12.65" customHeight="1" x14ac:dyDescent="0.3">
      <c r="B19" s="2"/>
      <c r="E19" s="291"/>
      <c r="F19" s="11"/>
      <c r="G19" s="49"/>
    </row>
    <row r="20" spans="1:85" s="152" customFormat="1" ht="12.65" customHeight="1" x14ac:dyDescent="0.3">
      <c r="A20" s="62" t="s">
        <v>900</v>
      </c>
      <c r="B20" s="385" t="str">
        <f>$C$7</f>
        <v>Parts de marché</v>
      </c>
      <c r="C20" s="385"/>
      <c r="D20" s="59" t="str">
        <f>VLOOKUP(32,Textbausteine_Menu[],Hilfsgrössen!$D$2,FALSE)</f>
        <v>Unité</v>
      </c>
      <c r="E20" s="292" t="str">
        <f>VLOOKUP(33,Textbausteine_Menu[],Hilfsgrössen!$D$2,FALSE)</f>
        <v>Notes</v>
      </c>
      <c r="F20" s="40" t="str">
        <f>VLOOKUP(34,Textbausteine_Menu[],Hilfsgrössen!$D$2,FALSE)</f>
        <v>GRI</v>
      </c>
      <c r="G20" s="48"/>
      <c r="H20" s="160">
        <v>2004</v>
      </c>
      <c r="I20" s="160">
        <v>2005</v>
      </c>
      <c r="J20" s="160">
        <v>2006</v>
      </c>
      <c r="K20" s="160">
        <v>2007</v>
      </c>
      <c r="L20" s="160">
        <v>2008</v>
      </c>
      <c r="M20" s="160">
        <v>2009</v>
      </c>
      <c r="N20" s="160">
        <v>2010</v>
      </c>
      <c r="O20" s="160">
        <v>2011</v>
      </c>
      <c r="P20" s="160">
        <v>2012</v>
      </c>
      <c r="Q20" s="160">
        <v>2013</v>
      </c>
      <c r="R20" s="160">
        <v>2014</v>
      </c>
      <c r="S20" s="160">
        <v>2015</v>
      </c>
      <c r="T20" s="120">
        <v>2016</v>
      </c>
      <c r="U20" s="252">
        <v>2017</v>
      </c>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row>
    <row r="21" spans="1:85" s="61" customFormat="1" ht="12.65" customHeight="1" x14ac:dyDescent="0.3">
      <c r="A21" s="82"/>
      <c r="B21" s="385"/>
      <c r="C21" s="385"/>
      <c r="D21" s="60"/>
      <c r="E21" s="288"/>
      <c r="F21" s="39"/>
      <c r="G21" s="49"/>
      <c r="H21" s="161"/>
      <c r="I21" s="161"/>
      <c r="J21" s="161"/>
      <c r="K21" s="161"/>
      <c r="L21" s="161"/>
      <c r="M21" s="161"/>
      <c r="N21" s="161"/>
      <c r="O21" s="161"/>
      <c r="P21" s="161"/>
      <c r="Q21" s="161"/>
      <c r="R21" s="161"/>
      <c r="S21" s="161"/>
      <c r="T21" s="119"/>
      <c r="U21" s="253"/>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row>
    <row r="22" spans="1:85" ht="12.65" customHeight="1" x14ac:dyDescent="0.3">
      <c r="B22" s="8"/>
      <c r="D22" s="9"/>
      <c r="E22" s="293"/>
      <c r="F22" s="11"/>
      <c r="G22" s="46"/>
      <c r="U22" s="254"/>
    </row>
    <row r="23" spans="1:85" ht="12.65" customHeight="1" x14ac:dyDescent="0.3">
      <c r="B23" s="8" t="str">
        <f>VLOOKUP(45,Textbausteine_Menu[],Hilfsgrössen!$D$2,FALSE)</f>
        <v>PostMail</v>
      </c>
      <c r="D23" s="67"/>
      <c r="E23" s="293"/>
      <c r="F23" s="11"/>
      <c r="T23" s="107"/>
      <c r="U23" s="255"/>
    </row>
    <row r="24" spans="1:85" ht="12.65" customHeight="1" x14ac:dyDescent="0.3">
      <c r="B24" s="8"/>
      <c r="C24" s="67" t="str">
        <f>VLOOKUP(41,Textbausteine_102[],Hilfsgrössen!$D$2,FALSE)</f>
        <v>Importation et exportation de courrier</v>
      </c>
      <c r="D24" s="67" t="str">
        <f>VLOOKUP(21,Textbausteine_102[],Hilfsgrössen!$D$2,FALSE)</f>
        <v>%</v>
      </c>
      <c r="E24" s="293" t="s">
        <v>1476</v>
      </c>
      <c r="F24" s="11" t="s">
        <v>1529</v>
      </c>
      <c r="G24" s="169"/>
      <c r="H24" s="168" t="s">
        <v>1595</v>
      </c>
      <c r="I24" s="168" t="s">
        <v>1595</v>
      </c>
      <c r="J24" s="20">
        <v>83</v>
      </c>
      <c r="K24" s="100">
        <v>82</v>
      </c>
      <c r="L24" s="100">
        <v>82</v>
      </c>
      <c r="M24" s="100">
        <v>85</v>
      </c>
      <c r="N24" s="100">
        <v>85</v>
      </c>
      <c r="O24" s="100">
        <v>86</v>
      </c>
      <c r="P24" s="100">
        <v>86</v>
      </c>
      <c r="Q24" s="100">
        <v>85</v>
      </c>
      <c r="R24" s="100">
        <v>84</v>
      </c>
      <c r="S24" s="100">
        <v>83</v>
      </c>
      <c r="T24" s="107">
        <v>83</v>
      </c>
      <c r="U24" s="255">
        <v>82</v>
      </c>
      <c r="V24" s="11"/>
    </row>
    <row r="25" spans="1:85" ht="12.65" customHeight="1" x14ac:dyDescent="0.3">
      <c r="C25" s="77"/>
      <c r="D25" s="67"/>
      <c r="E25" s="293"/>
      <c r="F25" s="11"/>
      <c r="H25" s="20"/>
      <c r="I25" s="20"/>
      <c r="J25" s="20"/>
      <c r="K25" s="20"/>
      <c r="L25" s="20"/>
      <c r="M25" s="20"/>
      <c r="N25" s="20"/>
      <c r="T25" s="107"/>
      <c r="U25" s="255"/>
    </row>
    <row r="26" spans="1:85" ht="12.65" customHeight="1" x14ac:dyDescent="0.3">
      <c r="B26" s="8" t="str">
        <f>VLOOKUP(48,Textbausteine_Menu[],Hilfsgrössen!$D$2,FALSE)</f>
        <v>PostLogistics</v>
      </c>
      <c r="D26" s="67"/>
      <c r="E26" s="293"/>
      <c r="F26" s="11"/>
      <c r="T26" s="107"/>
      <c r="U26" s="255"/>
    </row>
    <row r="27" spans="1:85" ht="12.65" customHeight="1" x14ac:dyDescent="0.3">
      <c r="B27" s="8"/>
      <c r="C27" s="172" t="str">
        <f>VLOOKUP(42,Textbausteine_102[],Hilfsgrössen!$D$2,FALSE)</f>
        <v>Colis</v>
      </c>
      <c r="D27" s="67" t="str">
        <f>VLOOKUP(21,Textbausteine_102[],Hilfsgrössen!$D$2,FALSE)</f>
        <v>%</v>
      </c>
      <c r="E27" s="293"/>
      <c r="F27" s="11" t="s">
        <v>1529</v>
      </c>
      <c r="H27" s="168" t="s">
        <v>1595</v>
      </c>
      <c r="I27" s="170">
        <v>74</v>
      </c>
      <c r="J27" s="170">
        <v>74</v>
      </c>
      <c r="K27" s="163">
        <v>74</v>
      </c>
      <c r="L27" s="163">
        <v>74</v>
      </c>
      <c r="M27" s="20">
        <v>74</v>
      </c>
      <c r="N27" s="20">
        <v>75</v>
      </c>
      <c r="O27" s="100">
        <v>75</v>
      </c>
      <c r="P27" s="100">
        <v>76</v>
      </c>
      <c r="Q27" s="100">
        <v>76</v>
      </c>
      <c r="R27" s="100">
        <v>76</v>
      </c>
      <c r="S27" s="100">
        <v>76.900000000000006</v>
      </c>
      <c r="T27" s="107">
        <v>77.900000000000006</v>
      </c>
      <c r="U27" s="255">
        <v>78.400000000000006</v>
      </c>
    </row>
    <row r="28" spans="1:85" ht="12.65" customHeight="1" x14ac:dyDescent="0.3">
      <c r="C28" s="67" t="str">
        <f>VLOOKUP(43,Textbausteine_102[],Hilfsgrössen!$D$2,FALSE)</f>
        <v>Importation et exportation de coursier, express et colis</v>
      </c>
      <c r="D28" s="67" t="str">
        <f>VLOOKUP(21,Textbausteine_102[],Hilfsgrössen!$D$2,FALSE)</f>
        <v>%</v>
      </c>
      <c r="E28" s="293" t="s">
        <v>1565</v>
      </c>
      <c r="F28" s="11" t="s">
        <v>1529</v>
      </c>
      <c r="G28" s="169"/>
      <c r="H28" s="168" t="s">
        <v>1595</v>
      </c>
      <c r="I28" s="168" t="s">
        <v>1595</v>
      </c>
      <c r="J28" s="20">
        <v>47</v>
      </c>
      <c r="K28" s="20">
        <v>47</v>
      </c>
      <c r="L28" s="20">
        <v>46</v>
      </c>
      <c r="M28" s="20">
        <v>46</v>
      </c>
      <c r="N28" s="20">
        <v>45</v>
      </c>
      <c r="O28" s="100">
        <v>42</v>
      </c>
      <c r="P28" s="100">
        <v>45</v>
      </c>
      <c r="Q28" s="100">
        <v>18</v>
      </c>
      <c r="R28" s="100">
        <v>17</v>
      </c>
      <c r="S28" s="100">
        <v>18.5</v>
      </c>
      <c r="T28" s="107">
        <v>19.399999999999999</v>
      </c>
      <c r="U28" s="255">
        <v>18.5</v>
      </c>
    </row>
    <row r="29" spans="1:85" ht="12.65" customHeight="1" x14ac:dyDescent="0.3">
      <c r="B29" s="8"/>
      <c r="D29" s="9"/>
      <c r="E29" s="293"/>
      <c r="F29" s="11"/>
      <c r="G29" s="46"/>
      <c r="U29" s="254"/>
    </row>
    <row r="30" spans="1:85" ht="12.65" customHeight="1" x14ac:dyDescent="0.3">
      <c r="B30" s="8" t="str">
        <f>VLOOKUP(49,Textbausteine_Menu[],Hilfsgrössen!$D$2,FALSE)</f>
        <v>PostFinance</v>
      </c>
      <c r="D30" s="67"/>
      <c r="E30" s="293"/>
      <c r="F30" s="11"/>
      <c r="T30" s="107"/>
      <c r="U30" s="255"/>
    </row>
    <row r="31" spans="1:85" ht="12.65" customHeight="1" x14ac:dyDescent="0.3">
      <c r="B31" s="8"/>
      <c r="C31" s="67" t="str">
        <f>VLOOKUP(44,Textbausteine_102[],Hilfsgrössen!$D$2,FALSE)</f>
        <v>Opérations passives</v>
      </c>
      <c r="D31" s="67" t="str">
        <f>VLOOKUP(21,Textbausteine_102[],Hilfsgrössen!$D$2,FALSE)</f>
        <v>%</v>
      </c>
      <c r="E31" s="293" t="s">
        <v>1567</v>
      </c>
      <c r="F31" s="11" t="s">
        <v>1529</v>
      </c>
      <c r="H31" s="168" t="s">
        <v>1595</v>
      </c>
      <c r="I31" s="163">
        <v>6.3</v>
      </c>
      <c r="J31" s="173">
        <v>6.1</v>
      </c>
      <c r="K31" s="173">
        <v>6.3</v>
      </c>
      <c r="L31" s="174">
        <v>6.9</v>
      </c>
      <c r="M31" s="20">
        <v>9</v>
      </c>
      <c r="N31" s="20">
        <v>9.8000000000000007</v>
      </c>
      <c r="O31" s="100">
        <v>10.199999999999999</v>
      </c>
      <c r="P31" s="100">
        <v>10.6</v>
      </c>
      <c r="Q31" s="100">
        <v>10.9</v>
      </c>
      <c r="R31" s="100">
        <v>10.9</v>
      </c>
      <c r="S31" s="100">
        <v>10.7</v>
      </c>
      <c r="T31" s="181" t="s">
        <v>1595</v>
      </c>
      <c r="U31" s="256" t="s">
        <v>1595</v>
      </c>
    </row>
    <row r="32" spans="1:85" ht="12.65" customHeight="1" x14ac:dyDescent="0.3">
      <c r="B32" s="8"/>
      <c r="D32" s="9"/>
      <c r="E32" s="293"/>
      <c r="F32" s="11"/>
      <c r="G32" s="46"/>
      <c r="U32" s="254"/>
    </row>
    <row r="33" spans="1:85" ht="12.65" customHeight="1" x14ac:dyDescent="0.3">
      <c r="B33" s="8" t="str">
        <f>VLOOKUP(50,Textbausteine_Menu[],Hilfsgrössen!$D$2,FALSE)</f>
        <v>CarPostal</v>
      </c>
      <c r="C33" s="8"/>
      <c r="D33" s="9"/>
      <c r="E33" s="293"/>
      <c r="F33" s="11"/>
      <c r="G33" s="46"/>
      <c r="U33" s="254"/>
    </row>
    <row r="34" spans="1:85" ht="12.65" customHeight="1" x14ac:dyDescent="0.3">
      <c r="B34" s="8"/>
      <c r="C34" s="9" t="str">
        <f>VLOOKUP(45,Textbausteine_102[],Hilfsgrössen!$D$2,FALSE)</f>
        <v>Transports régionaux de voyageurs en vertu de la loi sur le transport de voyageurs (LTV)</v>
      </c>
      <c r="D34" s="9" t="str">
        <f>VLOOKUP(21,Textbausteine_102[],Hilfsgrössen!$D$2,FALSE)</f>
        <v>%</v>
      </c>
      <c r="E34" s="293" t="s">
        <v>1568</v>
      </c>
      <c r="F34" s="11" t="s">
        <v>1529</v>
      </c>
      <c r="G34" s="46"/>
      <c r="H34" s="168" t="s">
        <v>1595</v>
      </c>
      <c r="I34" s="100">
        <v>15</v>
      </c>
      <c r="J34" s="100">
        <v>15</v>
      </c>
      <c r="K34" s="100">
        <v>15</v>
      </c>
      <c r="L34" s="100">
        <v>15</v>
      </c>
      <c r="M34" s="100">
        <v>15.67</v>
      </c>
      <c r="N34" s="100">
        <v>16</v>
      </c>
      <c r="O34" s="100">
        <v>16</v>
      </c>
      <c r="P34" s="100">
        <v>15.3</v>
      </c>
      <c r="Q34" s="100">
        <v>15.1</v>
      </c>
      <c r="R34" s="100">
        <v>15.2</v>
      </c>
      <c r="S34" s="100">
        <v>15.3</v>
      </c>
      <c r="T34" s="20">
        <v>16.7</v>
      </c>
      <c r="U34" s="254">
        <v>16.3</v>
      </c>
    </row>
    <row r="35" spans="1:85" ht="12.65" customHeight="1" x14ac:dyDescent="0.3">
      <c r="B35" s="8"/>
      <c r="D35" s="9"/>
      <c r="E35" s="293"/>
      <c r="F35" s="11"/>
      <c r="G35" s="46"/>
      <c r="U35" s="20"/>
    </row>
    <row r="36" spans="1:85" ht="12.65" customHeight="1" x14ac:dyDescent="0.3">
      <c r="B36" s="26" t="str">
        <f>VLOOKUP(241,Textbausteine_102[],Hilfsgrössen!$D$2,FALSE)</f>
        <v>1) Depuis 2012, Swiss Post International ne constitue plus un segment autonome. Les valeurs la concernant ont été répercutées sur les unités d'affaires PostMail et PostLogistics à partir du 1er janvier 2012.</v>
      </c>
      <c r="C36" s="15"/>
      <c r="H36" s="162"/>
      <c r="I36" s="162"/>
      <c r="J36" s="162"/>
      <c r="K36" s="162"/>
      <c r="L36" s="162"/>
      <c r="M36" s="162"/>
      <c r="N36" s="20"/>
      <c r="O36" s="20"/>
      <c r="P36" s="107"/>
      <c r="Q36" s="163"/>
      <c r="R36" s="162"/>
      <c r="S36" s="162"/>
      <c r="T36" s="163"/>
      <c r="U36" s="163"/>
    </row>
    <row r="37" spans="1:85" ht="12.65" customHeight="1" x14ac:dyDescent="0.3">
      <c r="B37" s="26" t="str">
        <f>VLOOKUP(242,Textbausteine_102[],Hilfsgrössen!$D$2,FALSE)</f>
        <v>2) Valeurs de l'exercice précédent ajustées.</v>
      </c>
      <c r="C37" s="15"/>
      <c r="H37" s="162"/>
      <c r="I37" s="162"/>
      <c r="J37" s="162"/>
      <c r="K37" s="162"/>
      <c r="L37" s="162"/>
      <c r="M37" s="162"/>
      <c r="N37" s="20"/>
      <c r="O37" s="20"/>
      <c r="P37" s="107"/>
      <c r="Q37" s="163"/>
      <c r="R37" s="162"/>
      <c r="S37" s="162"/>
      <c r="T37" s="163"/>
      <c r="U37" s="163"/>
    </row>
    <row r="38" spans="1:85" ht="12.65" customHeight="1" x14ac:dyDescent="0.3">
      <c r="B38" s="26" t="str">
        <f>VLOOKUP(243,Textbausteine_102[],Hilfsgrössen!$D$2,FALSE)</f>
        <v>3) Les opérations passives comprennent la prise en charge des fonds des clients.</v>
      </c>
      <c r="C38" s="68"/>
      <c r="E38" s="291"/>
      <c r="F38" s="11"/>
      <c r="G38" s="49"/>
      <c r="H38" s="175"/>
      <c r="I38" s="175"/>
      <c r="J38" s="175"/>
      <c r="K38" s="175"/>
      <c r="L38" s="175"/>
      <c r="M38" s="175"/>
      <c r="N38" s="162"/>
      <c r="O38" s="162"/>
      <c r="P38" s="162"/>
      <c r="Q38" s="162"/>
      <c r="R38" s="162"/>
      <c r="S38" s="162"/>
      <c r="T38" s="163"/>
      <c r="U38" s="163"/>
    </row>
    <row r="39" spans="1:85" ht="12.65" customHeight="1" x14ac:dyDescent="0.3">
      <c r="B39" s="26" t="str">
        <f>VLOOKUP(244,Textbausteine_102[],Hilfsgrössen!$D$2,FALSE)</f>
        <v>4) Valeur effective 2013 provisoire (novembre 2013); exercices précédents ajustés après le changement de raison sociale en PostFinance SA fin juin 2013.</v>
      </c>
      <c r="C39" s="68"/>
      <c r="E39" s="293"/>
      <c r="F39" s="11"/>
      <c r="G39" s="49"/>
      <c r="H39" s="175"/>
      <c r="I39" s="175"/>
      <c r="J39" s="175"/>
      <c r="K39" s="175"/>
      <c r="L39" s="175"/>
      <c r="M39" s="175"/>
      <c r="N39" s="162"/>
      <c r="O39" s="162"/>
      <c r="P39" s="162"/>
      <c r="Q39" s="162"/>
      <c r="R39" s="162"/>
      <c r="S39" s="162"/>
      <c r="T39" s="163"/>
      <c r="U39" s="163"/>
    </row>
    <row r="40" spans="1:85" ht="12.65" customHeight="1" x14ac:dyDescent="0.3">
      <c r="B40" s="26" t="str">
        <f>VLOOKUP(245,Textbausteine_102[],Hilfsgrössen!$D$2,FALSE)</f>
        <v>5) Transport régional de voyageurs selon la loi sur les chemins de fer; part de marché absolue: chiffre d'affaires de CarPostal par rapport au chiffre d'affaires du marché.</v>
      </c>
      <c r="C40" s="15"/>
      <c r="D40" s="9"/>
      <c r="E40" s="294"/>
      <c r="F40" s="44"/>
      <c r="G40" s="49"/>
      <c r="H40" s="162"/>
      <c r="I40" s="162"/>
      <c r="J40" s="162"/>
      <c r="K40" s="162"/>
      <c r="L40" s="162"/>
      <c r="M40" s="162"/>
      <c r="N40" s="20"/>
      <c r="O40" s="20"/>
      <c r="P40" s="107"/>
      <c r="Q40" s="163"/>
      <c r="R40" s="162"/>
      <c r="S40" s="162"/>
      <c r="T40" s="163"/>
      <c r="U40" s="163"/>
    </row>
    <row r="41" spans="1:85" ht="12.65" customHeight="1" x14ac:dyDescent="0.3">
      <c r="B41" s="26" t="str">
        <f>VLOOKUP(246,Textbausteine_102[],Hilfsgrössen!$D$2,FALSE)</f>
        <v>6) Entre 2010 à et avec 2013: y compris les clients privés gérés par RéseauPostal.</v>
      </c>
      <c r="C41" s="26"/>
      <c r="D41" s="26"/>
      <c r="E41" s="298"/>
      <c r="F41" s="43"/>
      <c r="G41" s="26"/>
      <c r="H41" s="164"/>
      <c r="I41" s="164"/>
      <c r="J41" s="164"/>
      <c r="K41" s="164"/>
      <c r="L41" s="164"/>
      <c r="M41" s="164"/>
      <c r="N41" s="164"/>
      <c r="O41" s="164"/>
      <c r="P41" s="164"/>
      <c r="Q41" s="164"/>
      <c r="R41" s="162"/>
      <c r="S41" s="162"/>
      <c r="T41" s="163"/>
      <c r="U41" s="163"/>
    </row>
    <row r="42" spans="1:85" ht="12.65" customHeight="1" x14ac:dyDescent="0.3">
      <c r="B42" s="26" t="str">
        <f>VLOOKUP(247,Textbausteine_102[],Hilfsgrössen!$D$2,FALSE)</f>
        <v>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v>
      </c>
      <c r="C42" s="26"/>
      <c r="D42" s="26"/>
      <c r="E42" s="298"/>
      <c r="F42" s="43"/>
      <c r="G42" s="26"/>
      <c r="H42" s="164"/>
      <c r="I42" s="164"/>
      <c r="J42" s="164"/>
      <c r="K42" s="164"/>
      <c r="L42" s="164"/>
      <c r="M42" s="164"/>
      <c r="N42" s="164"/>
      <c r="O42" s="164"/>
      <c r="P42" s="164"/>
      <c r="Q42" s="164"/>
      <c r="R42" s="162"/>
      <c r="S42" s="162"/>
      <c r="T42" s="163"/>
      <c r="U42" s="163"/>
    </row>
    <row r="43" spans="1:85" ht="12.65" customHeight="1" x14ac:dyDescent="0.3">
      <c r="B43" s="26" t="str">
        <f>VLOOKUP(248,Textbausteine_102[],Hilfsgrössen!$D$2,FALSE)</f>
        <v>8) Depuis le 1er janvier 2016, la part de marché des opérations passives de PostFinance n'est plus relevée.</v>
      </c>
      <c r="C43" s="15"/>
      <c r="H43" s="162"/>
      <c r="I43" s="162"/>
      <c r="J43" s="162"/>
      <c r="K43" s="162"/>
      <c r="L43" s="162"/>
      <c r="M43" s="162"/>
      <c r="N43" s="20"/>
      <c r="O43" s="20"/>
      <c r="P43" s="107"/>
      <c r="Q43" s="163"/>
      <c r="R43" s="162"/>
      <c r="S43" s="162"/>
      <c r="T43" s="163"/>
      <c r="U43" s="163"/>
    </row>
    <row r="44" spans="1:85" ht="12.65" customHeight="1" x14ac:dyDescent="0.3">
      <c r="B44" s="26" t="str">
        <f>VLOOKUP(249,Textbausteine_102[],Hilfsgrössen!$D$2,FALSE)</f>
        <v>9) La valeur de l'année de référence actuelle est provisoire.</v>
      </c>
      <c r="C44" s="15"/>
      <c r="H44" s="162"/>
      <c r="I44" s="162"/>
      <c r="J44" s="162"/>
      <c r="K44" s="162"/>
      <c r="L44" s="162"/>
      <c r="M44" s="162"/>
      <c r="N44" s="20"/>
      <c r="O44" s="20"/>
      <c r="P44" s="107"/>
      <c r="Q44" s="163"/>
      <c r="R44" s="162"/>
      <c r="S44" s="162"/>
      <c r="T44" s="163"/>
      <c r="U44" s="163"/>
    </row>
    <row r="45" spans="1:85" ht="12.65" customHeight="1" x14ac:dyDescent="0.3">
      <c r="B45" s="26"/>
      <c r="C45" s="15"/>
      <c r="H45" s="162"/>
      <c r="I45" s="162"/>
      <c r="J45" s="162"/>
      <c r="K45" s="162"/>
      <c r="L45" s="162"/>
      <c r="M45" s="162"/>
      <c r="N45" s="20"/>
      <c r="O45" s="20"/>
      <c r="P45" s="107"/>
      <c r="Q45" s="163"/>
      <c r="R45" s="162"/>
      <c r="S45" s="162"/>
      <c r="T45" s="163"/>
      <c r="U45" s="163"/>
    </row>
    <row r="46" spans="1:85" ht="12.65" customHeight="1" x14ac:dyDescent="0.3">
      <c r="B46" s="8"/>
      <c r="D46" s="9"/>
      <c r="E46" s="293"/>
      <c r="F46" s="11"/>
      <c r="G46" s="46"/>
      <c r="U46" s="20"/>
    </row>
    <row r="47" spans="1:85" ht="12.65" customHeight="1" x14ac:dyDescent="0.3">
      <c r="C47" s="15"/>
      <c r="H47" s="162"/>
      <c r="I47" s="162"/>
      <c r="J47" s="162"/>
      <c r="K47" s="162"/>
      <c r="L47" s="162"/>
      <c r="M47" s="162"/>
      <c r="N47" s="20"/>
      <c r="O47" s="20"/>
      <c r="P47" s="107"/>
      <c r="Q47" s="163"/>
      <c r="R47" s="162"/>
      <c r="S47" s="162"/>
      <c r="T47" s="163"/>
      <c r="U47" s="163"/>
    </row>
    <row r="48" spans="1:85" s="152" customFormat="1" ht="12.65" customHeight="1" x14ac:dyDescent="0.3">
      <c r="A48" s="62" t="s">
        <v>900</v>
      </c>
      <c r="B48" s="385" t="str">
        <f>$C$8</f>
        <v>Financement</v>
      </c>
      <c r="C48" s="385"/>
      <c r="D48" s="59" t="str">
        <f>VLOOKUP(32,Textbausteine_Menu[],Hilfsgrössen!$D$2,FALSE)</f>
        <v>Unité</v>
      </c>
      <c r="E48" s="292" t="str">
        <f>VLOOKUP(33,Textbausteine_Menu[],Hilfsgrössen!$D$2,FALSE)</f>
        <v>Notes</v>
      </c>
      <c r="F48" s="40" t="str">
        <f>VLOOKUP(34,Textbausteine_Menu[],Hilfsgrössen!$D$2,FALSE)</f>
        <v>GRI</v>
      </c>
      <c r="G48" s="48"/>
      <c r="H48" s="160">
        <v>2004</v>
      </c>
      <c r="I48" s="160">
        <v>2005</v>
      </c>
      <c r="J48" s="160">
        <v>2006</v>
      </c>
      <c r="K48" s="160">
        <v>2007</v>
      </c>
      <c r="L48" s="160">
        <v>2008</v>
      </c>
      <c r="M48" s="160">
        <v>2009</v>
      </c>
      <c r="N48" s="160">
        <v>2010</v>
      </c>
      <c r="O48" s="160">
        <v>2011</v>
      </c>
      <c r="P48" s="160">
        <v>2012</v>
      </c>
      <c r="Q48" s="160">
        <v>2013</v>
      </c>
      <c r="R48" s="160">
        <v>2014</v>
      </c>
      <c r="S48" s="160">
        <v>2015</v>
      </c>
      <c r="T48" s="120">
        <v>2016</v>
      </c>
      <c r="U48" s="252">
        <v>2017</v>
      </c>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row>
    <row r="49" spans="1:85" s="61" customFormat="1" ht="12.65" customHeight="1" x14ac:dyDescent="0.3">
      <c r="A49" s="82"/>
      <c r="B49" s="385"/>
      <c r="C49" s="385"/>
      <c r="D49" s="60"/>
      <c r="E49" s="288"/>
      <c r="F49" s="39"/>
      <c r="G49" s="49"/>
      <c r="H49" s="161"/>
      <c r="I49" s="161"/>
      <c r="J49" s="161"/>
      <c r="K49" s="161"/>
      <c r="L49" s="161"/>
      <c r="M49" s="161"/>
      <c r="N49" s="161"/>
      <c r="O49" s="161"/>
      <c r="P49" s="161"/>
      <c r="Q49" s="161"/>
      <c r="R49" s="161"/>
      <c r="S49" s="161"/>
      <c r="T49" s="119"/>
      <c r="U49" s="253"/>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row>
    <row r="50" spans="1:85" ht="12.65" customHeight="1" x14ac:dyDescent="0.3">
      <c r="B50" s="8"/>
      <c r="D50" s="9"/>
      <c r="E50" s="293"/>
      <c r="F50" s="11"/>
      <c r="G50" s="46"/>
      <c r="U50" s="254"/>
    </row>
    <row r="51" spans="1:85" ht="12.65" customHeight="1" x14ac:dyDescent="0.3">
      <c r="B51" s="8" t="str">
        <f>VLOOKUP(36,Textbausteine_Menu[],Hilfsgrössen!$D$2,FALSE)</f>
        <v>Groupe</v>
      </c>
      <c r="D51" s="67"/>
      <c r="E51" s="293"/>
      <c r="F51" s="11"/>
      <c r="T51" s="107"/>
      <c r="U51" s="255"/>
    </row>
    <row r="52" spans="1:85" ht="12.65" customHeight="1" x14ac:dyDescent="0.3">
      <c r="B52" s="8"/>
      <c r="C52" s="67" t="str">
        <f>VLOOKUP(51,Textbausteine_102[],Hilfsgrössen!$D$2,FALSE)</f>
        <v>Total du bilan</v>
      </c>
      <c r="D52" s="9" t="str">
        <f>VLOOKUP(22,Textbausteine_102[],Hilfsgrössen!$D$2,FALSE)</f>
        <v>Millions de CHF</v>
      </c>
      <c r="E52" s="293"/>
      <c r="F52" s="11" t="s">
        <v>1433</v>
      </c>
      <c r="H52" s="138" t="s">
        <v>1595</v>
      </c>
      <c r="I52" s="100">
        <v>50130</v>
      </c>
      <c r="J52" s="100">
        <v>55600</v>
      </c>
      <c r="K52" s="100">
        <v>60085</v>
      </c>
      <c r="L52" s="100">
        <v>71603</v>
      </c>
      <c r="M52" s="100">
        <v>84676</v>
      </c>
      <c r="N52" s="100">
        <v>93310</v>
      </c>
      <c r="O52" s="100">
        <v>108254</v>
      </c>
      <c r="P52" s="100">
        <v>120069</v>
      </c>
      <c r="Q52" s="100">
        <v>120383</v>
      </c>
      <c r="R52" s="100">
        <v>124671</v>
      </c>
      <c r="S52" s="100">
        <v>120327</v>
      </c>
      <c r="T52" s="107">
        <v>126689</v>
      </c>
      <c r="U52" s="255">
        <v>127410</v>
      </c>
    </row>
    <row r="53" spans="1:85" ht="12.65" customHeight="1" x14ac:dyDescent="0.3">
      <c r="C53" s="77" t="str">
        <f>VLOOKUP(52,Textbausteine_102[],Hilfsgrössen!$D$2,FALSE)</f>
        <v>Fonds des clients PostFinance</v>
      </c>
      <c r="D53" s="9" t="str">
        <f>VLOOKUP(22,Textbausteine_102[],Hilfsgrössen!$D$2,FALSE)</f>
        <v>Millions de CHF</v>
      </c>
      <c r="E53" s="293"/>
      <c r="F53" s="11" t="s">
        <v>1433</v>
      </c>
      <c r="H53" s="138" t="s">
        <v>1595</v>
      </c>
      <c r="I53" s="20">
        <v>43630</v>
      </c>
      <c r="J53" s="20">
        <v>48364</v>
      </c>
      <c r="K53" s="20">
        <v>51462</v>
      </c>
      <c r="L53" s="20">
        <v>64204</v>
      </c>
      <c r="M53" s="20">
        <v>77272</v>
      </c>
      <c r="N53" s="20">
        <v>85725</v>
      </c>
      <c r="O53" s="100">
        <v>100707</v>
      </c>
      <c r="P53" s="100">
        <v>110531</v>
      </c>
      <c r="Q53" s="100">
        <v>109086</v>
      </c>
      <c r="R53" s="100">
        <v>112150</v>
      </c>
      <c r="S53" s="100">
        <v>107380</v>
      </c>
      <c r="T53" s="107">
        <v>110533</v>
      </c>
      <c r="U53" s="255">
        <v>113184</v>
      </c>
    </row>
    <row r="54" spans="1:85" ht="12.65" customHeight="1" x14ac:dyDescent="0.3">
      <c r="C54" s="77" t="str">
        <f>VLOOKUP(53,Textbausteine_102[],Hilfsgrössen!$D$2,FALSE)</f>
        <v>Part au total du bilan</v>
      </c>
      <c r="D54" s="9" t="str">
        <f>VLOOKUP(21,Textbausteine_102[],Hilfsgrössen!$D$2,FALSE)</f>
        <v>%</v>
      </c>
      <c r="E54" s="293"/>
      <c r="F54" s="11" t="s">
        <v>1433</v>
      </c>
      <c r="H54" s="138" t="s">
        <v>1595</v>
      </c>
      <c r="I54" s="20">
        <v>87</v>
      </c>
      <c r="J54" s="20">
        <v>87</v>
      </c>
      <c r="K54" s="20">
        <v>86</v>
      </c>
      <c r="L54" s="20">
        <v>90</v>
      </c>
      <c r="M54" s="20">
        <v>91</v>
      </c>
      <c r="N54" s="20">
        <v>92</v>
      </c>
      <c r="O54" s="100">
        <v>93</v>
      </c>
      <c r="P54" s="335">
        <v>92</v>
      </c>
      <c r="Q54" s="100">
        <v>91</v>
      </c>
      <c r="R54" s="100">
        <v>90</v>
      </c>
      <c r="S54" s="100">
        <v>89</v>
      </c>
      <c r="T54" s="107">
        <v>87</v>
      </c>
      <c r="U54" s="255">
        <v>89</v>
      </c>
      <c r="V54" s="11"/>
    </row>
    <row r="55" spans="1:85" ht="12.65" customHeight="1" x14ac:dyDescent="0.3">
      <c r="C55" s="67" t="str">
        <f>VLOOKUP(54,Textbausteine_102[],Hilfsgrössen!$D$2,FALSE)</f>
        <v>Fonds propres</v>
      </c>
      <c r="D55" s="9" t="str">
        <f>VLOOKUP(22,Textbausteine_102[],Hilfsgrössen!$D$2,FALSE)</f>
        <v>Millions de CHF</v>
      </c>
      <c r="E55" s="294"/>
      <c r="F55" s="11" t="s">
        <v>1433</v>
      </c>
      <c r="H55" s="138" t="s">
        <v>1595</v>
      </c>
      <c r="I55" s="162">
        <v>922</v>
      </c>
      <c r="J55" s="162">
        <v>1605</v>
      </c>
      <c r="K55" s="162">
        <v>2470</v>
      </c>
      <c r="L55" s="162">
        <v>2857</v>
      </c>
      <c r="M55" s="162">
        <v>3534</v>
      </c>
      <c r="N55" s="20">
        <v>4224</v>
      </c>
      <c r="O55" s="20">
        <v>4879</v>
      </c>
      <c r="P55" s="107">
        <v>3145</v>
      </c>
      <c r="Q55" s="163">
        <v>5637</v>
      </c>
      <c r="R55" s="162">
        <v>5010</v>
      </c>
      <c r="S55" s="162">
        <v>4385</v>
      </c>
      <c r="T55" s="107">
        <v>4881</v>
      </c>
      <c r="U55" s="255">
        <v>6613</v>
      </c>
    </row>
    <row r="56" spans="1:85" ht="12.65" customHeight="1" x14ac:dyDescent="0.3">
      <c r="C56" s="15"/>
      <c r="H56" s="162"/>
      <c r="I56" s="162"/>
      <c r="J56" s="162"/>
      <c r="K56" s="162"/>
      <c r="L56" s="162"/>
      <c r="M56" s="162"/>
      <c r="N56" s="20"/>
      <c r="O56" s="20"/>
      <c r="P56" s="107"/>
      <c r="Q56" s="163"/>
      <c r="R56" s="162"/>
      <c r="S56" s="162"/>
      <c r="T56" s="163"/>
      <c r="U56" s="163"/>
    </row>
    <row r="57" spans="1:85" ht="12.65" customHeight="1" x14ac:dyDescent="0.3">
      <c r="C57" s="15"/>
      <c r="H57" s="162"/>
      <c r="I57" s="162"/>
      <c r="J57" s="162"/>
      <c r="K57" s="162"/>
      <c r="L57" s="162"/>
      <c r="M57" s="162"/>
      <c r="N57" s="20"/>
      <c r="O57" s="20"/>
      <c r="P57" s="107"/>
      <c r="Q57" s="163"/>
      <c r="R57" s="162"/>
      <c r="S57" s="162"/>
      <c r="T57" s="163"/>
      <c r="U57" s="163"/>
    </row>
    <row r="58" spans="1:85" ht="12.65" customHeight="1" x14ac:dyDescent="0.3">
      <c r="C58" s="15"/>
      <c r="H58" s="162"/>
      <c r="I58" s="162"/>
      <c r="J58" s="162"/>
      <c r="K58" s="162"/>
      <c r="L58" s="162"/>
      <c r="M58" s="162"/>
      <c r="N58" s="20"/>
      <c r="O58" s="20"/>
      <c r="P58" s="107"/>
      <c r="Q58" s="163"/>
      <c r="R58" s="162"/>
      <c r="S58" s="162"/>
      <c r="T58" s="163"/>
      <c r="U58" s="163"/>
    </row>
    <row r="59" spans="1:85" s="152" customFormat="1" ht="12.65" customHeight="1" x14ac:dyDescent="0.3">
      <c r="A59" s="62" t="s">
        <v>900</v>
      </c>
      <c r="B59" s="385" t="str">
        <f>$C$9</f>
        <v>Cash-flow et investissements</v>
      </c>
      <c r="C59" s="385"/>
      <c r="D59" s="59" t="str">
        <f>VLOOKUP(32,Textbausteine_Menu[],Hilfsgrössen!$D$2,FALSE)</f>
        <v>Unité</v>
      </c>
      <c r="E59" s="292" t="str">
        <f>VLOOKUP(33,Textbausteine_Menu[],Hilfsgrössen!$D$2,FALSE)</f>
        <v>Notes</v>
      </c>
      <c r="F59" s="40" t="str">
        <f>VLOOKUP(34,Textbausteine_Menu[],Hilfsgrössen!$D$2,FALSE)</f>
        <v>GRI</v>
      </c>
      <c r="G59" s="48"/>
      <c r="H59" s="160">
        <v>2004</v>
      </c>
      <c r="I59" s="160">
        <v>2005</v>
      </c>
      <c r="J59" s="160">
        <v>2006</v>
      </c>
      <c r="K59" s="160">
        <v>2007</v>
      </c>
      <c r="L59" s="160">
        <v>2008</v>
      </c>
      <c r="M59" s="160">
        <v>2009</v>
      </c>
      <c r="N59" s="160">
        <v>2010</v>
      </c>
      <c r="O59" s="160">
        <v>2011</v>
      </c>
      <c r="P59" s="160">
        <v>2012</v>
      </c>
      <c r="Q59" s="160">
        <v>2013</v>
      </c>
      <c r="R59" s="160">
        <v>2014</v>
      </c>
      <c r="S59" s="160">
        <v>2015</v>
      </c>
      <c r="T59" s="120">
        <v>2016</v>
      </c>
      <c r="U59" s="252">
        <v>2017</v>
      </c>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row>
    <row r="60" spans="1:85" s="61" customFormat="1" ht="12.65" customHeight="1" x14ac:dyDescent="0.3">
      <c r="A60" s="82"/>
      <c r="B60" s="385"/>
      <c r="C60" s="385"/>
      <c r="D60" s="60"/>
      <c r="E60" s="288"/>
      <c r="F60" s="39"/>
      <c r="G60" s="49"/>
      <c r="H60" s="161"/>
      <c r="I60" s="161"/>
      <c r="J60" s="161"/>
      <c r="K60" s="161"/>
      <c r="L60" s="161"/>
      <c r="M60" s="161"/>
      <c r="N60" s="161"/>
      <c r="O60" s="161"/>
      <c r="P60" s="161"/>
      <c r="Q60" s="161"/>
      <c r="R60" s="161"/>
      <c r="S60" s="161"/>
      <c r="T60" s="119"/>
      <c r="U60" s="253"/>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row>
    <row r="61" spans="1:85" ht="12.65" customHeight="1" x14ac:dyDescent="0.3">
      <c r="B61" s="8"/>
      <c r="D61" s="9"/>
      <c r="E61" s="293"/>
      <c r="F61" s="11"/>
      <c r="G61" s="46"/>
      <c r="U61" s="254"/>
    </row>
    <row r="62" spans="1:85" ht="12.65" customHeight="1" x14ac:dyDescent="0.3">
      <c r="B62" s="8" t="str">
        <f>VLOOKUP(36,Textbausteine_Menu[],Hilfsgrössen!$D$2,FALSE)</f>
        <v>Groupe</v>
      </c>
      <c r="C62" s="8"/>
      <c r="D62" s="67"/>
      <c r="E62" s="293"/>
      <c r="F62" s="11"/>
      <c r="T62" s="107"/>
      <c r="U62" s="255"/>
    </row>
    <row r="63" spans="1:85" ht="12.65" customHeight="1" x14ac:dyDescent="0.3">
      <c r="C63" s="68" t="str">
        <f>VLOOKUP(61,Textbausteine_102[],Hilfsgrössen!$D$2,FALSE)</f>
        <v>Flux de trésorerie des activités opérationnelles</v>
      </c>
      <c r="D63" s="9" t="str">
        <f>VLOOKUP(22,Textbausteine_102[],Hilfsgrössen!$D$2,FALSE)</f>
        <v>Millions de CHF</v>
      </c>
      <c r="E63" s="293">
        <v>1</v>
      </c>
      <c r="F63" s="11" t="s">
        <v>1433</v>
      </c>
      <c r="H63" s="138" t="s">
        <v>1595</v>
      </c>
      <c r="I63" s="168" t="s">
        <v>1595</v>
      </c>
      <c r="J63" s="168" t="s">
        <v>1595</v>
      </c>
      <c r="K63" s="100">
        <v>938</v>
      </c>
      <c r="L63" s="100">
        <v>977</v>
      </c>
      <c r="M63" s="100">
        <v>824</v>
      </c>
      <c r="N63" s="20">
        <v>931</v>
      </c>
      <c r="O63" s="100">
        <v>965</v>
      </c>
      <c r="P63" s="100">
        <v>13424</v>
      </c>
      <c r="Q63" s="100">
        <v>-367</v>
      </c>
      <c r="R63" s="100">
        <v>-1925</v>
      </c>
      <c r="S63" s="100">
        <v>-2990</v>
      </c>
      <c r="T63" s="107">
        <v>-385</v>
      </c>
      <c r="U63" s="255">
        <v>1941</v>
      </c>
    </row>
    <row r="64" spans="1:85" ht="12.65" customHeight="1" x14ac:dyDescent="0.3">
      <c r="C64" s="73" t="str">
        <f>VLOOKUP(62,Textbausteine_102[],Hilfsgrössen!$D$2,FALSE)</f>
        <v>Investissements</v>
      </c>
      <c r="D64" s="9" t="str">
        <f>VLOOKUP(22,Textbausteine_102[],Hilfsgrössen!$D$2,FALSE)</f>
        <v>Millions de CHF</v>
      </c>
      <c r="E64" s="293"/>
      <c r="F64" s="11" t="s">
        <v>1433</v>
      </c>
      <c r="H64" s="138" t="s">
        <v>1595</v>
      </c>
      <c r="I64" s="100">
        <v>347</v>
      </c>
      <c r="J64" s="100">
        <v>540</v>
      </c>
      <c r="K64" s="100">
        <v>644</v>
      </c>
      <c r="L64" s="100">
        <v>516</v>
      </c>
      <c r="M64" s="100">
        <v>431</v>
      </c>
      <c r="N64" s="20">
        <v>364</v>
      </c>
      <c r="O64" s="100">
        <v>429</v>
      </c>
      <c r="P64" s="100">
        <v>443</v>
      </c>
      <c r="Q64" s="100">
        <v>453</v>
      </c>
      <c r="R64" s="100">
        <v>443</v>
      </c>
      <c r="S64" s="100">
        <v>437</v>
      </c>
      <c r="T64" s="107">
        <v>450</v>
      </c>
      <c r="U64" s="255">
        <v>394</v>
      </c>
    </row>
    <row r="65" spans="1:85" ht="12.65" customHeight="1" x14ac:dyDescent="0.3">
      <c r="C65" s="70" t="str">
        <f>VLOOKUP(63,Textbausteine_102[],Hilfsgrössen!$D$2,FALSE)</f>
        <v>Autres immobilisations corporelles, immobilisations incorporelles</v>
      </c>
      <c r="D65" s="9" t="str">
        <f>VLOOKUP(22,Textbausteine_102[],Hilfsgrössen!$D$2,FALSE)</f>
        <v>Millions de CHF</v>
      </c>
      <c r="E65" s="294"/>
      <c r="F65" s="11" t="s">
        <v>1433</v>
      </c>
      <c r="H65" s="138" t="s">
        <v>1595</v>
      </c>
      <c r="I65" s="100">
        <v>176</v>
      </c>
      <c r="J65" s="100">
        <v>195</v>
      </c>
      <c r="K65" s="100">
        <v>322</v>
      </c>
      <c r="L65" s="100">
        <v>326</v>
      </c>
      <c r="M65" s="100">
        <v>270</v>
      </c>
      <c r="N65" s="20">
        <v>176</v>
      </c>
      <c r="O65" s="100">
        <v>239</v>
      </c>
      <c r="P65" s="100">
        <v>228</v>
      </c>
      <c r="Q65" s="100">
        <v>249</v>
      </c>
      <c r="R65" s="100">
        <v>250</v>
      </c>
      <c r="S65" s="100">
        <v>317</v>
      </c>
      <c r="T65" s="107">
        <v>302</v>
      </c>
      <c r="U65" s="255">
        <v>245</v>
      </c>
    </row>
    <row r="66" spans="1:85" ht="12.65" customHeight="1" x14ac:dyDescent="0.3">
      <c r="C66" s="70" t="str">
        <f>VLOOKUP(64,Textbausteine_102[],Hilfsgrössen!$D$2,FALSE)</f>
        <v>Immeubles d'exploitation</v>
      </c>
      <c r="D66" s="9" t="str">
        <f>VLOOKUP(22,Textbausteine_102[],Hilfsgrössen!$D$2,FALSE)</f>
        <v>Millions de CHF</v>
      </c>
      <c r="E66" s="294"/>
      <c r="F66" s="11" t="s">
        <v>1433</v>
      </c>
      <c r="H66" s="138" t="s">
        <v>1595</v>
      </c>
      <c r="I66" s="100">
        <v>153</v>
      </c>
      <c r="J66" s="100">
        <v>310</v>
      </c>
      <c r="K66" s="100">
        <v>281</v>
      </c>
      <c r="L66" s="100">
        <v>147</v>
      </c>
      <c r="M66" s="100">
        <v>109</v>
      </c>
      <c r="N66" s="20">
        <v>163</v>
      </c>
      <c r="O66" s="100">
        <v>168</v>
      </c>
      <c r="P66" s="100">
        <v>162</v>
      </c>
      <c r="Q66" s="100">
        <v>115</v>
      </c>
      <c r="R66" s="100">
        <v>124</v>
      </c>
      <c r="S66" s="100">
        <v>57</v>
      </c>
      <c r="T66" s="107">
        <v>103</v>
      </c>
      <c r="U66" s="255">
        <v>97</v>
      </c>
      <c r="V66" s="11"/>
    </row>
    <row r="67" spans="1:85" ht="12.65" customHeight="1" x14ac:dyDescent="0.3">
      <c r="C67" s="70" t="str">
        <f>VLOOKUP(65,Textbausteine_102[],Hilfsgrössen!$D$2,FALSE)</f>
        <v>Immeubles de placement</v>
      </c>
      <c r="D67" s="9" t="str">
        <f>VLOOKUP(22,Textbausteine_102[],Hilfsgrössen!$D$2,FALSE)</f>
        <v>Millions de CHF</v>
      </c>
      <c r="E67" s="294"/>
      <c r="F67" s="11" t="s">
        <v>1433</v>
      </c>
      <c r="H67" s="138" t="s">
        <v>1595</v>
      </c>
      <c r="I67" s="100">
        <v>0</v>
      </c>
      <c r="J67" s="100">
        <v>0</v>
      </c>
      <c r="K67" s="100">
        <v>0</v>
      </c>
      <c r="L67" s="100">
        <v>0</v>
      </c>
      <c r="M67" s="100">
        <v>0</v>
      </c>
      <c r="N67" s="20">
        <v>0</v>
      </c>
      <c r="O67" s="100">
        <v>11</v>
      </c>
      <c r="P67" s="100">
        <v>19</v>
      </c>
      <c r="Q67" s="100">
        <v>48</v>
      </c>
      <c r="R67" s="100">
        <v>64</v>
      </c>
      <c r="S67" s="100">
        <v>47</v>
      </c>
      <c r="T67" s="107">
        <v>31</v>
      </c>
      <c r="U67" s="255">
        <v>29</v>
      </c>
      <c r="V67" s="11"/>
    </row>
    <row r="68" spans="1:85" ht="12.65" customHeight="1" x14ac:dyDescent="0.3">
      <c r="C68" s="70" t="str">
        <f>VLOOKUP(66,Textbausteine_102[],Hilfsgrössen!$D$2,FALSE)</f>
        <v>Participations</v>
      </c>
      <c r="D68" s="9" t="str">
        <f>VLOOKUP(22,Textbausteine_102[],Hilfsgrössen!$D$2,FALSE)</f>
        <v>Millions de CHF</v>
      </c>
      <c r="E68" s="294"/>
      <c r="F68" s="11" t="s">
        <v>1433</v>
      </c>
      <c r="H68" s="138" t="s">
        <v>1595</v>
      </c>
      <c r="I68" s="100">
        <v>18</v>
      </c>
      <c r="J68" s="100">
        <v>35</v>
      </c>
      <c r="K68" s="100">
        <v>41</v>
      </c>
      <c r="L68" s="100">
        <v>43</v>
      </c>
      <c r="M68" s="100">
        <v>52</v>
      </c>
      <c r="N68" s="20">
        <v>25</v>
      </c>
      <c r="O68" s="100">
        <v>11</v>
      </c>
      <c r="P68" s="100">
        <v>34</v>
      </c>
      <c r="Q68" s="100">
        <v>41</v>
      </c>
      <c r="R68" s="100">
        <v>5</v>
      </c>
      <c r="S68" s="100">
        <v>16</v>
      </c>
      <c r="T68" s="107">
        <v>14</v>
      </c>
      <c r="U68" s="255">
        <v>23</v>
      </c>
      <c r="V68" s="11"/>
    </row>
    <row r="69" spans="1:85" ht="12.65" customHeight="1" x14ac:dyDescent="0.3">
      <c r="C69" s="73" t="str">
        <f>VLOOKUP(67,Textbausteine_102[],Hilfsgrössen!$D$2,FALSE)</f>
        <v>Ratio des investissements autofinancés</v>
      </c>
      <c r="D69" s="9" t="str">
        <f>VLOOKUP(21,Textbausteine_102[],Hilfsgrössen!$D$2,FALSE)</f>
        <v>%</v>
      </c>
      <c r="E69" s="294"/>
      <c r="F69" s="11" t="s">
        <v>1433</v>
      </c>
      <c r="H69" s="138" t="s">
        <v>1595</v>
      </c>
      <c r="I69" s="100">
        <v>100</v>
      </c>
      <c r="J69" s="100">
        <v>100</v>
      </c>
      <c r="K69" s="100">
        <v>100</v>
      </c>
      <c r="L69" s="100">
        <v>100</v>
      </c>
      <c r="M69" s="100">
        <v>100</v>
      </c>
      <c r="N69" s="20">
        <v>100</v>
      </c>
      <c r="O69" s="100">
        <v>100</v>
      </c>
      <c r="P69" s="100">
        <v>100</v>
      </c>
      <c r="Q69" s="100">
        <v>100</v>
      </c>
      <c r="R69" s="100">
        <v>100</v>
      </c>
      <c r="S69" s="100">
        <v>100</v>
      </c>
      <c r="T69" s="107">
        <v>100</v>
      </c>
      <c r="U69" s="255">
        <v>100</v>
      </c>
    </row>
    <row r="70" spans="1:85" ht="12.65" customHeight="1" x14ac:dyDescent="0.3">
      <c r="C70" s="15"/>
      <c r="E70" s="294"/>
      <c r="F70" s="44"/>
      <c r="H70" s="162"/>
      <c r="I70" s="162"/>
      <c r="J70" s="162"/>
      <c r="K70" s="162"/>
      <c r="L70" s="162"/>
      <c r="M70" s="162"/>
      <c r="N70" s="20"/>
      <c r="O70" s="20"/>
      <c r="P70" s="107"/>
      <c r="Q70" s="163"/>
      <c r="R70" s="162"/>
      <c r="S70" s="162"/>
      <c r="T70" s="163"/>
      <c r="U70" s="163"/>
    </row>
    <row r="71" spans="1:85" ht="12.65" customHeight="1" x14ac:dyDescent="0.3">
      <c r="B71" s="26" t="str">
        <f>VLOOKUP(251,Textbausteine_102[],Hilfsgrössen!$D$2,FALSE)</f>
        <v>1) Les cash-flows 2016, 2015, 2014, 2013 et 2012 tiennent compte des variations de postes des services financiers (PostFinance). La valeur du cash-flow 2016 a été ajustée.</v>
      </c>
      <c r="C71" s="26"/>
      <c r="D71" s="26"/>
      <c r="E71" s="298"/>
      <c r="F71" s="43"/>
      <c r="G71" s="26"/>
      <c r="H71" s="164"/>
      <c r="I71" s="164"/>
      <c r="J71" s="164"/>
      <c r="K71" s="164"/>
      <c r="L71" s="164"/>
      <c r="M71" s="164"/>
      <c r="N71" s="164"/>
      <c r="O71" s="164"/>
      <c r="P71" s="164"/>
      <c r="Q71" s="164"/>
      <c r="R71" s="162"/>
      <c r="S71" s="162"/>
      <c r="T71" s="163"/>
      <c r="U71" s="163"/>
    </row>
    <row r="72" spans="1:85" ht="12.65" customHeight="1" x14ac:dyDescent="0.3">
      <c r="B72" s="26"/>
      <c r="C72" s="26"/>
      <c r="D72" s="26"/>
      <c r="E72" s="298"/>
      <c r="F72" s="43"/>
      <c r="G72" s="26"/>
      <c r="H72" s="164"/>
      <c r="I72" s="164"/>
      <c r="J72" s="164"/>
      <c r="K72" s="164"/>
      <c r="L72" s="164"/>
      <c r="M72" s="164"/>
      <c r="N72" s="164"/>
      <c r="O72" s="164"/>
      <c r="P72" s="164"/>
      <c r="Q72" s="164"/>
      <c r="R72" s="162"/>
      <c r="S72" s="162"/>
      <c r="T72" s="163"/>
      <c r="U72" s="163"/>
    </row>
    <row r="73" spans="1:85" ht="12.65" customHeight="1" x14ac:dyDescent="0.3">
      <c r="B73" s="26"/>
      <c r="C73" s="26"/>
      <c r="D73" s="26"/>
      <c r="E73" s="298"/>
      <c r="F73" s="43"/>
      <c r="G73" s="26"/>
      <c r="H73" s="164"/>
      <c r="I73" s="164"/>
      <c r="J73" s="164"/>
      <c r="K73" s="164"/>
      <c r="L73" s="164"/>
      <c r="M73" s="164"/>
      <c r="N73" s="164"/>
      <c r="O73" s="164"/>
      <c r="P73" s="164"/>
      <c r="Q73" s="164"/>
      <c r="R73" s="162"/>
      <c r="S73" s="162"/>
      <c r="T73" s="163"/>
      <c r="U73" s="163"/>
    </row>
    <row r="74" spans="1:85" ht="12.65" customHeight="1" x14ac:dyDescent="0.3">
      <c r="C74" s="15"/>
      <c r="H74" s="162"/>
      <c r="I74" s="162"/>
      <c r="J74" s="162"/>
      <c r="K74" s="162"/>
      <c r="L74" s="162"/>
      <c r="M74" s="162"/>
      <c r="N74" s="20"/>
      <c r="O74" s="20"/>
      <c r="P74" s="107"/>
      <c r="Q74" s="163"/>
      <c r="R74" s="162"/>
      <c r="S74" s="162"/>
      <c r="T74" s="163"/>
      <c r="U74" s="163"/>
    </row>
    <row r="75" spans="1:85" s="152" customFormat="1" ht="12.65" customHeight="1" x14ac:dyDescent="0.3">
      <c r="A75" s="62" t="s">
        <v>900</v>
      </c>
      <c r="B75" s="392" t="str">
        <f>$C$10</f>
        <v>Evolution des volumes</v>
      </c>
      <c r="C75" s="392"/>
      <c r="D75" s="59" t="str">
        <f>VLOOKUP(32,Textbausteine_Menu[],Hilfsgrössen!$D$2,FALSE)</f>
        <v>Unité</v>
      </c>
      <c r="E75" s="292" t="str">
        <f>VLOOKUP(33,Textbausteine_Menu[],Hilfsgrössen!$D$2,FALSE)</f>
        <v>Notes</v>
      </c>
      <c r="F75" s="40" t="str">
        <f>VLOOKUP(34,Textbausteine_Menu[],Hilfsgrössen!$D$2,FALSE)</f>
        <v>GRI</v>
      </c>
      <c r="G75" s="48"/>
      <c r="H75" s="127">
        <v>2004</v>
      </c>
      <c r="I75" s="127">
        <v>2005</v>
      </c>
      <c r="J75" s="127">
        <v>2006</v>
      </c>
      <c r="K75" s="127">
        <v>2007</v>
      </c>
      <c r="L75" s="127">
        <v>2008</v>
      </c>
      <c r="M75" s="127">
        <v>2009</v>
      </c>
      <c r="N75" s="127">
        <v>2010</v>
      </c>
      <c r="O75" s="127">
        <v>2011</v>
      </c>
      <c r="P75" s="127">
        <v>2012</v>
      </c>
      <c r="Q75" s="127">
        <v>2013</v>
      </c>
      <c r="R75" s="127">
        <v>2014</v>
      </c>
      <c r="S75" s="127">
        <v>2015</v>
      </c>
      <c r="T75" s="120">
        <v>2016</v>
      </c>
      <c r="U75" s="252">
        <v>2017</v>
      </c>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row>
    <row r="76" spans="1:85" s="61" customFormat="1" ht="12.65" customHeight="1" x14ac:dyDescent="0.3">
      <c r="A76" s="82"/>
      <c r="B76" s="392"/>
      <c r="C76" s="392"/>
      <c r="D76" s="60"/>
      <c r="E76" s="290"/>
      <c r="F76" s="40"/>
      <c r="G76" s="49"/>
      <c r="H76" s="143"/>
      <c r="I76" s="143"/>
      <c r="J76" s="143"/>
      <c r="K76" s="143"/>
      <c r="L76" s="143"/>
      <c r="M76" s="143"/>
      <c r="N76" s="143"/>
      <c r="O76" s="143"/>
      <c r="P76" s="143"/>
      <c r="Q76" s="143"/>
      <c r="R76" s="143"/>
      <c r="S76" s="143"/>
      <c r="T76" s="119"/>
      <c r="U76" s="253"/>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row>
    <row r="77" spans="1:85" ht="12.65" customHeight="1" x14ac:dyDescent="0.3">
      <c r="B77" s="8"/>
      <c r="D77" s="9"/>
      <c r="E77" s="293"/>
      <c r="F77" s="11"/>
      <c r="G77" s="48"/>
      <c r="H77" s="107"/>
      <c r="I77" s="107"/>
      <c r="J77" s="107"/>
      <c r="K77" s="107"/>
      <c r="L77" s="107"/>
      <c r="M77" s="107"/>
      <c r="N77" s="107"/>
      <c r="O77" s="107"/>
      <c r="P77" s="107"/>
      <c r="Q77" s="107"/>
      <c r="R77" s="107"/>
      <c r="S77" s="107"/>
      <c r="U77" s="254"/>
    </row>
    <row r="78" spans="1:85" ht="12.65" customHeight="1" x14ac:dyDescent="0.3">
      <c r="B78" s="8" t="str">
        <f>VLOOKUP(45,Textbausteine_Menu[],Hilfsgrössen!$D$2,FALSE)</f>
        <v>PostMail</v>
      </c>
      <c r="E78" s="291"/>
      <c r="F78" s="11"/>
      <c r="G78" s="49"/>
      <c r="H78" s="20"/>
      <c r="I78" s="20"/>
      <c r="J78" s="20"/>
      <c r="K78" s="20"/>
      <c r="L78" s="20"/>
      <c r="M78" s="20"/>
      <c r="N78" s="20"/>
      <c r="O78" s="20"/>
      <c r="P78" s="107"/>
      <c r="Q78" s="163"/>
      <c r="R78" s="162"/>
      <c r="S78" s="162"/>
      <c r="T78" s="163"/>
      <c r="U78" s="257"/>
    </row>
    <row r="79" spans="1:85" s="32" customFormat="1" ht="12.65" customHeight="1" x14ac:dyDescent="0.3">
      <c r="A79" s="81"/>
      <c r="B79" s="1"/>
      <c r="C79" s="68" t="str">
        <f>VLOOKUP(71,Textbausteine_102[],Hilfsgrössen!$D$2,FALSE)</f>
        <v>Lettres adressées</v>
      </c>
      <c r="D79" s="1" t="str">
        <f>VLOOKUP(23,Textbausteine_102[],Hilfsgrössen!$D$2,FALSE)</f>
        <v>Millions d'unités</v>
      </c>
      <c r="E79" s="291">
        <v>2</v>
      </c>
      <c r="F79" s="11" t="s">
        <v>1433</v>
      </c>
      <c r="G79" s="49"/>
      <c r="H79" s="138" t="s">
        <v>1595</v>
      </c>
      <c r="I79" s="20">
        <v>2813</v>
      </c>
      <c r="J79" s="20">
        <v>2762</v>
      </c>
      <c r="K79" s="20">
        <v>2742</v>
      </c>
      <c r="L79" s="20">
        <v>2682</v>
      </c>
      <c r="M79" s="20">
        <v>2401</v>
      </c>
      <c r="N79" s="20">
        <v>2364</v>
      </c>
      <c r="O79" s="20">
        <v>2334</v>
      </c>
      <c r="P79" s="107">
        <v>2291</v>
      </c>
      <c r="Q79" s="163">
        <v>2259</v>
      </c>
      <c r="R79" s="162">
        <v>2203</v>
      </c>
      <c r="S79" s="162">
        <v>2172</v>
      </c>
      <c r="T79" s="163">
        <v>2089</v>
      </c>
      <c r="U79" s="257">
        <v>2001.9</v>
      </c>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row>
    <row r="80" spans="1:85" s="32" customFormat="1" ht="12.65" customHeight="1" x14ac:dyDescent="0.3">
      <c r="A80" s="81"/>
      <c r="B80" s="1"/>
      <c r="C80" s="70" t="str">
        <f>VLOOKUP(72,Textbausteine_102[],Hilfsgrössen!$D$2,FALSE)</f>
        <v>Envois prioritaires</v>
      </c>
      <c r="D80" s="1" t="str">
        <f>VLOOKUP(23,Textbausteine_102[],Hilfsgrössen!$D$2,FALSE)</f>
        <v>Millions d'unités</v>
      </c>
      <c r="E80" s="291"/>
      <c r="F80" s="11" t="s">
        <v>1433</v>
      </c>
      <c r="G80" s="49"/>
      <c r="H80" s="138" t="s">
        <v>1595</v>
      </c>
      <c r="I80" s="140">
        <v>751</v>
      </c>
      <c r="J80" s="140">
        <v>742</v>
      </c>
      <c r="K80" s="140">
        <v>758</v>
      </c>
      <c r="L80" s="140">
        <v>768</v>
      </c>
      <c r="M80" s="140">
        <v>627</v>
      </c>
      <c r="N80" s="140">
        <v>629</v>
      </c>
      <c r="O80" s="140">
        <v>633</v>
      </c>
      <c r="P80" s="162">
        <v>639</v>
      </c>
      <c r="Q80" s="162">
        <v>636</v>
      </c>
      <c r="R80" s="162">
        <v>622</v>
      </c>
      <c r="S80" s="162">
        <v>611</v>
      </c>
      <c r="T80" s="163">
        <v>593</v>
      </c>
      <c r="U80" s="257">
        <v>566</v>
      </c>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row>
    <row r="81" spans="1:85" s="32" customFormat="1" ht="12.65" customHeight="1" x14ac:dyDescent="0.3">
      <c r="A81" s="81"/>
      <c r="B81" s="1"/>
      <c r="C81" s="70" t="str">
        <f>VLOOKUP(73,Textbausteine_102[],Hilfsgrössen!$D$2,FALSE)</f>
        <v>Envois non prioritaires</v>
      </c>
      <c r="D81" s="1" t="str">
        <f>VLOOKUP(23,Textbausteine_102[],Hilfsgrössen!$D$2,FALSE)</f>
        <v>Millions d'unités</v>
      </c>
      <c r="E81" s="291"/>
      <c r="F81" s="11" t="s">
        <v>1433</v>
      </c>
      <c r="G81" s="49"/>
      <c r="H81" s="138" t="s">
        <v>1595</v>
      </c>
      <c r="I81" s="140">
        <v>2022</v>
      </c>
      <c r="J81" s="140">
        <v>1984</v>
      </c>
      <c r="K81" s="140">
        <v>1949</v>
      </c>
      <c r="L81" s="140">
        <v>1881</v>
      </c>
      <c r="M81" s="140">
        <v>1740</v>
      </c>
      <c r="N81" s="140">
        <v>1706</v>
      </c>
      <c r="O81" s="140">
        <v>1681</v>
      </c>
      <c r="P81" s="162">
        <v>1630</v>
      </c>
      <c r="Q81" s="162">
        <v>1601</v>
      </c>
      <c r="R81" s="162">
        <v>1559</v>
      </c>
      <c r="S81" s="162">
        <v>1538</v>
      </c>
      <c r="T81" s="163">
        <v>1474</v>
      </c>
      <c r="U81" s="257">
        <v>1408</v>
      </c>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row>
    <row r="82" spans="1:85" s="32" customFormat="1" ht="12.65" customHeight="1" x14ac:dyDescent="0.3">
      <c r="A82" s="81"/>
      <c r="B82" s="1"/>
      <c r="C82" s="68" t="str">
        <f>VLOOKUP(74,Textbausteine_102[],Hilfsgrössen!$D$2,FALSE)</f>
        <v>Envois non adressés</v>
      </c>
      <c r="D82" s="1" t="str">
        <f>VLOOKUP(23,Textbausteine_102[],Hilfsgrössen!$D$2,FALSE)</f>
        <v>Millions d'unités</v>
      </c>
      <c r="E82" s="291"/>
      <c r="F82" s="11" t="s">
        <v>1433</v>
      </c>
      <c r="G82" s="49"/>
      <c r="H82" s="138" t="s">
        <v>1595</v>
      </c>
      <c r="I82" s="140">
        <v>1211</v>
      </c>
      <c r="J82" s="140">
        <v>1159</v>
      </c>
      <c r="K82" s="140">
        <v>1216</v>
      </c>
      <c r="L82" s="140">
        <v>1203</v>
      </c>
      <c r="M82" s="140">
        <v>1232</v>
      </c>
      <c r="N82" s="162">
        <v>1300</v>
      </c>
      <c r="O82" s="162">
        <v>1257</v>
      </c>
      <c r="P82" s="162">
        <v>1902</v>
      </c>
      <c r="Q82" s="162">
        <v>1939</v>
      </c>
      <c r="R82" s="162">
        <v>1990</v>
      </c>
      <c r="S82" s="162">
        <v>1982</v>
      </c>
      <c r="T82" s="163">
        <v>1915</v>
      </c>
      <c r="U82" s="257">
        <v>1765</v>
      </c>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row>
    <row r="83" spans="1:85" s="32" customFormat="1" ht="12.65" customHeight="1" x14ac:dyDescent="0.3">
      <c r="A83" s="81"/>
      <c r="B83" s="1"/>
      <c r="C83" s="68" t="str">
        <f>VLOOKUP(75,Textbausteine_102[],Hilfsgrössen!$D$2,FALSE)</f>
        <v>Journaux</v>
      </c>
      <c r="D83" s="1" t="str">
        <f>VLOOKUP(23,Textbausteine_102[],Hilfsgrössen!$D$2,FALSE)</f>
        <v>Millions d'unités</v>
      </c>
      <c r="E83" s="291"/>
      <c r="F83" s="11" t="s">
        <v>1433</v>
      </c>
      <c r="G83" s="49"/>
      <c r="H83" s="138" t="s">
        <v>1595</v>
      </c>
      <c r="I83" s="140">
        <v>1201</v>
      </c>
      <c r="J83" s="140">
        <v>1196</v>
      </c>
      <c r="K83" s="140">
        <v>1214</v>
      </c>
      <c r="L83" s="140">
        <v>1196</v>
      </c>
      <c r="M83" s="140">
        <v>1249</v>
      </c>
      <c r="N83" s="100">
        <v>1372</v>
      </c>
      <c r="O83" s="100">
        <v>1342</v>
      </c>
      <c r="P83" s="100">
        <v>1318</v>
      </c>
      <c r="Q83" s="100">
        <v>1256</v>
      </c>
      <c r="R83" s="100">
        <v>1223</v>
      </c>
      <c r="S83" s="100">
        <v>1177</v>
      </c>
      <c r="T83" s="163">
        <v>1149</v>
      </c>
      <c r="U83" s="257">
        <v>1116</v>
      </c>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row>
    <row r="84" spans="1:85" s="32" customFormat="1" ht="12.65" customHeight="1" x14ac:dyDescent="0.3">
      <c r="A84" s="57"/>
      <c r="B84" s="8"/>
      <c r="C84" s="68" t="str">
        <f>VLOOKUP(76,Textbausteine_102[],Hilfsgrössen!$D$2,FALSE)</f>
        <v>Lettres, exportation</v>
      </c>
      <c r="D84" s="1" t="str">
        <f>VLOOKUP(23,Textbausteine_102[],Hilfsgrössen!$D$2,FALSE)</f>
        <v>Millions d'unités</v>
      </c>
      <c r="E84" s="291">
        <v>2</v>
      </c>
      <c r="F84" s="11" t="s">
        <v>1433</v>
      </c>
      <c r="G84" s="49"/>
      <c r="H84" s="138" t="s">
        <v>1595</v>
      </c>
      <c r="I84" s="100">
        <v>191.7</v>
      </c>
      <c r="J84" s="100">
        <v>199.7</v>
      </c>
      <c r="K84" s="100">
        <v>194</v>
      </c>
      <c r="L84" s="100">
        <v>184</v>
      </c>
      <c r="M84" s="100">
        <v>170</v>
      </c>
      <c r="N84" s="100">
        <v>103.7</v>
      </c>
      <c r="O84" s="100">
        <v>98.2</v>
      </c>
      <c r="P84" s="100">
        <v>82.4</v>
      </c>
      <c r="Q84" s="100">
        <v>80.7</v>
      </c>
      <c r="R84" s="100">
        <v>84.1</v>
      </c>
      <c r="S84" s="100">
        <v>83.8</v>
      </c>
      <c r="T84" s="163">
        <v>82.7</v>
      </c>
      <c r="U84" s="257">
        <v>73.8</v>
      </c>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row>
    <row r="85" spans="1:85" s="32" customFormat="1" ht="12.65" customHeight="1" x14ac:dyDescent="0.3">
      <c r="A85" s="81"/>
      <c r="B85" s="1"/>
      <c r="C85" s="68" t="str">
        <f>VLOOKUP(77,Textbausteine_102[],Hilfsgrössen!$D$2,FALSE)</f>
        <v>Lettres, importation</v>
      </c>
      <c r="D85" s="1" t="str">
        <f>VLOOKUP(23,Textbausteine_102[],Hilfsgrössen!$D$2,FALSE)</f>
        <v>Millions d'unités</v>
      </c>
      <c r="E85" s="291">
        <v>3</v>
      </c>
      <c r="F85" s="11" t="s">
        <v>1433</v>
      </c>
      <c r="G85" s="49"/>
      <c r="H85" s="138" t="s">
        <v>1595</v>
      </c>
      <c r="I85" s="140">
        <v>220.4</v>
      </c>
      <c r="J85" s="140">
        <v>230.6</v>
      </c>
      <c r="K85" s="140">
        <v>234.6</v>
      </c>
      <c r="L85" s="140">
        <v>235.8</v>
      </c>
      <c r="M85" s="140">
        <v>220.3</v>
      </c>
      <c r="N85" s="162">
        <v>198.2</v>
      </c>
      <c r="O85" s="162">
        <v>197.5</v>
      </c>
      <c r="P85" s="162">
        <v>179.6</v>
      </c>
      <c r="Q85" s="162">
        <v>164.2</v>
      </c>
      <c r="R85" s="162">
        <v>159.4</v>
      </c>
      <c r="S85" s="162">
        <v>151.4</v>
      </c>
      <c r="T85" s="163">
        <v>150.69999999999999</v>
      </c>
      <c r="U85" s="257">
        <v>146.80000000000001</v>
      </c>
      <c r="V85" s="11"/>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row>
    <row r="86" spans="1:85" s="32" customFormat="1" ht="12.65" customHeight="1" x14ac:dyDescent="0.3">
      <c r="A86" s="81"/>
      <c r="B86" s="1"/>
      <c r="C86" s="68" t="str">
        <f>VLOOKUP(78,Textbausteine_102[],Hilfsgrössen!$D$2,FALSE)</f>
        <v>Journaux, exportation</v>
      </c>
      <c r="D86" s="1" t="str">
        <f>VLOOKUP(23,Textbausteine_102[],Hilfsgrössen!$D$2,FALSE)</f>
        <v>Millions d'unités</v>
      </c>
      <c r="E86" s="291"/>
      <c r="F86" s="11" t="s">
        <v>1433</v>
      </c>
      <c r="G86" s="50"/>
      <c r="H86" s="138" t="s">
        <v>1595</v>
      </c>
      <c r="I86" s="176" t="s">
        <v>1595</v>
      </c>
      <c r="J86" s="176" t="s">
        <v>1595</v>
      </c>
      <c r="K86" s="176" t="s">
        <v>1595</v>
      </c>
      <c r="L86" s="176" t="s">
        <v>1595</v>
      </c>
      <c r="M86" s="176" t="s">
        <v>1595</v>
      </c>
      <c r="N86" s="162">
        <v>11.8</v>
      </c>
      <c r="O86" s="162">
        <v>10.6</v>
      </c>
      <c r="P86" s="162">
        <v>9.5</v>
      </c>
      <c r="Q86" s="162">
        <v>8.5</v>
      </c>
      <c r="R86" s="162">
        <v>6.5</v>
      </c>
      <c r="S86" s="162">
        <v>6.2</v>
      </c>
      <c r="T86" s="163">
        <v>5.8</v>
      </c>
      <c r="U86" s="257">
        <v>5.4</v>
      </c>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row>
    <row r="87" spans="1:85" s="32" customFormat="1" ht="12.65" customHeight="1" x14ac:dyDescent="0.3">
      <c r="A87" s="81"/>
      <c r="B87" s="1"/>
      <c r="C87" s="68" t="str">
        <f>VLOOKUP(79,Textbausteine_102[],Hilfsgrössen!$D$2,FALSE)</f>
        <v>Journaux, importation</v>
      </c>
      <c r="D87" s="1" t="str">
        <f>VLOOKUP(23,Textbausteine_102[],Hilfsgrössen!$D$2,FALSE)</f>
        <v>Millions d'unités</v>
      </c>
      <c r="E87" s="291"/>
      <c r="F87" s="11" t="s">
        <v>1433</v>
      </c>
      <c r="G87" s="49"/>
      <c r="H87" s="138" t="s">
        <v>1595</v>
      </c>
      <c r="I87" s="176" t="s">
        <v>1595</v>
      </c>
      <c r="J87" s="176" t="s">
        <v>1595</v>
      </c>
      <c r="K87" s="176" t="s">
        <v>1595</v>
      </c>
      <c r="L87" s="176" t="s">
        <v>1595</v>
      </c>
      <c r="M87" s="176" t="s">
        <v>1595</v>
      </c>
      <c r="N87" s="162">
        <v>24.1</v>
      </c>
      <c r="O87" s="162">
        <v>25.7</v>
      </c>
      <c r="P87" s="162">
        <v>23.5</v>
      </c>
      <c r="Q87" s="162">
        <v>22.9</v>
      </c>
      <c r="R87" s="162">
        <v>21.6</v>
      </c>
      <c r="S87" s="162">
        <v>21.5</v>
      </c>
      <c r="T87" s="163">
        <v>21.7</v>
      </c>
      <c r="U87" s="257">
        <v>20.8</v>
      </c>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row>
    <row r="88" spans="1:85" s="32" customFormat="1" ht="12.65" customHeight="1" x14ac:dyDescent="0.3">
      <c r="A88" s="81"/>
      <c r="B88" s="1"/>
      <c r="C88" s="68"/>
      <c r="D88" s="1"/>
      <c r="E88" s="291"/>
      <c r="F88" s="11"/>
      <c r="G88" s="49"/>
      <c r="H88" s="140"/>
      <c r="I88" s="140"/>
      <c r="J88" s="140"/>
      <c r="K88" s="140"/>
      <c r="L88" s="140"/>
      <c r="M88" s="140"/>
      <c r="N88" s="162"/>
      <c r="O88" s="162"/>
      <c r="P88" s="162"/>
      <c r="Q88" s="162"/>
      <c r="R88" s="162"/>
      <c r="S88" s="162"/>
      <c r="T88" s="163"/>
      <c r="U88" s="25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row>
    <row r="89" spans="1:85" s="32" customFormat="1" ht="12.65" customHeight="1" x14ac:dyDescent="0.3">
      <c r="A89" s="81"/>
      <c r="B89" s="8" t="str">
        <f>VLOOKUP(48,Textbausteine_Menu[],Hilfsgrössen!$D$2,FALSE)</f>
        <v>PostLogistics</v>
      </c>
      <c r="C89" s="68"/>
      <c r="D89" s="1"/>
      <c r="E89" s="291"/>
      <c r="F89" s="11"/>
      <c r="G89" s="49"/>
      <c r="H89" s="140"/>
      <c r="I89" s="140"/>
      <c r="J89" s="140"/>
      <c r="K89" s="140"/>
      <c r="L89" s="140"/>
      <c r="M89" s="140"/>
      <c r="N89" s="162"/>
      <c r="O89" s="162"/>
      <c r="P89" s="162"/>
      <c r="Q89" s="162"/>
      <c r="R89" s="162"/>
      <c r="S89" s="162"/>
      <c r="T89" s="163"/>
      <c r="U89" s="25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row>
    <row r="90" spans="1:85" s="32" customFormat="1" ht="12.65" customHeight="1" x14ac:dyDescent="0.3">
      <c r="A90" s="81"/>
      <c r="B90" s="1"/>
      <c r="C90" s="68" t="str">
        <f>VLOOKUP(80,Textbausteine_102[],Hilfsgrössen!$D$2,FALSE)</f>
        <v>Colis</v>
      </c>
      <c r="D90" s="1" t="str">
        <f>VLOOKUP(23,Textbausteine_102[],Hilfsgrössen!$D$2,FALSE)</f>
        <v>Millions d'unités</v>
      </c>
      <c r="E90" s="291">
        <v>2</v>
      </c>
      <c r="F90" s="11" t="s">
        <v>1433</v>
      </c>
      <c r="G90" s="50"/>
      <c r="H90" s="138" t="s">
        <v>1595</v>
      </c>
      <c r="I90" s="140">
        <v>107.3</v>
      </c>
      <c r="J90" s="140">
        <v>106.6</v>
      </c>
      <c r="K90" s="140">
        <v>106.8</v>
      </c>
      <c r="L90" s="140">
        <v>110.1</v>
      </c>
      <c r="M90" s="140">
        <v>108.6</v>
      </c>
      <c r="N90" s="162">
        <v>113.4</v>
      </c>
      <c r="O90" s="162">
        <v>111.5</v>
      </c>
      <c r="P90" s="162">
        <v>114</v>
      </c>
      <c r="Q90" s="162">
        <v>110</v>
      </c>
      <c r="R90" s="162">
        <v>112</v>
      </c>
      <c r="S90" s="162">
        <v>115.2</v>
      </c>
      <c r="T90" s="163">
        <v>121.8</v>
      </c>
      <c r="U90" s="257">
        <v>129.4</v>
      </c>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row>
    <row r="91" spans="1:85" s="32" customFormat="1" ht="12.65" customHeight="1" x14ac:dyDescent="0.3">
      <c r="A91" s="81"/>
      <c r="B91" s="1"/>
      <c r="C91" s="70" t="str">
        <f>VLOOKUP(81,Textbausteine_102[],Hilfsgrössen!$D$2,FALSE)</f>
        <v>domestiques Economy</v>
      </c>
      <c r="D91" s="1" t="str">
        <f>VLOOKUP(23,Textbausteine_102[],Hilfsgrössen!$D$2,FALSE)</f>
        <v>Millions d'unités</v>
      </c>
      <c r="E91" s="293">
        <v>2</v>
      </c>
      <c r="F91" s="11" t="s">
        <v>1433</v>
      </c>
      <c r="G91" s="50"/>
      <c r="H91" s="138" t="s">
        <v>1595</v>
      </c>
      <c r="I91" s="140">
        <v>27.4</v>
      </c>
      <c r="J91" s="140">
        <v>30.3</v>
      </c>
      <c r="K91" s="140">
        <v>34.6</v>
      </c>
      <c r="L91" s="140">
        <v>38</v>
      </c>
      <c r="M91" s="140">
        <v>39.799999999999997</v>
      </c>
      <c r="N91" s="162">
        <v>43.7</v>
      </c>
      <c r="O91" s="162">
        <v>45.9</v>
      </c>
      <c r="P91" s="162">
        <v>50.1</v>
      </c>
      <c r="Q91" s="162">
        <v>45.8</v>
      </c>
      <c r="R91" s="162">
        <v>49.1</v>
      </c>
      <c r="S91" s="162">
        <v>53.2</v>
      </c>
      <c r="T91" s="163">
        <v>59.4</v>
      </c>
      <c r="U91" s="257">
        <v>65.099999999999994</v>
      </c>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row>
    <row r="92" spans="1:85" s="32" customFormat="1" ht="12.65" customHeight="1" x14ac:dyDescent="0.3">
      <c r="A92" s="81"/>
      <c r="B92" s="1"/>
      <c r="C92" s="70" t="str">
        <f>VLOOKUP(82,Textbausteine_102[],Hilfsgrössen!$D$2,FALSE)</f>
        <v>domestiques Priority</v>
      </c>
      <c r="D92" s="1" t="str">
        <f>VLOOKUP(23,Textbausteine_102[],Hilfsgrössen!$D$2,FALSE)</f>
        <v>Millions d'unités</v>
      </c>
      <c r="E92" s="293">
        <v>2</v>
      </c>
      <c r="F92" s="11" t="s">
        <v>1433</v>
      </c>
      <c r="G92" s="49"/>
      <c r="H92" s="138" t="s">
        <v>1595</v>
      </c>
      <c r="I92" s="140">
        <v>75.3</v>
      </c>
      <c r="J92" s="140">
        <v>71.400000000000006</v>
      </c>
      <c r="K92" s="140">
        <v>68.5</v>
      </c>
      <c r="L92" s="140">
        <v>66.400000000000006</v>
      </c>
      <c r="M92" s="140">
        <v>64.599999999999994</v>
      </c>
      <c r="N92" s="162">
        <v>64.599999999999994</v>
      </c>
      <c r="O92" s="162">
        <v>61</v>
      </c>
      <c r="P92" s="162">
        <v>61.1</v>
      </c>
      <c r="Q92" s="162">
        <v>57.8</v>
      </c>
      <c r="R92" s="162">
        <v>56.3</v>
      </c>
      <c r="S92" s="162">
        <v>55.3</v>
      </c>
      <c r="T92" s="163">
        <v>55.2</v>
      </c>
      <c r="U92" s="257">
        <v>56.9</v>
      </c>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row>
    <row r="93" spans="1:85" s="32" customFormat="1" ht="12.65" customHeight="1" x14ac:dyDescent="0.3">
      <c r="A93" s="81"/>
      <c r="B93" s="1"/>
      <c r="C93" s="70" t="str">
        <f>VLOOKUP(83,Textbausteine_102[],Hilfsgrössen!$D$2,FALSE)</f>
        <v>Exportation</v>
      </c>
      <c r="D93" s="1" t="str">
        <f>VLOOKUP(23,Textbausteine_102[],Hilfsgrössen!$D$2,FALSE)</f>
        <v>Millions d'unités</v>
      </c>
      <c r="E93" s="293">
        <v>2</v>
      </c>
      <c r="F93" s="11" t="s">
        <v>1433</v>
      </c>
      <c r="G93" s="49"/>
      <c r="H93" s="138" t="s">
        <v>1595</v>
      </c>
      <c r="I93" s="140">
        <v>1.4</v>
      </c>
      <c r="J93" s="140">
        <v>1.4</v>
      </c>
      <c r="K93" s="140">
        <v>0.8</v>
      </c>
      <c r="L93" s="140">
        <v>1.4</v>
      </c>
      <c r="M93" s="140">
        <v>1.1000000000000001</v>
      </c>
      <c r="N93" s="162">
        <v>1.3</v>
      </c>
      <c r="O93" s="162">
        <v>1.2</v>
      </c>
      <c r="P93" s="162">
        <v>1.4</v>
      </c>
      <c r="Q93" s="162">
        <v>1.6</v>
      </c>
      <c r="R93" s="162">
        <v>1.3</v>
      </c>
      <c r="S93" s="162">
        <v>1.1000000000000001</v>
      </c>
      <c r="T93" s="163">
        <v>1.3</v>
      </c>
      <c r="U93" s="257">
        <v>1.2</v>
      </c>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row>
    <row r="94" spans="1:85" s="32" customFormat="1" ht="12.65" customHeight="1" x14ac:dyDescent="0.3">
      <c r="A94" s="81"/>
      <c r="B94" s="1"/>
      <c r="C94" s="70" t="str">
        <f>VLOOKUP(84,Textbausteine_102[],Hilfsgrössen!$D$2,FALSE)</f>
        <v>Importation</v>
      </c>
      <c r="D94" s="1" t="str">
        <f>VLOOKUP(23,Textbausteine_102[],Hilfsgrössen!$D$2,FALSE)</f>
        <v>Millions d'unités</v>
      </c>
      <c r="E94" s="291">
        <v>3</v>
      </c>
      <c r="F94" s="11" t="s">
        <v>1433</v>
      </c>
      <c r="G94" s="50"/>
      <c r="H94" s="138" t="s">
        <v>1595</v>
      </c>
      <c r="I94" s="140">
        <v>3.2</v>
      </c>
      <c r="J94" s="140">
        <v>3.5</v>
      </c>
      <c r="K94" s="140">
        <v>2.9</v>
      </c>
      <c r="L94" s="140">
        <v>4.3</v>
      </c>
      <c r="M94" s="140">
        <v>3.1</v>
      </c>
      <c r="N94" s="162">
        <v>3.8</v>
      </c>
      <c r="O94" s="162">
        <v>3.4</v>
      </c>
      <c r="P94" s="162">
        <v>1.4</v>
      </c>
      <c r="Q94" s="162">
        <v>4.8</v>
      </c>
      <c r="R94" s="162">
        <v>5.0999999999999996</v>
      </c>
      <c r="S94" s="162">
        <v>5.6</v>
      </c>
      <c r="T94" s="163">
        <v>5.9</v>
      </c>
      <c r="U94" s="257">
        <v>6.2</v>
      </c>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row>
    <row r="95" spans="1:85" s="32" customFormat="1" ht="12.65" customHeight="1" x14ac:dyDescent="0.3">
      <c r="A95" s="81"/>
      <c r="B95" s="1"/>
      <c r="C95" s="68" t="str">
        <f>VLOOKUP(85,Textbausteine_102[],Hilfsgrössen!$D$2,FALSE)</f>
        <v>Swiss-Express clients commerciaux</v>
      </c>
      <c r="D95" s="1" t="str">
        <f>VLOOKUP(23,Textbausteine_102[],Hilfsgrössen!$D$2,FALSE)</f>
        <v>Millions d'unités</v>
      </c>
      <c r="E95" s="293">
        <v>4</v>
      </c>
      <c r="F95" s="11" t="s">
        <v>1433</v>
      </c>
      <c r="G95" s="50"/>
      <c r="H95" s="138" t="s">
        <v>1595</v>
      </c>
      <c r="I95" s="140">
        <v>3.2</v>
      </c>
      <c r="J95" s="140">
        <v>3.2</v>
      </c>
      <c r="K95" s="140">
        <v>3</v>
      </c>
      <c r="L95" s="140">
        <v>3</v>
      </c>
      <c r="M95" s="140">
        <v>2.9</v>
      </c>
      <c r="N95" s="162">
        <v>2.4</v>
      </c>
      <c r="O95" s="162">
        <v>2.1</v>
      </c>
      <c r="P95" s="162">
        <v>2.1</v>
      </c>
      <c r="Q95" s="162">
        <v>2</v>
      </c>
      <c r="R95" s="162">
        <v>1.8</v>
      </c>
      <c r="S95" s="162">
        <v>1.8</v>
      </c>
      <c r="T95" s="163">
        <v>1.7</v>
      </c>
      <c r="U95" s="257">
        <v>1.6</v>
      </c>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row>
    <row r="96" spans="1:85" s="32" customFormat="1" ht="12.65" customHeight="1" x14ac:dyDescent="0.3">
      <c r="A96" s="81"/>
      <c r="B96" s="1"/>
      <c r="C96" s="68" t="str">
        <f>VLOOKUP(86,Textbausteine_102[],Hilfsgrössen!$D$2,FALSE)</f>
        <v>Courrier rapide, exportation (via TNT Swiss Post SA)</v>
      </c>
      <c r="D96" s="1" t="str">
        <f>VLOOKUP(23,Textbausteine_102[],Hilfsgrössen!$D$2,FALSE)</f>
        <v>Millions d'unités</v>
      </c>
      <c r="E96" s="293">
        <v>3</v>
      </c>
      <c r="F96" s="11" t="s">
        <v>1433</v>
      </c>
      <c r="G96" s="49"/>
      <c r="H96" s="138" t="s">
        <v>1595</v>
      </c>
      <c r="I96" s="140">
        <v>1.4</v>
      </c>
      <c r="J96" s="140">
        <v>1.6</v>
      </c>
      <c r="K96" s="140">
        <v>1.9</v>
      </c>
      <c r="L96" s="140">
        <v>1.5</v>
      </c>
      <c r="M96" s="140">
        <v>1.5</v>
      </c>
      <c r="N96" s="162">
        <v>1.5</v>
      </c>
      <c r="O96" s="162">
        <v>1.5</v>
      </c>
      <c r="P96" s="162">
        <v>1.4</v>
      </c>
      <c r="Q96" s="162">
        <v>1.4</v>
      </c>
      <c r="R96" s="162">
        <v>1.5</v>
      </c>
      <c r="S96" s="162">
        <v>1.6</v>
      </c>
      <c r="T96" s="163">
        <v>1.6</v>
      </c>
      <c r="U96" s="257">
        <v>1.5</v>
      </c>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row>
    <row r="97" spans="1:85" s="32" customFormat="1" ht="12.65" customHeight="1" x14ac:dyDescent="0.3">
      <c r="A97" s="81"/>
      <c r="B97" s="1"/>
      <c r="C97" s="10"/>
      <c r="D97" s="1"/>
      <c r="E97" s="293"/>
      <c r="F97" s="11"/>
      <c r="G97" s="49"/>
      <c r="H97" s="140"/>
      <c r="I97" s="140"/>
      <c r="J97" s="140"/>
      <c r="K97" s="140"/>
      <c r="L97" s="140"/>
      <c r="M97" s="140"/>
      <c r="N97" s="162"/>
      <c r="O97" s="162"/>
      <c r="P97" s="162"/>
      <c r="Q97" s="162"/>
      <c r="R97" s="162"/>
      <c r="S97" s="162"/>
      <c r="T97" s="163"/>
      <c r="U97" s="25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row>
    <row r="98" spans="1:85" s="32" customFormat="1" ht="12.65" customHeight="1" x14ac:dyDescent="0.3">
      <c r="A98" s="81"/>
      <c r="B98" s="8" t="str">
        <f>VLOOKUP(46,Textbausteine_Menu[],Hilfsgrössen!$D$2,FALSE)</f>
        <v>Swiss Post Solutions</v>
      </c>
      <c r="C98" s="10"/>
      <c r="D98" s="1"/>
      <c r="E98" s="293"/>
      <c r="F98" s="11"/>
      <c r="G98" s="49"/>
      <c r="H98" s="140"/>
      <c r="I98" s="140"/>
      <c r="J98" s="140"/>
      <c r="K98" s="140"/>
      <c r="L98" s="140"/>
      <c r="M98" s="140"/>
      <c r="N98" s="162"/>
      <c r="O98" s="162"/>
      <c r="P98" s="162"/>
      <c r="Q98" s="162"/>
      <c r="R98" s="162"/>
      <c r="S98" s="162"/>
      <c r="T98" s="163"/>
      <c r="U98" s="25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row>
    <row r="99" spans="1:85" s="32" customFormat="1" ht="12.65" customHeight="1" x14ac:dyDescent="0.3">
      <c r="A99" s="81"/>
      <c r="B99" s="1"/>
      <c r="C99" s="68" t="str">
        <f>VLOOKUP(87,Textbausteine_102[],Hilfsgrössen!$D$2,FALSE)</f>
        <v>Cas traités</v>
      </c>
      <c r="D99" s="1" t="str">
        <f>VLOOKUP(24,Textbausteine_102[],Hilfsgrössen!$D$2,FALSE)</f>
        <v>Millions</v>
      </c>
      <c r="E99" s="293" t="s">
        <v>2336</v>
      </c>
      <c r="F99" s="11" t="s">
        <v>1433</v>
      </c>
      <c r="G99" s="49"/>
      <c r="H99" s="138" t="s">
        <v>1595</v>
      </c>
      <c r="I99" s="176" t="s">
        <v>1595</v>
      </c>
      <c r="J99" s="339">
        <v>4.3</v>
      </c>
      <c r="K99" s="339">
        <v>4.3</v>
      </c>
      <c r="L99" s="339">
        <v>3.2</v>
      </c>
      <c r="M99" s="339">
        <v>3.9</v>
      </c>
      <c r="N99" s="340">
        <v>5.9</v>
      </c>
      <c r="O99" s="340">
        <v>5.2705979999999997</v>
      </c>
      <c r="P99" s="340">
        <v>5.2861380000000002</v>
      </c>
      <c r="Q99" s="340">
        <v>6.3248540000000002</v>
      </c>
      <c r="R99" s="340">
        <v>7.1</v>
      </c>
      <c r="S99" s="340">
        <v>5.9</v>
      </c>
      <c r="T99" s="225">
        <v>4.8</v>
      </c>
      <c r="U99" s="341">
        <v>5.0999999999999996</v>
      </c>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row>
    <row r="100" spans="1:85" s="32" customFormat="1" ht="12.65" customHeight="1" x14ac:dyDescent="0.3">
      <c r="A100" s="81"/>
      <c r="B100" s="1"/>
      <c r="C100" s="68" t="str">
        <f>VLOOKUP(88,Textbausteine_102[],Hilfsgrössen!$D$2,FALSE)</f>
        <v>Pages scannées (Document Solutions)</v>
      </c>
      <c r="D100" s="1" t="str">
        <f>VLOOKUP(24,Textbausteine_102[],Hilfsgrössen!$D$2,FALSE)</f>
        <v>Millions</v>
      </c>
      <c r="E100" s="291">
        <v>5</v>
      </c>
      <c r="F100" s="11" t="s">
        <v>1433</v>
      </c>
      <c r="G100" s="49"/>
      <c r="H100" s="138" t="s">
        <v>1595</v>
      </c>
      <c r="I100" s="176" t="s">
        <v>1595</v>
      </c>
      <c r="J100" s="140">
        <v>15.7</v>
      </c>
      <c r="K100" s="140">
        <v>15.7</v>
      </c>
      <c r="L100" s="140">
        <v>23.7</v>
      </c>
      <c r="M100" s="140">
        <v>33</v>
      </c>
      <c r="N100" s="162">
        <v>35</v>
      </c>
      <c r="O100" s="162">
        <v>38.65</v>
      </c>
      <c r="P100" s="162">
        <v>33</v>
      </c>
      <c r="Q100" s="162">
        <v>153.834</v>
      </c>
      <c r="R100" s="162">
        <v>160</v>
      </c>
      <c r="S100" s="162">
        <v>186.9</v>
      </c>
      <c r="T100" s="163">
        <v>182.8</v>
      </c>
      <c r="U100" s="257">
        <v>201</v>
      </c>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row>
    <row r="101" spans="1:85" s="32" customFormat="1" ht="12.65" customHeight="1" x14ac:dyDescent="0.3">
      <c r="A101" s="81"/>
      <c r="B101" s="1"/>
      <c r="C101" s="68" t="str">
        <f>VLOOKUP(89,Textbausteine_102[],Hilfsgrössen!$D$2,FALSE)</f>
        <v>Cartes personnalisées (Cards)</v>
      </c>
      <c r="D101" s="1" t="str">
        <f>VLOOKUP(24,Textbausteine_102[],Hilfsgrössen!$D$2,FALSE)</f>
        <v>Millions</v>
      </c>
      <c r="E101" s="291">
        <v>5</v>
      </c>
      <c r="F101" s="11" t="s">
        <v>1433</v>
      </c>
      <c r="G101" s="50"/>
      <c r="H101" s="138" t="s">
        <v>1595</v>
      </c>
      <c r="I101" s="176" t="s">
        <v>1595</v>
      </c>
      <c r="J101" s="140">
        <v>256</v>
      </c>
      <c r="K101" s="140">
        <v>256</v>
      </c>
      <c r="L101" s="140">
        <v>254</v>
      </c>
      <c r="M101" s="140">
        <v>125</v>
      </c>
      <c r="N101" s="162">
        <v>165.5</v>
      </c>
      <c r="O101" s="162">
        <v>189.50945299999998</v>
      </c>
      <c r="P101" s="162">
        <v>171.5</v>
      </c>
      <c r="Q101" s="162">
        <v>140</v>
      </c>
      <c r="R101" s="162">
        <v>119.1</v>
      </c>
      <c r="S101" s="162">
        <v>153</v>
      </c>
      <c r="T101" s="170" t="s">
        <v>1595</v>
      </c>
      <c r="U101" s="258" t="s">
        <v>1595</v>
      </c>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row>
    <row r="102" spans="1:85" s="32" customFormat="1" ht="12.65" customHeight="1" x14ac:dyDescent="0.3">
      <c r="A102" s="81"/>
      <c r="B102" s="1"/>
      <c r="C102" s="68" t="str">
        <f>VLOOKUP(90,Textbausteine_102[],Hilfsgrössen!$D$2,FALSE)</f>
        <v>Cartes non personnalisées (Cards)</v>
      </c>
      <c r="D102" s="1" t="str">
        <f>VLOOKUP(24,Textbausteine_102[],Hilfsgrössen!$D$2,FALSE)</f>
        <v>Millions</v>
      </c>
      <c r="E102" s="291">
        <v>5</v>
      </c>
      <c r="F102" s="11" t="s">
        <v>1433</v>
      </c>
      <c r="G102" s="49"/>
      <c r="H102" s="138" t="s">
        <v>1595</v>
      </c>
      <c r="I102" s="138" t="s">
        <v>1595</v>
      </c>
      <c r="J102" s="20">
        <v>21</v>
      </c>
      <c r="K102" s="20">
        <v>21</v>
      </c>
      <c r="L102" s="20">
        <v>22</v>
      </c>
      <c r="M102" s="20">
        <v>20</v>
      </c>
      <c r="N102" s="100">
        <v>20</v>
      </c>
      <c r="O102" s="100">
        <v>9</v>
      </c>
      <c r="P102" s="342">
        <v>8.3000000000000007</v>
      </c>
      <c r="Q102" s="342">
        <v>5</v>
      </c>
      <c r="R102" s="342">
        <v>1.2</v>
      </c>
      <c r="S102" s="100">
        <v>2</v>
      </c>
      <c r="T102" s="170" t="s">
        <v>1595</v>
      </c>
      <c r="U102" s="258" t="s">
        <v>1595</v>
      </c>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row>
    <row r="103" spans="1:85" s="32" customFormat="1" ht="12.65" customHeight="1" x14ac:dyDescent="0.3">
      <c r="A103" s="57"/>
      <c r="B103" s="8"/>
      <c r="C103" s="68" t="str">
        <f>VLOOKUP(91,Textbausteine_102[],Hilfsgrössen!$D$2,FALSE)</f>
        <v>Envois produits (Document Output)</v>
      </c>
      <c r="D103" s="1" t="str">
        <f>VLOOKUP(24,Textbausteine_102[],Hilfsgrössen!$D$2,FALSE)</f>
        <v>Millions</v>
      </c>
      <c r="E103" s="291">
        <v>5</v>
      </c>
      <c r="F103" s="11" t="s">
        <v>1433</v>
      </c>
      <c r="G103" s="49"/>
      <c r="H103" s="138" t="s">
        <v>1595</v>
      </c>
      <c r="I103" s="138" t="s">
        <v>1595</v>
      </c>
      <c r="J103" s="20">
        <v>169.2</v>
      </c>
      <c r="K103" s="20">
        <v>169.2</v>
      </c>
      <c r="L103" s="20">
        <v>204.2</v>
      </c>
      <c r="M103" s="20">
        <v>208.9</v>
      </c>
      <c r="N103" s="100">
        <v>204.2</v>
      </c>
      <c r="O103" s="100">
        <v>203.63200000000001</v>
      </c>
      <c r="P103" s="100">
        <v>204.12100000000001</v>
      </c>
      <c r="Q103" s="100">
        <v>360</v>
      </c>
      <c r="R103" s="100">
        <v>335.8</v>
      </c>
      <c r="S103" s="100">
        <v>403.1</v>
      </c>
      <c r="T103" s="163">
        <v>428.8</v>
      </c>
      <c r="U103" s="257">
        <v>463.4</v>
      </c>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row>
    <row r="104" spans="1:85" s="32" customFormat="1" ht="12.65" customHeight="1" x14ac:dyDescent="0.3">
      <c r="A104" s="81"/>
      <c r="B104" s="1"/>
      <c r="C104" s="68" t="str">
        <f>VLOOKUP(92,Textbausteine_102[],Hilfsgrössen!$D$2,FALSE)</f>
        <v>Volume des mandats clôturés</v>
      </c>
      <c r="D104" s="1" t="str">
        <f>VLOOKUP(22,Textbausteine_102[],Hilfsgrössen!$D$2,FALSE)</f>
        <v>Millions de CHF</v>
      </c>
      <c r="E104" s="291">
        <v>5</v>
      </c>
      <c r="F104" s="11" t="s">
        <v>1433</v>
      </c>
      <c r="G104" s="50"/>
      <c r="H104" s="138" t="s">
        <v>1595</v>
      </c>
      <c r="I104" s="177" t="s">
        <v>1595</v>
      </c>
      <c r="J104" s="175">
        <v>261.7</v>
      </c>
      <c r="K104" s="175">
        <v>261.7</v>
      </c>
      <c r="L104" s="175">
        <v>568.5</v>
      </c>
      <c r="M104" s="175">
        <v>456.9</v>
      </c>
      <c r="N104" s="162">
        <v>662.4</v>
      </c>
      <c r="O104" s="162">
        <v>498.4</v>
      </c>
      <c r="P104" s="162">
        <v>503.887</v>
      </c>
      <c r="Q104" s="162">
        <v>620.9</v>
      </c>
      <c r="R104" s="162">
        <v>677.3</v>
      </c>
      <c r="S104" s="162">
        <v>667.9</v>
      </c>
      <c r="T104" s="163">
        <v>646.1</v>
      </c>
      <c r="U104" s="257">
        <v>594.79999999999995</v>
      </c>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row>
    <row r="105" spans="1:85" s="32" customFormat="1" ht="12.65" customHeight="1" x14ac:dyDescent="0.3">
      <c r="A105" s="81"/>
      <c r="B105" s="1"/>
      <c r="C105" s="68"/>
      <c r="D105" s="1"/>
      <c r="E105" s="291"/>
      <c r="F105" s="11"/>
      <c r="G105" s="49"/>
      <c r="H105" s="175"/>
      <c r="I105" s="175"/>
      <c r="J105" s="175"/>
      <c r="K105" s="175"/>
      <c r="L105" s="175"/>
      <c r="M105" s="175"/>
      <c r="N105" s="162"/>
      <c r="O105" s="162"/>
      <c r="P105" s="162"/>
      <c r="Q105" s="162"/>
      <c r="R105" s="162"/>
      <c r="S105" s="162"/>
      <c r="T105" s="163"/>
      <c r="U105" s="25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row>
    <row r="106" spans="1:85" ht="12.65" customHeight="1" x14ac:dyDescent="0.3">
      <c r="B106" s="8" t="str">
        <f>VLOOKUP(47,Textbausteine_Menu[],Hilfsgrössen!$D$2,FALSE)</f>
        <v>RéseauPostal</v>
      </c>
      <c r="E106" s="291"/>
      <c r="F106" s="11"/>
      <c r="G106" s="49"/>
      <c r="H106" s="20"/>
      <c r="I106" s="20"/>
      <c r="J106" s="20"/>
      <c r="K106" s="20"/>
      <c r="L106" s="20"/>
      <c r="M106" s="20"/>
      <c r="N106" s="20"/>
      <c r="O106" s="20"/>
      <c r="P106" s="107"/>
      <c r="Q106" s="163"/>
      <c r="R106" s="162"/>
      <c r="S106" s="162"/>
      <c r="T106" s="163"/>
      <c r="U106" s="257"/>
    </row>
    <row r="107" spans="1:85" s="32" customFormat="1" ht="12.65" customHeight="1" x14ac:dyDescent="0.3">
      <c r="A107" s="81"/>
      <c r="B107" s="1"/>
      <c r="C107" s="18" t="str">
        <f>VLOOKUP(93,Textbausteine_102[],Hilfsgrössen!$D$2,FALSE)</f>
        <v>Chiffre d'affaires net autres articles de marque</v>
      </c>
      <c r="D107" s="1" t="str">
        <f>VLOOKUP(22,Textbausteine_102[],Hilfsgrössen!$D$2,FALSE)</f>
        <v>Millions de CHF</v>
      </c>
      <c r="E107" s="291"/>
      <c r="F107" s="11" t="s">
        <v>1433</v>
      </c>
      <c r="G107" s="49"/>
      <c r="H107" s="138" t="s">
        <v>1595</v>
      </c>
      <c r="I107" s="138" t="s">
        <v>1595</v>
      </c>
      <c r="J107" s="138" t="s">
        <v>1595</v>
      </c>
      <c r="K107" s="138" t="s">
        <v>1595</v>
      </c>
      <c r="L107" s="138" t="s">
        <v>1595</v>
      </c>
      <c r="M107" s="138" t="s">
        <v>1595</v>
      </c>
      <c r="N107" s="20">
        <v>482</v>
      </c>
      <c r="O107" s="20">
        <v>495</v>
      </c>
      <c r="P107" s="107">
        <v>498</v>
      </c>
      <c r="Q107" s="163">
        <v>497</v>
      </c>
      <c r="R107" s="162">
        <v>509</v>
      </c>
      <c r="S107" s="162">
        <v>480</v>
      </c>
      <c r="T107" s="163">
        <v>473</v>
      </c>
      <c r="U107" s="257">
        <v>425</v>
      </c>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row>
    <row r="108" spans="1:85" s="32" customFormat="1" ht="12.65" customHeight="1" x14ac:dyDescent="0.3">
      <c r="A108" s="81"/>
      <c r="B108" s="1"/>
      <c r="C108" s="4" t="str">
        <f>VLOOKUP(94,Textbausteine_102[],Hilfsgrössen!$D$2,FALSE)</f>
        <v>Versements</v>
      </c>
      <c r="D108" s="1" t="str">
        <f>VLOOKUP(24,Textbausteine_102[],Hilfsgrössen!$D$2,FALSE)</f>
        <v>Millions</v>
      </c>
      <c r="E108" s="291"/>
      <c r="F108" s="11" t="s">
        <v>1433</v>
      </c>
      <c r="G108" s="49"/>
      <c r="H108" s="138" t="s">
        <v>1595</v>
      </c>
      <c r="I108" s="140">
        <v>230</v>
      </c>
      <c r="J108" s="140">
        <v>222</v>
      </c>
      <c r="K108" s="140">
        <v>216</v>
      </c>
      <c r="L108" s="140">
        <v>212</v>
      </c>
      <c r="M108" s="140">
        <v>207</v>
      </c>
      <c r="N108" s="140">
        <v>201</v>
      </c>
      <c r="O108" s="140">
        <v>189</v>
      </c>
      <c r="P108" s="162">
        <v>183</v>
      </c>
      <c r="Q108" s="162">
        <v>178</v>
      </c>
      <c r="R108" s="162">
        <v>171</v>
      </c>
      <c r="S108" s="162">
        <v>164</v>
      </c>
      <c r="T108" s="163">
        <v>155</v>
      </c>
      <c r="U108" s="257">
        <v>145</v>
      </c>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row>
    <row r="109" spans="1:85" s="32" customFormat="1" ht="12.65" customHeight="1" x14ac:dyDescent="0.3">
      <c r="A109" s="81"/>
      <c r="B109" s="1"/>
      <c r="C109" s="10"/>
      <c r="D109" s="1"/>
      <c r="E109" s="291"/>
      <c r="F109" s="11"/>
      <c r="G109" s="49"/>
      <c r="H109" s="140"/>
      <c r="I109" s="140"/>
      <c r="J109" s="140"/>
      <c r="K109" s="140"/>
      <c r="L109" s="140"/>
      <c r="M109" s="140"/>
      <c r="N109" s="140"/>
      <c r="O109" s="140"/>
      <c r="P109" s="162"/>
      <c r="Q109" s="162"/>
      <c r="R109" s="162"/>
      <c r="S109" s="162"/>
      <c r="T109" s="163"/>
      <c r="U109" s="25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row>
    <row r="110" spans="1:85" s="32" customFormat="1" ht="12.65" customHeight="1" x14ac:dyDescent="0.3">
      <c r="A110" s="81"/>
      <c r="B110" s="8" t="str">
        <f>VLOOKUP(49,Textbausteine_Menu[],Hilfsgrössen!$D$2,FALSE)</f>
        <v>PostFinance</v>
      </c>
      <c r="C110" s="10"/>
      <c r="D110" s="1"/>
      <c r="E110" s="291"/>
      <c r="F110" s="11"/>
      <c r="G110" s="49"/>
      <c r="H110" s="140"/>
      <c r="I110" s="140"/>
      <c r="J110" s="140"/>
      <c r="K110" s="140"/>
      <c r="L110" s="140"/>
      <c r="M110" s="140"/>
      <c r="N110" s="162"/>
      <c r="O110" s="162"/>
      <c r="P110" s="162"/>
      <c r="Q110" s="162"/>
      <c r="R110" s="162"/>
      <c r="S110" s="162"/>
      <c r="T110" s="163"/>
      <c r="U110" s="25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row>
    <row r="111" spans="1:85" s="32" customFormat="1" ht="12.65" customHeight="1" x14ac:dyDescent="0.3">
      <c r="A111" s="81"/>
      <c r="B111" s="1"/>
      <c r="C111" s="67" t="str">
        <f>VLOOKUP(95,Textbausteine_102[],Hilfsgrössen!$D$2,FALSE)</f>
        <v>Apports d'argent frais</v>
      </c>
      <c r="D111" s="1" t="str">
        <f>VLOOKUP(22,Textbausteine_102[],Hilfsgrössen!$D$2,FALSE)</f>
        <v>Millions de CHF</v>
      </c>
      <c r="E111" s="291"/>
      <c r="F111" s="11" t="s">
        <v>1433</v>
      </c>
      <c r="G111" s="49"/>
      <c r="H111" s="138" t="s">
        <v>1595</v>
      </c>
      <c r="I111" s="140">
        <v>2065</v>
      </c>
      <c r="J111" s="140">
        <v>2548</v>
      </c>
      <c r="K111" s="140">
        <v>3409</v>
      </c>
      <c r="L111" s="140">
        <v>5941</v>
      </c>
      <c r="M111" s="140">
        <v>20120</v>
      </c>
      <c r="N111" s="100">
        <v>10662</v>
      </c>
      <c r="O111" s="100">
        <v>8185</v>
      </c>
      <c r="P111" s="100">
        <v>11553</v>
      </c>
      <c r="Q111" s="100">
        <v>4256</v>
      </c>
      <c r="R111" s="100">
        <v>2839</v>
      </c>
      <c r="S111" s="100">
        <v>-2766</v>
      </c>
      <c r="T111" s="163">
        <v>4479</v>
      </c>
      <c r="U111" s="257">
        <v>-611</v>
      </c>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row>
    <row r="112" spans="1:85" s="32" customFormat="1" ht="12.65" customHeight="1" x14ac:dyDescent="0.3">
      <c r="A112" s="57"/>
      <c r="B112" s="8"/>
      <c r="C112" s="178" t="str">
        <f>VLOOKUP(96,Textbausteine_102[],Hilfsgrössen!$D$2,FALSE)</f>
        <v>Nombres de comptes clients</v>
      </c>
      <c r="D112" s="67" t="str">
        <f>VLOOKUP(25,Textbausteine_102[],Hilfsgrössen!$D$2,FALSE)</f>
        <v>Milliers</v>
      </c>
      <c r="E112" s="291"/>
      <c r="F112" s="11" t="s">
        <v>1433</v>
      </c>
      <c r="G112" s="49"/>
      <c r="H112" s="138" t="s">
        <v>1595</v>
      </c>
      <c r="I112" s="100">
        <v>3008</v>
      </c>
      <c r="J112" s="100">
        <v>3154</v>
      </c>
      <c r="K112" s="100">
        <v>3335.0120000000002</v>
      </c>
      <c r="L112" s="100">
        <v>3646</v>
      </c>
      <c r="M112" s="100">
        <v>3881</v>
      </c>
      <c r="N112" s="100">
        <v>4079</v>
      </c>
      <c r="O112" s="100">
        <v>4212</v>
      </c>
      <c r="P112" s="100">
        <v>4549.2359999999999</v>
      </c>
      <c r="Q112" s="100">
        <v>4628</v>
      </c>
      <c r="R112" s="100">
        <v>4752</v>
      </c>
      <c r="S112" s="100">
        <v>4835</v>
      </c>
      <c r="T112" s="163">
        <v>4845</v>
      </c>
      <c r="U112" s="257">
        <v>4809</v>
      </c>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row>
    <row r="113" spans="1:85" s="32" customFormat="1" ht="12.65" customHeight="1" x14ac:dyDescent="0.3">
      <c r="A113" s="81"/>
      <c r="B113" s="1"/>
      <c r="C113" s="4" t="str">
        <f>VLOOKUP(97,Textbausteine_102[],Hilfsgrössen!$D$2,FALSE)</f>
        <v>Patrimoine des clients (moyenne)</v>
      </c>
      <c r="D113" s="1" t="str">
        <f>VLOOKUP(22,Textbausteine_102[],Hilfsgrössen!$D$2,FALSE)</f>
        <v>Millions de CHF</v>
      </c>
      <c r="E113" s="291"/>
      <c r="F113" s="11" t="s">
        <v>1433</v>
      </c>
      <c r="G113" s="49"/>
      <c r="H113" s="138" t="s">
        <v>1595</v>
      </c>
      <c r="I113" s="176" t="s">
        <v>1595</v>
      </c>
      <c r="J113" s="176" t="s">
        <v>1595</v>
      </c>
      <c r="K113" s="176" t="s">
        <v>1595</v>
      </c>
      <c r="L113" s="176" t="s">
        <v>1595</v>
      </c>
      <c r="M113" s="176" t="s">
        <v>1595</v>
      </c>
      <c r="N113" s="162">
        <v>87992.309227999998</v>
      </c>
      <c r="O113" s="162">
        <v>98827.6851844013</v>
      </c>
      <c r="P113" s="162">
        <v>108508.29627799999</v>
      </c>
      <c r="Q113" s="162">
        <v>113580</v>
      </c>
      <c r="R113" s="162">
        <v>117186</v>
      </c>
      <c r="S113" s="162">
        <v>114865.813994121</v>
      </c>
      <c r="T113" s="163">
        <v>119436</v>
      </c>
      <c r="U113" s="257">
        <v>119797</v>
      </c>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row>
    <row r="114" spans="1:85" s="32" customFormat="1" ht="12.65" customHeight="1" x14ac:dyDescent="0.3">
      <c r="A114" s="81"/>
      <c r="B114" s="1"/>
      <c r="C114" s="4" t="str">
        <f>VLOOKUP(98,Textbausteine_102[],Hilfsgrössen!$D$2,FALSE)</f>
        <v>Dépôts des clients (moyenne)</v>
      </c>
      <c r="D114" s="1" t="str">
        <f>VLOOKUP(22,Textbausteine_102[],Hilfsgrössen!$D$2,FALSE)</f>
        <v>Millions de CHF</v>
      </c>
      <c r="E114" s="291"/>
      <c r="F114" s="11" t="s">
        <v>1433</v>
      </c>
      <c r="G114" s="50"/>
      <c r="H114" s="138" t="s">
        <v>1595</v>
      </c>
      <c r="I114" s="176" t="s">
        <v>1595</v>
      </c>
      <c r="J114" s="176" t="s">
        <v>1595</v>
      </c>
      <c r="K114" s="176" t="s">
        <v>1595</v>
      </c>
      <c r="L114" s="176" t="s">
        <v>1595</v>
      </c>
      <c r="M114" s="176" t="s">
        <v>1595</v>
      </c>
      <c r="N114" s="162">
        <v>83974.026276387507</v>
      </c>
      <c r="O114" s="162">
        <v>94642.066211651298</v>
      </c>
      <c r="P114" s="162">
        <v>103484.821056774</v>
      </c>
      <c r="Q114" s="162">
        <v>107538.19981799999</v>
      </c>
      <c r="R114" s="162">
        <v>110062</v>
      </c>
      <c r="S114" s="162">
        <v>107093.693319121</v>
      </c>
      <c r="T114" s="163">
        <v>111190</v>
      </c>
      <c r="U114" s="257">
        <v>109829</v>
      </c>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row>
    <row r="115" spans="1:85" s="32" customFormat="1" ht="12.65" customHeight="1" x14ac:dyDescent="0.3">
      <c r="A115" s="81"/>
      <c r="B115" s="1"/>
      <c r="C115" s="178" t="str">
        <f>VLOOKUP(99,Textbausteine_102[],Hilfsgrössen!$D$2,FALSE)</f>
        <v>Nombre de transactions</v>
      </c>
      <c r="D115" s="1" t="str">
        <f>VLOOKUP(24,Textbausteine_102[],Hilfsgrössen!$D$2,FALSE)</f>
        <v>Millions</v>
      </c>
      <c r="E115" s="291"/>
      <c r="F115" s="11" t="s">
        <v>1433</v>
      </c>
      <c r="G115" s="49"/>
      <c r="H115" s="138" t="s">
        <v>1595</v>
      </c>
      <c r="I115" s="140">
        <v>801</v>
      </c>
      <c r="J115" s="140">
        <v>803</v>
      </c>
      <c r="K115" s="140">
        <v>823</v>
      </c>
      <c r="L115" s="140">
        <v>843</v>
      </c>
      <c r="M115" s="140">
        <v>865</v>
      </c>
      <c r="N115" s="162">
        <v>894</v>
      </c>
      <c r="O115" s="162">
        <v>907</v>
      </c>
      <c r="P115" s="162">
        <v>932.12372300000004</v>
      </c>
      <c r="Q115" s="162">
        <v>965</v>
      </c>
      <c r="R115" s="162">
        <v>996</v>
      </c>
      <c r="S115" s="162">
        <v>1020</v>
      </c>
      <c r="T115" s="163">
        <v>1044</v>
      </c>
      <c r="U115" s="257">
        <v>1072</v>
      </c>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row>
    <row r="116" spans="1:85" s="32" customFormat="1" ht="12.65" customHeight="1" x14ac:dyDescent="0.3">
      <c r="A116" s="81"/>
      <c r="B116" s="1"/>
      <c r="C116" s="18" t="str">
        <f>VLOOKUP(100,Textbausteine_102[],Hilfsgrössen!$D$2,FALSE)</f>
        <v>Adhérents e-finance</v>
      </c>
      <c r="D116" s="67" t="str">
        <f>VLOOKUP(26,Textbausteine_102[],Hilfsgrössen!$D$2,FALSE)</f>
        <v>clients</v>
      </c>
      <c r="E116" s="291"/>
      <c r="F116" s="11" t="s">
        <v>1433</v>
      </c>
      <c r="G116" s="49"/>
      <c r="H116" s="138" t="s">
        <v>1595</v>
      </c>
      <c r="I116" s="140">
        <v>671728</v>
      </c>
      <c r="J116" s="140">
        <v>760585</v>
      </c>
      <c r="K116" s="140">
        <v>858587</v>
      </c>
      <c r="L116" s="140">
        <v>984592</v>
      </c>
      <c r="M116" s="140">
        <v>1101593</v>
      </c>
      <c r="N116" s="162">
        <v>1219539</v>
      </c>
      <c r="O116" s="162">
        <v>1349747</v>
      </c>
      <c r="P116" s="162">
        <v>1463325</v>
      </c>
      <c r="Q116" s="162">
        <v>1546000</v>
      </c>
      <c r="R116" s="162">
        <v>1624443</v>
      </c>
      <c r="S116" s="162">
        <v>1682956</v>
      </c>
      <c r="T116" s="163">
        <v>1742751</v>
      </c>
      <c r="U116" s="257">
        <v>1755823</v>
      </c>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row>
    <row r="117" spans="1:85" s="32" customFormat="1" ht="12.65" customHeight="1" x14ac:dyDescent="0.3">
      <c r="A117" s="81"/>
      <c r="C117" s="18" t="str">
        <f>VLOOKUP(101,Textbausteine_102[],Hilfsgrössen!$D$2,FALSE)</f>
        <v>Volume des fonds (fonds PostFinance sans fonds émis par des tiers)</v>
      </c>
      <c r="D117" s="1" t="str">
        <f>VLOOKUP(22,Textbausteine_102[],Hilfsgrössen!$D$2,FALSE)</f>
        <v>Millions de CHF</v>
      </c>
      <c r="E117" s="291"/>
      <c r="F117" s="11" t="s">
        <v>1433</v>
      </c>
      <c r="G117" s="49"/>
      <c r="H117" s="138" t="s">
        <v>1595</v>
      </c>
      <c r="I117" s="140">
        <v>1524</v>
      </c>
      <c r="J117" s="140">
        <v>1560</v>
      </c>
      <c r="K117" s="140">
        <v>1475</v>
      </c>
      <c r="L117" s="140">
        <v>1160</v>
      </c>
      <c r="M117" s="140">
        <v>1464</v>
      </c>
      <c r="N117" s="162">
        <v>1673</v>
      </c>
      <c r="O117" s="162">
        <v>1764</v>
      </c>
      <c r="P117" s="162">
        <v>2131.5705029999999</v>
      </c>
      <c r="Q117" s="162">
        <v>2352</v>
      </c>
      <c r="R117" s="162">
        <v>2701</v>
      </c>
      <c r="S117" s="162">
        <v>2972</v>
      </c>
      <c r="T117" s="163">
        <v>3428</v>
      </c>
      <c r="U117" s="257">
        <v>4243</v>
      </c>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row>
    <row r="118" spans="1:85" s="32" customFormat="1" ht="12.65" customHeight="1" x14ac:dyDescent="0.3">
      <c r="A118" s="81"/>
      <c r="B118" s="1"/>
      <c r="C118" s="18" t="str">
        <f>VLOOKUP(102,Textbausteine_102[],Hilfsgrössen!$D$2,FALSE)</f>
        <v>Volume des fonds (émis par PostFinance et par des tiers)</v>
      </c>
      <c r="D118" s="1" t="str">
        <f>VLOOKUP(22,Textbausteine_102[],Hilfsgrössen!$D$2,FALSE)</f>
        <v>Millions de CHF</v>
      </c>
      <c r="E118" s="291"/>
      <c r="F118" s="11" t="s">
        <v>1433</v>
      </c>
      <c r="G118" s="50"/>
      <c r="H118" s="138" t="s">
        <v>1595</v>
      </c>
      <c r="I118" s="140">
        <v>1552.2</v>
      </c>
      <c r="J118" s="140">
        <v>1708</v>
      </c>
      <c r="K118" s="140">
        <v>1728.9</v>
      </c>
      <c r="L118" s="140">
        <v>1380.2</v>
      </c>
      <c r="M118" s="140">
        <v>1723</v>
      </c>
      <c r="N118" s="162">
        <v>1940</v>
      </c>
      <c r="O118" s="162">
        <v>1990</v>
      </c>
      <c r="P118" s="162">
        <v>2390.2245640000001</v>
      </c>
      <c r="Q118" s="162">
        <v>2634</v>
      </c>
      <c r="R118" s="162">
        <v>3005</v>
      </c>
      <c r="S118" s="162">
        <v>3284</v>
      </c>
      <c r="T118" s="163">
        <v>3788</v>
      </c>
      <c r="U118" s="257">
        <v>4757</v>
      </c>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row>
    <row r="119" spans="1:85" s="32" customFormat="1" ht="12.65" customHeight="1" x14ac:dyDescent="0.3">
      <c r="A119" s="81"/>
      <c r="B119" s="1"/>
      <c r="C119" s="178" t="str">
        <f>VLOOKUP(103,Textbausteine_102[],Hilfsgrössen!$D$2,FALSE)</f>
        <v>Volume des prêts clients commerciaux</v>
      </c>
      <c r="D119" s="1" t="str">
        <f>VLOOKUP(22,Textbausteine_102[],Hilfsgrössen!$D$2,FALSE)</f>
        <v>Millions de CHF</v>
      </c>
      <c r="E119" s="293"/>
      <c r="F119" s="11" t="s">
        <v>1433</v>
      </c>
      <c r="G119" s="50"/>
      <c r="H119" s="138" t="s">
        <v>1595</v>
      </c>
      <c r="I119" s="140">
        <v>2106</v>
      </c>
      <c r="J119" s="140">
        <v>2649</v>
      </c>
      <c r="K119" s="140">
        <v>3160</v>
      </c>
      <c r="L119" s="140">
        <v>4313</v>
      </c>
      <c r="M119" s="140">
        <v>5423</v>
      </c>
      <c r="N119" s="162">
        <v>6134</v>
      </c>
      <c r="O119" s="162">
        <v>6842</v>
      </c>
      <c r="P119" s="162">
        <v>6514.2359330000008</v>
      </c>
      <c r="Q119" s="162">
        <v>7271</v>
      </c>
      <c r="R119" s="162">
        <v>8165</v>
      </c>
      <c r="S119" s="162">
        <v>9063</v>
      </c>
      <c r="T119" s="163">
        <v>9894</v>
      </c>
      <c r="U119" s="257">
        <v>10185</v>
      </c>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row>
    <row r="120" spans="1:85" s="32" customFormat="1" ht="12.65" customHeight="1" x14ac:dyDescent="0.3">
      <c r="A120" s="81"/>
      <c r="B120" s="1"/>
      <c r="C120" s="178" t="str">
        <f>VLOOKUP(104,Textbausteine_102[],Hilfsgrössen!$D$2,FALSE)</f>
        <v>Volume des hypothèques clients privés</v>
      </c>
      <c r="D120" s="1" t="str">
        <f>VLOOKUP(22,Textbausteine_102[],Hilfsgrössen!$D$2,FALSE)</f>
        <v>Millions de CHF</v>
      </c>
      <c r="E120" s="293"/>
      <c r="F120" s="11" t="s">
        <v>1433</v>
      </c>
      <c r="G120" s="49"/>
      <c r="H120" s="138" t="s">
        <v>1595</v>
      </c>
      <c r="I120" s="140">
        <v>1440</v>
      </c>
      <c r="J120" s="140">
        <v>1819</v>
      </c>
      <c r="K120" s="140">
        <v>1943.5</v>
      </c>
      <c r="L120" s="140">
        <v>2040</v>
      </c>
      <c r="M120" s="140">
        <v>2673</v>
      </c>
      <c r="N120" s="162">
        <v>3197</v>
      </c>
      <c r="O120" s="162">
        <v>3684</v>
      </c>
      <c r="P120" s="162">
        <v>4166.7325166999999</v>
      </c>
      <c r="Q120" s="162">
        <v>4424</v>
      </c>
      <c r="R120" s="162">
        <v>4713</v>
      </c>
      <c r="S120" s="162">
        <v>5089</v>
      </c>
      <c r="T120" s="163">
        <v>5361</v>
      </c>
      <c r="U120" s="257">
        <v>5650</v>
      </c>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row>
    <row r="121" spans="1:85" s="32" customFormat="1" ht="12.65" customHeight="1" x14ac:dyDescent="0.3">
      <c r="A121" s="81"/>
      <c r="B121" s="1"/>
      <c r="C121" s="68"/>
      <c r="D121" s="1"/>
      <c r="E121" s="293"/>
      <c r="F121" s="11"/>
      <c r="G121" s="49"/>
      <c r="H121" s="140"/>
      <c r="I121" s="140"/>
      <c r="J121" s="140"/>
      <c r="K121" s="140"/>
      <c r="L121" s="140"/>
      <c r="M121" s="140"/>
      <c r="N121" s="162"/>
      <c r="O121" s="162"/>
      <c r="P121" s="162"/>
      <c r="Q121" s="162"/>
      <c r="R121" s="162"/>
      <c r="S121" s="162"/>
      <c r="T121" s="163"/>
      <c r="U121" s="25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row>
    <row r="122" spans="1:85" s="32" customFormat="1" ht="12.65" customHeight="1" x14ac:dyDescent="0.3">
      <c r="A122" s="81"/>
      <c r="B122" s="8" t="str">
        <f>VLOOKUP(50,Textbausteine_Menu[],Hilfsgrössen!$D$2,FALSE)</f>
        <v>CarPostal</v>
      </c>
      <c r="C122" s="10"/>
      <c r="D122" s="67"/>
      <c r="E122" s="295"/>
      <c r="F122" s="13"/>
      <c r="G122" s="50"/>
      <c r="H122" s="140"/>
      <c r="I122" s="140"/>
      <c r="J122" s="140"/>
      <c r="K122" s="140"/>
      <c r="L122" s="140"/>
      <c r="M122" s="140"/>
      <c r="N122" s="162"/>
      <c r="O122" s="162"/>
      <c r="P122" s="162"/>
      <c r="Q122" s="162"/>
      <c r="R122" s="162"/>
      <c r="S122" s="162"/>
      <c r="T122" s="163"/>
      <c r="U122" s="25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row>
    <row r="123" spans="1:85" s="32" customFormat="1" ht="12.65" customHeight="1" x14ac:dyDescent="0.3">
      <c r="A123" s="81"/>
      <c r="B123" s="1"/>
      <c r="C123" s="67" t="str">
        <f>VLOOKUP(105,Textbausteine_102[],Hilfsgrössen!$D$2,FALSE)</f>
        <v>Nombre de voyageurs</v>
      </c>
      <c r="D123" s="67" t="str">
        <f>VLOOKUP(24,Textbausteine_102[],Hilfsgrössen!$D$2,FALSE)</f>
        <v>Millions</v>
      </c>
      <c r="E123" s="295">
        <v>1</v>
      </c>
      <c r="F123" s="11" t="s">
        <v>1433</v>
      </c>
      <c r="G123" s="50"/>
      <c r="H123" s="138" t="s">
        <v>1595</v>
      </c>
      <c r="I123" s="140">
        <v>105</v>
      </c>
      <c r="J123" s="140">
        <v>106</v>
      </c>
      <c r="K123" s="140">
        <v>111</v>
      </c>
      <c r="L123" s="140">
        <v>115</v>
      </c>
      <c r="M123" s="140">
        <v>118</v>
      </c>
      <c r="N123" s="162">
        <v>121</v>
      </c>
      <c r="O123" s="162">
        <v>124</v>
      </c>
      <c r="P123" s="162">
        <v>133</v>
      </c>
      <c r="Q123" s="162">
        <v>139</v>
      </c>
      <c r="R123" s="162">
        <v>141</v>
      </c>
      <c r="S123" s="162">
        <v>145</v>
      </c>
      <c r="T123" s="163">
        <v>152</v>
      </c>
      <c r="U123" s="257">
        <v>154.6</v>
      </c>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row>
    <row r="124" spans="1:85" s="32" customFormat="1" ht="12.65" customHeight="1" x14ac:dyDescent="0.3">
      <c r="A124" s="81"/>
      <c r="B124" s="1"/>
      <c r="C124" s="178" t="str">
        <f>VLOOKUP(106,Textbausteine_102[],Hilfsgrössen!$D$2,FALSE)</f>
        <v>Prestation annuelle</v>
      </c>
      <c r="D124" s="67" t="str">
        <f>VLOOKUP(27,Textbausteine_102[],Hilfsgrössen!$D$2,FALSE)</f>
        <v>Millions de kilomètres</v>
      </c>
      <c r="E124" s="295">
        <v>1</v>
      </c>
      <c r="F124" s="11" t="s">
        <v>1433</v>
      </c>
      <c r="G124" s="49"/>
      <c r="H124" s="138" t="s">
        <v>1595</v>
      </c>
      <c r="I124" s="140">
        <v>94</v>
      </c>
      <c r="J124" s="140">
        <v>91</v>
      </c>
      <c r="K124" s="140">
        <v>89</v>
      </c>
      <c r="L124" s="140">
        <v>94</v>
      </c>
      <c r="M124" s="140">
        <v>98</v>
      </c>
      <c r="N124" s="162">
        <v>103</v>
      </c>
      <c r="O124" s="162">
        <v>104</v>
      </c>
      <c r="P124" s="162">
        <v>107</v>
      </c>
      <c r="Q124" s="162">
        <v>108</v>
      </c>
      <c r="R124" s="162">
        <v>110</v>
      </c>
      <c r="S124" s="162">
        <v>113</v>
      </c>
      <c r="T124" s="163">
        <v>117</v>
      </c>
      <c r="U124" s="257">
        <v>119</v>
      </c>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row>
    <row r="125" spans="1:85" s="32" customFormat="1" ht="12.65" customHeight="1" x14ac:dyDescent="0.3">
      <c r="A125" s="81"/>
      <c r="B125" s="1"/>
      <c r="C125" s="178" t="str">
        <f>VLOOKUP(107,Textbausteine_102[],Hilfsgrössen!$D$2,FALSE)</f>
        <v>Véhicules</v>
      </c>
      <c r="D125" s="67" t="str">
        <f>VLOOKUP(33,Textbausteine_102[],Hilfsgrössen!$D$2,FALSE)</f>
        <v>Nombre par an</v>
      </c>
      <c r="E125" s="291" t="s">
        <v>1479</v>
      </c>
      <c r="F125" s="11" t="s">
        <v>1433</v>
      </c>
      <c r="G125" s="49"/>
      <c r="H125" s="138" t="s">
        <v>1595</v>
      </c>
      <c r="I125" s="140">
        <v>2029</v>
      </c>
      <c r="J125" s="140">
        <v>1953</v>
      </c>
      <c r="K125" s="140">
        <v>1909</v>
      </c>
      <c r="L125" s="140">
        <v>1989</v>
      </c>
      <c r="M125" s="140">
        <v>2066</v>
      </c>
      <c r="N125" s="162">
        <v>2103</v>
      </c>
      <c r="O125" s="162">
        <v>2145</v>
      </c>
      <c r="P125" s="162">
        <v>2157</v>
      </c>
      <c r="Q125" s="162">
        <v>2219</v>
      </c>
      <c r="R125" s="162">
        <v>2193</v>
      </c>
      <c r="S125" s="162">
        <v>2238</v>
      </c>
      <c r="T125" s="163">
        <v>2242</v>
      </c>
      <c r="U125" s="257">
        <v>2311</v>
      </c>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row>
    <row r="126" spans="1:85" s="32" customFormat="1" ht="12.65" customHeight="1" x14ac:dyDescent="0.3">
      <c r="A126" s="81"/>
      <c r="B126" s="1"/>
      <c r="C126" s="178" t="str">
        <f>VLOOKUP(108,Textbausteine_102[],Hilfsgrössen!$D$2,FALSE)</f>
        <v>Réseau CarPostal</v>
      </c>
      <c r="D126" s="67" t="str">
        <f>VLOOKUP(29,Textbausteine_102[],Hilfsgrössen!$D$2,FALSE)</f>
        <v>Kilomètres</v>
      </c>
      <c r="E126" s="291" t="s">
        <v>2524</v>
      </c>
      <c r="F126" s="11" t="s">
        <v>1433</v>
      </c>
      <c r="G126" s="49"/>
      <c r="H126" s="138" t="s">
        <v>1595</v>
      </c>
      <c r="I126" s="175">
        <v>10450</v>
      </c>
      <c r="J126" s="175">
        <v>9805</v>
      </c>
      <c r="K126" s="175">
        <v>9827</v>
      </c>
      <c r="L126" s="175">
        <v>10345</v>
      </c>
      <c r="M126" s="175">
        <v>10429</v>
      </c>
      <c r="N126" s="162">
        <v>11007</v>
      </c>
      <c r="O126" s="162">
        <v>11102</v>
      </c>
      <c r="P126" s="162">
        <v>11350</v>
      </c>
      <c r="Q126" s="162">
        <v>11674</v>
      </c>
      <c r="R126" s="162">
        <v>11869</v>
      </c>
      <c r="S126" s="162">
        <v>11982</v>
      </c>
      <c r="T126" s="163">
        <v>12076</v>
      </c>
      <c r="U126" s="257">
        <v>12159</v>
      </c>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row>
    <row r="127" spans="1:85" s="32" customFormat="1" ht="12.65" customHeight="1" x14ac:dyDescent="0.3">
      <c r="A127" s="81"/>
      <c r="B127" s="1"/>
      <c r="C127" s="68"/>
      <c r="D127" s="1"/>
      <c r="E127" s="291"/>
      <c r="F127" s="11"/>
      <c r="G127" s="49"/>
      <c r="H127" s="175"/>
      <c r="I127" s="175"/>
      <c r="J127" s="175"/>
      <c r="K127" s="175"/>
      <c r="L127" s="175"/>
      <c r="M127" s="175"/>
      <c r="N127" s="162"/>
      <c r="O127" s="162"/>
      <c r="P127" s="162"/>
      <c r="Q127" s="162"/>
      <c r="R127" s="162"/>
      <c r="S127" s="162"/>
      <c r="T127" s="163"/>
      <c r="U127" s="25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row>
    <row r="128" spans="1:85" s="32" customFormat="1" ht="12.65" customHeight="1" x14ac:dyDescent="0.3">
      <c r="A128" s="81"/>
      <c r="B128" s="8" t="str">
        <f>VLOOKUP(53,Textbausteine_Menu[],Hilfsgrössen!$D$2,FALSE)</f>
        <v>Immobilier</v>
      </c>
      <c r="C128" s="10"/>
      <c r="D128" s="67"/>
      <c r="E128" s="295"/>
      <c r="F128" s="13"/>
      <c r="G128" s="50"/>
      <c r="H128" s="140"/>
      <c r="I128" s="140"/>
      <c r="J128" s="140"/>
      <c r="K128" s="140"/>
      <c r="L128" s="140"/>
      <c r="M128" s="140"/>
      <c r="N128" s="162"/>
      <c r="O128" s="162"/>
      <c r="P128" s="162"/>
      <c r="Q128" s="162"/>
      <c r="R128" s="162"/>
      <c r="S128" s="162"/>
      <c r="T128" s="163"/>
      <c r="U128" s="25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row>
    <row r="129" spans="1:85" ht="12.65" customHeight="1" x14ac:dyDescent="0.3">
      <c r="C129" s="67" t="str">
        <f>VLOOKUP(109,Textbausteine_102[],Hilfsgrössen!$D$2,FALSE)</f>
        <v>Immeubles</v>
      </c>
      <c r="D129" s="18" t="str">
        <f>VLOOKUP(28,Textbausteine_102[],Hilfsgrössen!$D$2,FALSE)</f>
        <v>Nombre</v>
      </c>
      <c r="E129" s="291"/>
      <c r="F129" s="11" t="s">
        <v>1433</v>
      </c>
      <c r="G129" s="49"/>
      <c r="H129" s="138" t="s">
        <v>1595</v>
      </c>
      <c r="I129" s="177" t="s">
        <v>1595</v>
      </c>
      <c r="J129" s="177" t="s">
        <v>1595</v>
      </c>
      <c r="K129" s="175">
        <v>2923</v>
      </c>
      <c r="L129" s="175">
        <v>2997</v>
      </c>
      <c r="M129" s="175">
        <v>2773</v>
      </c>
      <c r="N129" s="162">
        <v>2687</v>
      </c>
      <c r="O129" s="162">
        <v>2733</v>
      </c>
      <c r="P129" s="162">
        <v>2545</v>
      </c>
      <c r="Q129" s="162">
        <v>2484</v>
      </c>
      <c r="R129" s="162">
        <v>2471</v>
      </c>
      <c r="S129" s="162">
        <v>2467</v>
      </c>
      <c r="T129" s="163">
        <v>2415</v>
      </c>
      <c r="U129" s="257">
        <v>2407</v>
      </c>
    </row>
    <row r="130" spans="1:85" ht="12.65" customHeight="1" x14ac:dyDescent="0.3">
      <c r="C130" s="19" t="str">
        <f>VLOOKUP(110,Textbausteine_102[],Hilfsgrössen!$D$2,FALSE)</f>
        <v>propres</v>
      </c>
      <c r="D130" s="18" t="str">
        <f>VLOOKUP(28,Textbausteine_102[],Hilfsgrössen!$D$2,FALSE)</f>
        <v>Nombre</v>
      </c>
      <c r="E130" s="291"/>
      <c r="F130" s="11" t="s">
        <v>1433</v>
      </c>
      <c r="G130" s="49"/>
      <c r="H130" s="138" t="s">
        <v>1595</v>
      </c>
      <c r="I130" s="177" t="s">
        <v>1595</v>
      </c>
      <c r="J130" s="177" t="s">
        <v>1595</v>
      </c>
      <c r="K130" s="175">
        <v>1346</v>
      </c>
      <c r="L130" s="175">
        <v>1304</v>
      </c>
      <c r="M130" s="175">
        <v>1216</v>
      </c>
      <c r="N130" s="162">
        <v>1180</v>
      </c>
      <c r="O130" s="162">
        <v>1154</v>
      </c>
      <c r="P130" s="162">
        <v>1120</v>
      </c>
      <c r="Q130" s="162">
        <v>1086</v>
      </c>
      <c r="R130" s="162">
        <v>1051</v>
      </c>
      <c r="S130" s="162">
        <v>1009</v>
      </c>
      <c r="T130" s="163">
        <v>947</v>
      </c>
      <c r="U130" s="257">
        <v>901</v>
      </c>
    </row>
    <row r="131" spans="1:85" ht="12.65" customHeight="1" x14ac:dyDescent="0.3">
      <c r="C131" s="77" t="str">
        <f>VLOOKUP(111,Textbausteine_102[],Hilfsgrössen!$D$2,FALSE)</f>
        <v>loués</v>
      </c>
      <c r="D131" s="18" t="str">
        <f>VLOOKUP(28,Textbausteine_102[],Hilfsgrössen!$D$2,FALSE)</f>
        <v>Nombre</v>
      </c>
      <c r="E131" s="291"/>
      <c r="F131" s="11" t="s">
        <v>1433</v>
      </c>
      <c r="G131" s="49"/>
      <c r="H131" s="138" t="s">
        <v>1595</v>
      </c>
      <c r="I131" s="177" t="s">
        <v>1595</v>
      </c>
      <c r="J131" s="177" t="s">
        <v>1595</v>
      </c>
      <c r="K131" s="175">
        <v>1577</v>
      </c>
      <c r="L131" s="175">
        <v>1693</v>
      </c>
      <c r="M131" s="175">
        <v>1557</v>
      </c>
      <c r="N131" s="162">
        <v>1507</v>
      </c>
      <c r="O131" s="162">
        <v>1579</v>
      </c>
      <c r="P131" s="162">
        <v>1425</v>
      </c>
      <c r="Q131" s="162">
        <v>1398</v>
      </c>
      <c r="R131" s="162">
        <v>1420</v>
      </c>
      <c r="S131" s="162">
        <v>1458</v>
      </c>
      <c r="T131" s="163">
        <v>1468</v>
      </c>
      <c r="U131" s="257">
        <v>1506</v>
      </c>
    </row>
    <row r="132" spans="1:85" ht="12.65" customHeight="1" x14ac:dyDescent="0.3">
      <c r="C132" s="67" t="str">
        <f>VLOOKUP(112,Textbausteine_102[],Hilfsgrössen!$D$2,FALSE)</f>
        <v>Surface gérée</v>
      </c>
      <c r="D132" s="18" t="str">
        <f>VLOOKUP(30,Textbausteine_102[],Hilfsgrössen!$D$2,FALSE)</f>
        <v>Millions de m2</v>
      </c>
      <c r="E132" s="291"/>
      <c r="F132" s="11" t="s">
        <v>1433</v>
      </c>
      <c r="G132" s="49"/>
      <c r="H132" s="138" t="s">
        <v>1595</v>
      </c>
      <c r="I132" s="177" t="s">
        <v>1595</v>
      </c>
      <c r="J132" s="177" t="s">
        <v>1595</v>
      </c>
      <c r="K132" s="175">
        <v>2.6</v>
      </c>
      <c r="L132" s="175">
        <v>2.8</v>
      </c>
      <c r="M132" s="175">
        <v>2.6</v>
      </c>
      <c r="N132" s="162">
        <v>2.673</v>
      </c>
      <c r="O132" s="162">
        <v>2.6</v>
      </c>
      <c r="P132" s="162">
        <v>2.5539999999999998</v>
      </c>
      <c r="Q132" s="162">
        <v>2.6</v>
      </c>
      <c r="R132" s="162">
        <v>2.4</v>
      </c>
      <c r="S132" s="162">
        <v>2.5</v>
      </c>
      <c r="T132" s="163">
        <v>2.5</v>
      </c>
      <c r="U132" s="257">
        <v>2.54</v>
      </c>
    </row>
    <row r="133" spans="1:85" ht="12.65" customHeight="1" x14ac:dyDescent="0.3">
      <c r="C133" s="77" t="str">
        <f>VLOOKUP(113,Textbausteine_102[],Hilfsgrössen!$D$2,FALSE)</f>
        <v>Surface louée</v>
      </c>
      <c r="D133" s="18" t="str">
        <f>VLOOKUP(30,Textbausteine_102[],Hilfsgrössen!$D$2,FALSE)</f>
        <v>Millions de m2</v>
      </c>
      <c r="E133" s="293"/>
      <c r="F133" s="11" t="s">
        <v>1433</v>
      </c>
      <c r="G133" s="49"/>
      <c r="H133" s="138" t="s">
        <v>1595</v>
      </c>
      <c r="I133" s="177" t="s">
        <v>1595</v>
      </c>
      <c r="J133" s="177" t="s">
        <v>1595</v>
      </c>
      <c r="K133" s="175">
        <v>0.5</v>
      </c>
      <c r="L133" s="175">
        <v>0.7</v>
      </c>
      <c r="M133" s="175">
        <v>0.8</v>
      </c>
      <c r="N133" s="162">
        <v>0.77500000000000002</v>
      </c>
      <c r="O133" s="162">
        <v>0.8</v>
      </c>
      <c r="P133" s="162">
        <v>0.72399999999999998</v>
      </c>
      <c r="Q133" s="162">
        <v>0.8</v>
      </c>
      <c r="R133" s="162">
        <v>0.8</v>
      </c>
      <c r="S133" s="162">
        <v>0.8</v>
      </c>
      <c r="T133" s="163">
        <v>0.7</v>
      </c>
      <c r="U133" s="257">
        <v>0.71</v>
      </c>
    </row>
    <row r="134" spans="1:85" ht="12.65" customHeight="1" x14ac:dyDescent="0.3">
      <c r="B134" s="9"/>
      <c r="C134" s="77" t="str">
        <f>VLOOKUP(114,Textbausteine_102[],Hilfsgrössen!$D$2,FALSE)</f>
        <v>Surface louée</v>
      </c>
      <c r="D134" s="1" t="str">
        <f>VLOOKUP(22,Textbausteine_102[],Hilfsgrössen!$D$2,FALSE)</f>
        <v>Millions de CHF</v>
      </c>
      <c r="E134" s="294"/>
      <c r="F134" s="11" t="s">
        <v>1433</v>
      </c>
      <c r="G134" s="49"/>
      <c r="H134" s="138" t="s">
        <v>1595</v>
      </c>
      <c r="I134" s="167" t="s">
        <v>1595</v>
      </c>
      <c r="J134" s="167" t="s">
        <v>1595</v>
      </c>
      <c r="K134" s="162">
        <v>111</v>
      </c>
      <c r="L134" s="162">
        <v>116</v>
      </c>
      <c r="M134" s="162">
        <v>129</v>
      </c>
      <c r="N134" s="20">
        <v>138</v>
      </c>
      <c r="O134" s="20">
        <v>137</v>
      </c>
      <c r="P134" s="107">
        <v>137</v>
      </c>
      <c r="Q134" s="163">
        <v>157</v>
      </c>
      <c r="R134" s="162">
        <v>143</v>
      </c>
      <c r="S134" s="162">
        <v>152.36232099999998</v>
      </c>
      <c r="T134" s="163">
        <v>153</v>
      </c>
      <c r="U134" s="257">
        <v>147</v>
      </c>
    </row>
    <row r="135" spans="1:85" ht="12.65" customHeight="1" x14ac:dyDescent="0.3">
      <c r="C135" s="67" t="str">
        <f>VLOOKUP(115,Textbausteine_102[],Hilfsgrössen!$D$2,FALSE)</f>
        <v>Valeur d'investissement</v>
      </c>
      <c r="D135" s="1" t="str">
        <f>VLOOKUP(22,Textbausteine_102[],Hilfsgrössen!$D$2,FALSE)</f>
        <v>Millions de CHF</v>
      </c>
      <c r="E135" s="291"/>
      <c r="F135" s="11" t="s">
        <v>1433</v>
      </c>
      <c r="G135" s="49"/>
      <c r="H135" s="138" t="s">
        <v>1595</v>
      </c>
      <c r="I135" s="177" t="s">
        <v>1595</v>
      </c>
      <c r="J135" s="177" t="s">
        <v>1595</v>
      </c>
      <c r="K135" s="175">
        <v>6057</v>
      </c>
      <c r="L135" s="175">
        <v>5732</v>
      </c>
      <c r="M135" s="175">
        <v>5208</v>
      </c>
      <c r="N135" s="162">
        <v>5237</v>
      </c>
      <c r="O135" s="162">
        <v>5277</v>
      </c>
      <c r="P135" s="162">
        <v>5357</v>
      </c>
      <c r="Q135" s="162">
        <v>5496</v>
      </c>
      <c r="R135" s="162">
        <v>5594</v>
      </c>
      <c r="S135" s="162">
        <v>5500.2836930000003</v>
      </c>
      <c r="T135" s="163">
        <v>5464</v>
      </c>
      <c r="U135" s="257">
        <v>5309</v>
      </c>
    </row>
    <row r="136" spans="1:85" ht="12.65" customHeight="1" x14ac:dyDescent="0.3">
      <c r="C136" s="67" t="str">
        <f>VLOOKUP(116,Textbausteine_102[],Hilfsgrössen!$D$2,FALSE)</f>
        <v>Produits locatifs internes</v>
      </c>
      <c r="D136" s="1" t="str">
        <f>VLOOKUP(22,Textbausteine_102[],Hilfsgrössen!$D$2,FALSE)</f>
        <v>Millions de CHF</v>
      </c>
      <c r="E136" s="291"/>
      <c r="F136" s="11" t="s">
        <v>1433</v>
      </c>
      <c r="G136" s="49"/>
      <c r="H136" s="138" t="s">
        <v>1595</v>
      </c>
      <c r="I136" s="177" t="s">
        <v>1595</v>
      </c>
      <c r="J136" s="177" t="s">
        <v>1595</v>
      </c>
      <c r="K136" s="175">
        <v>399</v>
      </c>
      <c r="L136" s="175">
        <v>415</v>
      </c>
      <c r="M136" s="175">
        <v>402</v>
      </c>
      <c r="N136" s="162">
        <v>398</v>
      </c>
      <c r="O136" s="162">
        <v>394</v>
      </c>
      <c r="P136" s="162">
        <v>392</v>
      </c>
      <c r="Q136" s="162">
        <v>370</v>
      </c>
      <c r="R136" s="162">
        <v>371</v>
      </c>
      <c r="S136" s="162">
        <v>367.85900000000004</v>
      </c>
      <c r="T136" s="163">
        <v>358</v>
      </c>
      <c r="U136" s="257">
        <v>344</v>
      </c>
    </row>
    <row r="137" spans="1:85" ht="12.65" customHeight="1" x14ac:dyDescent="0.3">
      <c r="C137" s="67" t="str">
        <f>VLOOKUP(117,Textbausteine_102[],Hilfsgrössen!$D$2,FALSE)</f>
        <v>Produits locatifs externes</v>
      </c>
      <c r="D137" s="1" t="str">
        <f>VLOOKUP(22,Textbausteine_102[],Hilfsgrössen!$D$2,FALSE)</f>
        <v>Millions de CHF</v>
      </c>
      <c r="E137" s="291"/>
      <c r="F137" s="11" t="s">
        <v>1433</v>
      </c>
      <c r="G137" s="49"/>
      <c r="H137" s="138" t="s">
        <v>1595</v>
      </c>
      <c r="I137" s="177" t="s">
        <v>1595</v>
      </c>
      <c r="J137" s="177" t="s">
        <v>1595</v>
      </c>
      <c r="K137" s="226">
        <v>55</v>
      </c>
      <c r="L137" s="226">
        <v>59</v>
      </c>
      <c r="M137" s="226">
        <v>57</v>
      </c>
      <c r="N137" s="336">
        <v>56</v>
      </c>
      <c r="O137" s="336">
        <v>56</v>
      </c>
      <c r="P137" s="336">
        <v>63</v>
      </c>
      <c r="Q137" s="336">
        <v>64</v>
      </c>
      <c r="R137" s="336">
        <v>61</v>
      </c>
      <c r="S137" s="336">
        <v>63.567</v>
      </c>
      <c r="T137" s="337">
        <v>61</v>
      </c>
      <c r="U137" s="338">
        <v>62</v>
      </c>
      <c r="V137" s="11"/>
    </row>
    <row r="138" spans="1:85" ht="12.65" customHeight="1" x14ac:dyDescent="0.3">
      <c r="C138" s="67" t="str">
        <f>VLOOKUP(118,Textbausteine_102[],Hilfsgrössen!$D$2,FALSE)</f>
        <v>Volume d'investissements</v>
      </c>
      <c r="D138" s="1" t="str">
        <f>VLOOKUP(22,Textbausteine_102[],Hilfsgrössen!$D$2,FALSE)</f>
        <v>Millions de CHF</v>
      </c>
      <c r="E138" s="291"/>
      <c r="F138" s="11" t="s">
        <v>1433</v>
      </c>
      <c r="G138" s="49"/>
      <c r="H138" s="138" t="s">
        <v>1595</v>
      </c>
      <c r="I138" s="177" t="s">
        <v>1595</v>
      </c>
      <c r="J138" s="177" t="s">
        <v>1595</v>
      </c>
      <c r="K138" s="175">
        <v>140</v>
      </c>
      <c r="L138" s="175">
        <v>160</v>
      </c>
      <c r="M138" s="175">
        <v>121</v>
      </c>
      <c r="N138" s="162">
        <v>167</v>
      </c>
      <c r="O138" s="162">
        <v>183</v>
      </c>
      <c r="P138" s="162">
        <v>177</v>
      </c>
      <c r="Q138" s="162">
        <v>157</v>
      </c>
      <c r="R138" s="162">
        <v>189</v>
      </c>
      <c r="S138" s="162">
        <v>101.937</v>
      </c>
      <c r="T138" s="163">
        <v>141</v>
      </c>
      <c r="U138" s="257">
        <v>127</v>
      </c>
    </row>
    <row r="139" spans="1:85" ht="12.65" customHeight="1" x14ac:dyDescent="0.3">
      <c r="C139" s="67" t="str">
        <f>VLOOKUP(119,Textbausteine_102[],Hilfsgrössen!$D$2,FALSE)</f>
        <v>Volume d'entretien</v>
      </c>
      <c r="D139" s="1" t="str">
        <f>VLOOKUP(22,Textbausteine_102[],Hilfsgrössen!$D$2,FALSE)</f>
        <v>Millions de CHF</v>
      </c>
      <c r="E139" s="293"/>
      <c r="F139" s="11" t="s">
        <v>1433</v>
      </c>
      <c r="G139" s="49"/>
      <c r="H139" s="138" t="s">
        <v>1595</v>
      </c>
      <c r="I139" s="177" t="s">
        <v>1595</v>
      </c>
      <c r="J139" s="177" t="s">
        <v>1595</v>
      </c>
      <c r="K139" s="175">
        <v>47</v>
      </c>
      <c r="L139" s="175">
        <v>50</v>
      </c>
      <c r="M139" s="175">
        <v>49</v>
      </c>
      <c r="N139" s="162">
        <v>44</v>
      </c>
      <c r="O139" s="162">
        <v>48</v>
      </c>
      <c r="P139" s="162">
        <v>54</v>
      </c>
      <c r="Q139" s="162">
        <v>44</v>
      </c>
      <c r="R139" s="162">
        <v>42</v>
      </c>
      <c r="S139" s="162">
        <v>92</v>
      </c>
      <c r="T139" s="163">
        <v>57</v>
      </c>
      <c r="U139" s="257">
        <v>40</v>
      </c>
      <c r="V139" s="11"/>
    </row>
    <row r="140" spans="1:85" ht="12.65" customHeight="1" x14ac:dyDescent="0.3">
      <c r="B140" s="9"/>
      <c r="C140" s="67" t="str">
        <f>VLOOKUP(120,Textbausteine_102[],Hilfsgrössen!$D$2,FALSE)</f>
        <v>Projets en cours</v>
      </c>
      <c r="D140" s="18" t="str">
        <f>VLOOKUP(28,Textbausteine_102[],Hilfsgrössen!$D$2,FALSE)</f>
        <v>Nombre</v>
      </c>
      <c r="E140" s="294"/>
      <c r="F140" s="11" t="s">
        <v>1433</v>
      </c>
      <c r="G140" s="49"/>
      <c r="H140" s="138" t="s">
        <v>1595</v>
      </c>
      <c r="I140" s="167" t="s">
        <v>1595</v>
      </c>
      <c r="J140" s="167" t="s">
        <v>1595</v>
      </c>
      <c r="K140" s="162" t="s">
        <v>1503</v>
      </c>
      <c r="L140" s="162" t="s">
        <v>1504</v>
      </c>
      <c r="M140" s="162" t="s">
        <v>1504</v>
      </c>
      <c r="N140" s="20" t="s">
        <v>1504</v>
      </c>
      <c r="O140" s="20" t="s">
        <v>1505</v>
      </c>
      <c r="P140" s="107" t="s">
        <v>1505</v>
      </c>
      <c r="Q140" s="163" t="s">
        <v>1506</v>
      </c>
      <c r="R140" s="162" t="s">
        <v>1507</v>
      </c>
      <c r="S140" s="162" t="s">
        <v>1508</v>
      </c>
      <c r="T140" s="163" t="s">
        <v>1509</v>
      </c>
      <c r="U140" s="257" t="s">
        <v>1509</v>
      </c>
    </row>
    <row r="141" spans="1:85" ht="12.65" customHeight="1" x14ac:dyDescent="0.3">
      <c r="C141" s="68"/>
      <c r="E141" s="291"/>
      <c r="F141" s="11"/>
      <c r="G141" s="49"/>
      <c r="H141" s="175"/>
      <c r="I141" s="175"/>
      <c r="J141" s="175"/>
      <c r="K141" s="175"/>
      <c r="L141" s="175"/>
      <c r="M141" s="175"/>
      <c r="N141" s="162"/>
      <c r="O141" s="162"/>
      <c r="P141" s="162"/>
      <c r="Q141" s="162"/>
      <c r="R141" s="162"/>
      <c r="S141" s="162"/>
      <c r="T141" s="163"/>
      <c r="U141" s="257"/>
    </row>
    <row r="142" spans="1:85" s="32" customFormat="1" ht="12.65" customHeight="1" x14ac:dyDescent="0.3">
      <c r="A142" s="81"/>
      <c r="B142" s="8" t="str">
        <f>VLOOKUP(54,Textbausteine_Menu[],Hilfsgrössen!$D$2,FALSE)</f>
        <v>Technologies de l'information</v>
      </c>
      <c r="C142" s="10"/>
      <c r="D142" s="67"/>
      <c r="E142" s="295"/>
      <c r="F142" s="13"/>
      <c r="G142" s="50"/>
      <c r="H142" s="140"/>
      <c r="I142" s="140"/>
      <c r="J142" s="140"/>
      <c r="K142" s="140"/>
      <c r="L142" s="140"/>
      <c r="M142" s="140"/>
      <c r="N142" s="162"/>
      <c r="O142" s="162"/>
      <c r="P142" s="162"/>
      <c r="Q142" s="162"/>
      <c r="R142" s="162"/>
      <c r="S142" s="162"/>
      <c r="T142" s="163"/>
      <c r="U142" s="25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row>
    <row r="143" spans="1:85" ht="12.65" customHeight="1" x14ac:dyDescent="0.3">
      <c r="C143" s="68" t="str">
        <f>VLOOKUP(121,Textbausteine_102[],Hilfsgrössen!$D$2,FALSE)</f>
        <v xml:space="preserve">Contacts User Help Desk </v>
      </c>
      <c r="D143" s="1" t="str">
        <f>VLOOKUP(31,Textbausteine_102[],Hilfsgrössen!$D$2,FALSE)</f>
        <v>Nombre par mois</v>
      </c>
      <c r="E143" s="291"/>
      <c r="F143" s="11" t="s">
        <v>1433</v>
      </c>
      <c r="G143" s="49"/>
      <c r="H143" s="138" t="s">
        <v>1595</v>
      </c>
      <c r="I143" s="177" t="s">
        <v>1595</v>
      </c>
      <c r="J143" s="177" t="s">
        <v>1595</v>
      </c>
      <c r="K143" s="175">
        <v>25000</v>
      </c>
      <c r="L143" s="175">
        <v>24000</v>
      </c>
      <c r="M143" s="175">
        <v>24000</v>
      </c>
      <c r="N143" s="162">
        <v>21935</v>
      </c>
      <c r="O143" s="162">
        <v>20901</v>
      </c>
      <c r="P143" s="162">
        <v>19200</v>
      </c>
      <c r="Q143" s="162">
        <v>16768</v>
      </c>
      <c r="R143" s="162">
        <v>16092</v>
      </c>
      <c r="S143" s="162">
        <v>19080</v>
      </c>
      <c r="T143" s="163">
        <v>17038</v>
      </c>
      <c r="U143" s="257">
        <v>15126</v>
      </c>
    </row>
    <row r="144" spans="1:85" ht="12.65" customHeight="1" x14ac:dyDescent="0.3">
      <c r="C144" s="68" t="str">
        <f>VLOOKUP(122,Textbausteine_102[],Hilfsgrössen!$D$2,FALSE)</f>
        <v>Appareils gérés</v>
      </c>
      <c r="D144" s="67" t="str">
        <f>VLOOKUP(33,Textbausteine_102[],Hilfsgrössen!$D$2,FALSE)</f>
        <v>Nombre par an</v>
      </c>
      <c r="E144" s="291"/>
      <c r="F144" s="11" t="s">
        <v>1433</v>
      </c>
      <c r="G144" s="49"/>
      <c r="H144" s="138" t="s">
        <v>1595</v>
      </c>
      <c r="I144" s="177" t="s">
        <v>1595</v>
      </c>
      <c r="J144" s="177" t="s">
        <v>1595</v>
      </c>
      <c r="K144" s="175">
        <v>38200</v>
      </c>
      <c r="L144" s="175">
        <v>62000</v>
      </c>
      <c r="M144" s="175">
        <v>64431</v>
      </c>
      <c r="N144" s="162">
        <v>79121</v>
      </c>
      <c r="O144" s="162">
        <v>85455</v>
      </c>
      <c r="P144" s="162">
        <v>87073</v>
      </c>
      <c r="Q144" s="162">
        <v>86884</v>
      </c>
      <c r="R144" s="162">
        <v>89075</v>
      </c>
      <c r="S144" s="162">
        <v>96891</v>
      </c>
      <c r="T144" s="163">
        <v>92492</v>
      </c>
      <c r="U144" s="257">
        <v>90231</v>
      </c>
    </row>
    <row r="145" spans="2:22" ht="12.65" customHeight="1" x14ac:dyDescent="0.3">
      <c r="C145" s="68" t="str">
        <f>VLOOKUP(123,Textbausteine_102[],Hilfsgrössen!$D$2,FALSE)</f>
        <v>Nombre d'applications différentes</v>
      </c>
      <c r="D145" s="67" t="str">
        <f>VLOOKUP(33,Textbausteine_102[],Hilfsgrössen!$D$2,FALSE)</f>
        <v>Nombre par an</v>
      </c>
      <c r="E145" s="293"/>
      <c r="F145" s="11" t="s">
        <v>1433</v>
      </c>
      <c r="G145" s="49"/>
      <c r="H145" s="138" t="s">
        <v>1595</v>
      </c>
      <c r="I145" s="177" t="s">
        <v>1595</v>
      </c>
      <c r="J145" s="177" t="s">
        <v>1595</v>
      </c>
      <c r="K145" s="175">
        <v>430</v>
      </c>
      <c r="L145" s="175">
        <v>450</v>
      </c>
      <c r="M145" s="175">
        <v>625</v>
      </c>
      <c r="N145" s="162">
        <v>654</v>
      </c>
      <c r="O145" s="162">
        <v>636</v>
      </c>
      <c r="P145" s="162">
        <v>509</v>
      </c>
      <c r="Q145" s="162">
        <v>540</v>
      </c>
      <c r="R145" s="162">
        <v>559</v>
      </c>
      <c r="S145" s="162">
        <v>569</v>
      </c>
      <c r="T145" s="163">
        <v>591</v>
      </c>
      <c r="U145" s="257">
        <v>593</v>
      </c>
    </row>
    <row r="146" spans="2:22" ht="12.65" customHeight="1" x14ac:dyDescent="0.3">
      <c r="B146" s="9"/>
      <c r="C146" s="10" t="str">
        <f>VLOOKUP(124,Textbausteine_102[],Hilfsgrössen!$D$2,FALSE)</f>
        <v>Volume de données sauvegardées par année</v>
      </c>
      <c r="D146" s="9" t="str">
        <f>VLOOKUP(32,Textbausteine_102[],Hilfsgrössen!$D$2,FALSE)</f>
        <v>Gigaoctets</v>
      </c>
      <c r="E146" s="294"/>
      <c r="F146" s="11" t="s">
        <v>1433</v>
      </c>
      <c r="G146" s="49"/>
      <c r="H146" s="138" t="s">
        <v>1595</v>
      </c>
      <c r="I146" s="167" t="s">
        <v>1595</v>
      </c>
      <c r="J146" s="167" t="s">
        <v>1595</v>
      </c>
      <c r="K146" s="167" t="s">
        <v>1595</v>
      </c>
      <c r="L146" s="167" t="s">
        <v>1595</v>
      </c>
      <c r="M146" s="167" t="s">
        <v>1595</v>
      </c>
      <c r="N146" s="20" t="s">
        <v>1424</v>
      </c>
      <c r="O146" s="20">
        <v>1900000</v>
      </c>
      <c r="P146" s="107">
        <v>2600000</v>
      </c>
      <c r="Q146" s="163">
        <v>2700000</v>
      </c>
      <c r="R146" s="162">
        <v>2900000</v>
      </c>
      <c r="S146" s="162">
        <v>3100000</v>
      </c>
      <c r="T146" s="163">
        <v>3400000</v>
      </c>
      <c r="U146" s="257">
        <v>3500000</v>
      </c>
    </row>
    <row r="147" spans="2:22" ht="12.65" customHeight="1" x14ac:dyDescent="0.3">
      <c r="C147" s="68" t="str">
        <f>VLOOKUP(125,Textbausteine_102[],Hilfsgrössen!$D$2,FALSE)</f>
        <v>Taux de résolution à la 1re intervention</v>
      </c>
      <c r="D147" s="1" t="str">
        <f>VLOOKUP(21,Textbausteine_102[],Hilfsgrössen!$D$2,FALSE)</f>
        <v>%</v>
      </c>
      <c r="E147" s="291"/>
      <c r="F147" s="11" t="s">
        <v>1433</v>
      </c>
      <c r="G147" s="49"/>
      <c r="H147" s="138" t="s">
        <v>1595</v>
      </c>
      <c r="I147" s="177" t="s">
        <v>1595</v>
      </c>
      <c r="J147" s="177" t="s">
        <v>1595</v>
      </c>
      <c r="K147" s="226">
        <v>67.7</v>
      </c>
      <c r="L147" s="226">
        <v>67.5</v>
      </c>
      <c r="M147" s="226">
        <v>68.599999999999994</v>
      </c>
      <c r="N147" s="336">
        <v>68.099999999999994</v>
      </c>
      <c r="O147" s="336">
        <v>69.2</v>
      </c>
      <c r="P147" s="336">
        <v>76.900000000000006</v>
      </c>
      <c r="Q147" s="336">
        <v>74</v>
      </c>
      <c r="R147" s="336">
        <v>75</v>
      </c>
      <c r="S147" s="336">
        <v>76</v>
      </c>
      <c r="T147" s="337">
        <v>74</v>
      </c>
      <c r="U147" s="338">
        <v>72</v>
      </c>
      <c r="V147" s="11"/>
    </row>
    <row r="148" spans="2:22" ht="12.65" customHeight="1" x14ac:dyDescent="0.3">
      <c r="C148" s="68" t="str">
        <f>VLOOKUP(126,Textbausteine_102[],Hilfsgrössen!$D$2,FALSE)</f>
        <v>Assistance</v>
      </c>
      <c r="D148" s="67" t="str">
        <f>VLOOKUP(33,Textbausteine_102[],Hilfsgrössen!$D$2,FALSE)</f>
        <v>Nombre par an</v>
      </c>
      <c r="E148" s="291"/>
      <c r="F148" s="11" t="s">
        <v>1433</v>
      </c>
      <c r="G148" s="49"/>
      <c r="H148" s="138" t="s">
        <v>1595</v>
      </c>
      <c r="I148" s="177" t="s">
        <v>1595</v>
      </c>
      <c r="J148" s="177" t="s">
        <v>1595</v>
      </c>
      <c r="K148" s="175">
        <v>40500</v>
      </c>
      <c r="L148" s="175">
        <v>39600</v>
      </c>
      <c r="M148" s="175">
        <v>41500</v>
      </c>
      <c r="N148" s="162">
        <v>38927</v>
      </c>
      <c r="O148" s="162">
        <v>40214</v>
      </c>
      <c r="P148" s="162">
        <v>44100</v>
      </c>
      <c r="Q148" s="162">
        <v>44440</v>
      </c>
      <c r="R148" s="162">
        <v>46990</v>
      </c>
      <c r="S148" s="162">
        <v>50792</v>
      </c>
      <c r="T148" s="163">
        <v>44229</v>
      </c>
      <c r="U148" s="257">
        <v>42292</v>
      </c>
    </row>
    <row r="149" spans="2:22" ht="12.65" customHeight="1" x14ac:dyDescent="0.3">
      <c r="C149" s="68"/>
      <c r="E149" s="291"/>
      <c r="F149" s="11"/>
      <c r="G149" s="49"/>
      <c r="H149" s="175"/>
      <c r="I149" s="175"/>
      <c r="J149" s="175"/>
      <c r="K149" s="175"/>
      <c r="L149" s="175"/>
      <c r="M149" s="175"/>
      <c r="N149" s="162"/>
      <c r="O149" s="162"/>
      <c r="P149" s="162"/>
      <c r="Q149" s="162"/>
      <c r="R149" s="162"/>
      <c r="S149" s="162"/>
      <c r="T149" s="163"/>
      <c r="U149" s="163"/>
    </row>
    <row r="150" spans="2:22" ht="12.65" customHeight="1" x14ac:dyDescent="0.3">
      <c r="B150" s="26" t="str">
        <f>VLOOKUP(261,Textbausteine_102[],Hilfsgrössen!$D$2,FALSE)</f>
        <v>1) Valeurs en Suisse</v>
      </c>
      <c r="C150" s="68"/>
      <c r="E150" s="291"/>
      <c r="F150" s="11"/>
      <c r="G150" s="49"/>
      <c r="H150" s="175"/>
      <c r="I150" s="175"/>
      <c r="J150" s="175"/>
      <c r="K150" s="175"/>
      <c r="L150" s="175"/>
      <c r="M150" s="175"/>
      <c r="N150" s="162"/>
      <c r="O150" s="162"/>
      <c r="P150" s="162"/>
      <c r="Q150" s="162"/>
      <c r="R150" s="162"/>
      <c r="S150" s="162"/>
      <c r="T150" s="163"/>
      <c r="U150" s="163"/>
    </row>
    <row r="151" spans="2:22" ht="12.65" customHeight="1" x14ac:dyDescent="0.3">
      <c r="B151" s="26" t="str">
        <f>VLOOKUP(262,Textbausteine_102[],Hilfsgrössen!$D$2,FALSE)</f>
        <v>2) Du 1.1.2010 au 31.12.2015 la responsabilité des produits pour particuliers été attribuée au Réseau postal et vente. A partir du 1er janvier 2016 la responsabilité des produits pour particuliers a été transférée de Réseau postal et vente à PostMail et à PostLogistics.</v>
      </c>
      <c r="C151" s="68"/>
      <c r="E151" s="293"/>
      <c r="F151" s="11"/>
      <c r="G151" s="49"/>
      <c r="H151" s="175"/>
      <c r="I151" s="175"/>
      <c r="J151" s="175"/>
      <c r="K151" s="175"/>
      <c r="L151" s="175"/>
      <c r="M151" s="175"/>
      <c r="N151" s="162"/>
      <c r="O151" s="162"/>
      <c r="P151" s="162"/>
      <c r="Q151" s="162"/>
      <c r="R151" s="162"/>
      <c r="S151" s="162"/>
      <c r="T151" s="163"/>
      <c r="U151" s="163"/>
    </row>
    <row r="152" spans="2:22" ht="12.65" customHeight="1" x14ac:dyDescent="0.3">
      <c r="B152" s="26" t="str">
        <f>VLOOKUP(263,Textbausteine_102[],Hilfsgrössen!$D$2,FALSE)</f>
        <v>3) Depuis 2012, Swiss Post International ne constitue plus un segment autonome. Ses activités commerciales ont été transférées aux unités d'affaires PostMail et PostLogistics à partir du 1er janvier 2012. Les indicateurs continuent d'être relevés.</v>
      </c>
      <c r="C152" s="15"/>
      <c r="D152" s="9"/>
      <c r="E152" s="294"/>
      <c r="F152" s="44"/>
      <c r="G152" s="49"/>
      <c r="H152" s="162"/>
      <c r="I152" s="162"/>
      <c r="J152" s="162"/>
      <c r="K152" s="162"/>
      <c r="L152" s="162"/>
      <c r="M152" s="162"/>
      <c r="N152" s="20"/>
      <c r="O152" s="20"/>
      <c r="P152" s="107"/>
      <c r="Q152" s="163"/>
      <c r="R152" s="162"/>
      <c r="S152" s="162"/>
      <c r="T152" s="163"/>
      <c r="U152" s="163"/>
    </row>
    <row r="153" spans="2:22" ht="12.65" customHeight="1" x14ac:dyDescent="0.3">
      <c r="B153" s="26" t="str">
        <f>VLOOKUP(264,Textbausteine_102[],Hilfsgrössen!$D$2,FALSE)</f>
        <v>4) Depuis 2010, Swiss-Express et clients commerciaux uniquement; jusqu'en 2009, envois express (Swiss-Express «Lune»).</v>
      </c>
      <c r="C153" s="26"/>
      <c r="D153" s="26"/>
      <c r="E153" s="298"/>
      <c r="F153" s="43"/>
      <c r="G153" s="26"/>
      <c r="H153" s="164"/>
      <c r="I153" s="164"/>
      <c r="J153" s="164"/>
      <c r="K153" s="164"/>
      <c r="L153" s="164"/>
      <c r="M153" s="164"/>
      <c r="N153" s="164"/>
      <c r="O153" s="164"/>
      <c r="P153" s="164"/>
      <c r="Q153" s="164"/>
      <c r="R153" s="162"/>
      <c r="S153" s="162"/>
      <c r="T153" s="163"/>
      <c r="U153" s="163"/>
    </row>
    <row r="154" spans="2:22" ht="12.65" customHeight="1" x14ac:dyDescent="0.3">
      <c r="B154" s="26" t="str">
        <f>VLOOKUP(265,Textbausteine_102[],Hilfsgrössen!$D$2,FALSE)</f>
        <v>5) En 2007, des sociétés du groupe des segments PostMail (DocumentServices SA, SwissSign SA) et PostLogistics (yellowworld SA) ont été transférées au segment Swiss Post Solutions.</v>
      </c>
      <c r="C154" s="26"/>
      <c r="D154" s="26"/>
      <c r="E154" s="298"/>
      <c r="F154" s="43"/>
      <c r="G154" s="26"/>
      <c r="H154" s="164"/>
      <c r="I154" s="164"/>
      <c r="J154" s="164"/>
      <c r="K154" s="164"/>
      <c r="L154" s="164"/>
      <c r="M154" s="164"/>
      <c r="N154" s="164"/>
      <c r="O154" s="164"/>
      <c r="P154" s="164"/>
      <c r="Q154" s="164"/>
      <c r="R154" s="162"/>
      <c r="S154" s="162"/>
      <c r="T154" s="163"/>
      <c r="U154" s="163"/>
    </row>
    <row r="155" spans="2:22" ht="12.65" customHeight="1" x14ac:dyDescent="0.3">
      <c r="B155" s="26" t="str">
        <f>VLOOKUP(266,Textbausteine_102[],Hilfsgrössen!$D$2,FALSE)</f>
        <v>6) Changement d’intitulé du chiffre clé («Communications téléphoniques» jusqu’en 2016). Depuis 2017, le chiffre clé «Cas traités» englobe les communications téléphoniques.</v>
      </c>
      <c r="C155" s="26"/>
      <c r="D155" s="26"/>
      <c r="E155" s="298"/>
      <c r="F155" s="43"/>
      <c r="G155" s="26"/>
      <c r="H155" s="164"/>
      <c r="I155" s="164"/>
      <c r="J155" s="164"/>
      <c r="K155" s="164"/>
      <c r="L155" s="164"/>
      <c r="M155" s="164"/>
      <c r="N155" s="164"/>
      <c r="O155" s="164"/>
      <c r="P155" s="164"/>
      <c r="Q155" s="164"/>
      <c r="R155" s="162"/>
      <c r="S155" s="162"/>
      <c r="T155" s="163"/>
      <c r="U155" s="163"/>
    </row>
    <row r="156" spans="2:22" ht="12.65" customHeight="1" x14ac:dyDescent="0.3">
      <c r="B156" s="26" t="str">
        <f>VLOOKUP(267,Textbausteine_102[],Hilfsgrössen!$D$2,FALSE)</f>
        <v>7) Groupe Suisse</v>
      </c>
      <c r="C156" s="15"/>
      <c r="H156" s="162"/>
      <c r="I156" s="162"/>
      <c r="J156" s="162"/>
      <c r="K156" s="162"/>
      <c r="L156" s="162"/>
      <c r="M156" s="162"/>
      <c r="N156" s="20"/>
      <c r="O156" s="20"/>
      <c r="P156" s="107"/>
      <c r="Q156" s="163"/>
      <c r="R156" s="162"/>
      <c r="S156" s="162"/>
      <c r="T156" s="163"/>
      <c r="U156" s="163"/>
    </row>
    <row r="157" spans="2:22" ht="12.65" customHeight="1" x14ac:dyDescent="0.3">
      <c r="B157" s="26" t="str">
        <f>VLOOKUP(268,Textbausteine_102[],Hilfsgrössen!$D$2,FALSE)</f>
        <v>8) Nouvelle base de calcul pour 2007; les valeurs ne peuvent pas comparées avec celles des exercices précédents.</v>
      </c>
      <c r="C157" s="15"/>
      <c r="H157" s="162"/>
      <c r="I157" s="162"/>
      <c r="J157" s="162"/>
      <c r="K157" s="162"/>
      <c r="L157" s="162"/>
      <c r="M157" s="162"/>
      <c r="N157" s="20"/>
      <c r="O157" s="20"/>
      <c r="P157" s="107"/>
      <c r="Q157" s="163"/>
      <c r="R157" s="162"/>
      <c r="S157" s="162"/>
      <c r="T157" s="163"/>
      <c r="U157" s="163"/>
    </row>
    <row r="158" spans="2:22" ht="12.65" customHeight="1" x14ac:dyDescent="0.3">
      <c r="C158" s="15"/>
      <c r="H158" s="162"/>
      <c r="I158" s="162"/>
      <c r="J158" s="162"/>
      <c r="K158" s="162"/>
      <c r="L158" s="162"/>
      <c r="M158" s="162"/>
      <c r="N158" s="20"/>
      <c r="O158" s="20"/>
      <c r="P158" s="107"/>
      <c r="Q158" s="163"/>
      <c r="R158" s="162"/>
      <c r="S158" s="162"/>
      <c r="T158" s="163"/>
      <c r="U158" s="163"/>
    </row>
    <row r="159" spans="2:22" ht="12.65" customHeight="1" x14ac:dyDescent="0.3">
      <c r="C159" s="15"/>
      <c r="H159" s="162"/>
      <c r="I159" s="162"/>
      <c r="J159" s="162"/>
      <c r="K159" s="162"/>
      <c r="L159" s="162"/>
      <c r="M159" s="162"/>
      <c r="N159" s="20"/>
      <c r="O159" s="20"/>
      <c r="P159" s="107"/>
      <c r="Q159" s="163"/>
      <c r="R159" s="162"/>
      <c r="S159" s="162"/>
      <c r="T159" s="163"/>
      <c r="U159" s="163"/>
    </row>
    <row r="160" spans="2:22" ht="12.65" customHeight="1" x14ac:dyDescent="0.3">
      <c r="C160" s="15"/>
      <c r="H160" s="162"/>
      <c r="I160" s="162"/>
      <c r="J160" s="162"/>
      <c r="K160" s="162"/>
      <c r="L160" s="162"/>
      <c r="M160" s="162"/>
      <c r="N160" s="20"/>
      <c r="O160" s="20"/>
      <c r="P160" s="107"/>
      <c r="Q160" s="163"/>
      <c r="R160" s="162"/>
      <c r="S160" s="162"/>
      <c r="T160" s="163"/>
      <c r="U160" s="163"/>
    </row>
    <row r="161" spans="1:85" s="152" customFormat="1" ht="12.65" customHeight="1" x14ac:dyDescent="0.3">
      <c r="A161" s="62" t="s">
        <v>900</v>
      </c>
      <c r="B161" s="385" t="str">
        <f>$C$11</f>
        <v>Volume trafic des paiements</v>
      </c>
      <c r="C161" s="385"/>
      <c r="D161" s="59" t="str">
        <f>VLOOKUP(32,Textbausteine_Menu[],Hilfsgrössen!$D$2,FALSE)</f>
        <v>Unité</v>
      </c>
      <c r="E161" s="292" t="str">
        <f>VLOOKUP(33,Textbausteine_Menu[],Hilfsgrössen!$D$2,FALSE)</f>
        <v>Notes</v>
      </c>
      <c r="F161" s="40" t="str">
        <f>VLOOKUP(34,Textbausteine_Menu[],Hilfsgrössen!$D$2,FALSE)</f>
        <v>GRI</v>
      </c>
      <c r="G161" s="48"/>
      <c r="H161" s="160">
        <v>2004</v>
      </c>
      <c r="I161" s="160">
        <v>2005</v>
      </c>
      <c r="J161" s="160">
        <v>2006</v>
      </c>
      <c r="K161" s="160">
        <v>2007</v>
      </c>
      <c r="L161" s="160">
        <v>2008</v>
      </c>
      <c r="M161" s="160">
        <v>2009</v>
      </c>
      <c r="N161" s="160">
        <v>2010</v>
      </c>
      <c r="O161" s="160">
        <v>2011</v>
      </c>
      <c r="P161" s="160">
        <v>2012</v>
      </c>
      <c r="Q161" s="160">
        <v>2013</v>
      </c>
      <c r="R161" s="160">
        <v>2014</v>
      </c>
      <c r="S161" s="160">
        <v>2015</v>
      </c>
      <c r="T161" s="120">
        <v>2016</v>
      </c>
      <c r="U161" s="252">
        <v>2017</v>
      </c>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113"/>
      <c r="CC161" s="113"/>
      <c r="CD161" s="113"/>
      <c r="CE161" s="113"/>
      <c r="CF161" s="113"/>
      <c r="CG161" s="113"/>
    </row>
    <row r="162" spans="1:85" s="61" customFormat="1" ht="12.65" customHeight="1" x14ac:dyDescent="0.3">
      <c r="A162" s="82"/>
      <c r="B162" s="385"/>
      <c r="C162" s="385"/>
      <c r="D162" s="60"/>
      <c r="E162" s="288"/>
      <c r="F162" s="39"/>
      <c r="G162" s="49"/>
      <c r="H162" s="161"/>
      <c r="I162" s="161"/>
      <c r="J162" s="161"/>
      <c r="K162" s="161"/>
      <c r="L162" s="161"/>
      <c r="M162" s="161"/>
      <c r="N162" s="161"/>
      <c r="O162" s="161"/>
      <c r="P162" s="161"/>
      <c r="Q162" s="161"/>
      <c r="R162" s="161"/>
      <c r="S162" s="161"/>
      <c r="T162" s="119"/>
      <c r="U162" s="253"/>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row>
    <row r="163" spans="1:85" ht="12.65" customHeight="1" x14ac:dyDescent="0.3">
      <c r="B163" s="8"/>
      <c r="D163" s="9"/>
      <c r="E163" s="293"/>
      <c r="F163" s="11"/>
      <c r="G163" s="46"/>
      <c r="T163" s="119"/>
      <c r="U163" s="253"/>
    </row>
    <row r="164" spans="1:85" ht="12.65" customHeight="1" x14ac:dyDescent="0.3">
      <c r="B164" s="8" t="str">
        <f>VLOOKUP(131,Textbausteine_102[],Hilfsgrössen!$D$2,FALSE)</f>
        <v>Volume des versements et des virements</v>
      </c>
      <c r="D164" s="67"/>
      <c r="E164" s="293"/>
      <c r="F164" s="11"/>
      <c r="T164" s="119"/>
      <c r="U164" s="253"/>
    </row>
    <row r="165" spans="1:85" ht="12.65" customHeight="1" x14ac:dyDescent="0.3">
      <c r="B165" s="8"/>
      <c r="C165" s="68" t="str">
        <f>VLOOKUP(132,Textbausteine_102[],Hilfsgrössen!$D$2,FALSE)</f>
        <v>Virements e-finance (canal électronique)</v>
      </c>
      <c r="D165" s="18" t="str">
        <f>VLOOKUP(28,Textbausteine_102[],Hilfsgrössen!$D$2,FALSE)</f>
        <v>Nombre</v>
      </c>
      <c r="E165" s="293"/>
      <c r="F165" s="11" t="s">
        <v>1433</v>
      </c>
      <c r="H165" s="177" t="s">
        <v>1595</v>
      </c>
      <c r="I165" s="20">
        <v>322801822</v>
      </c>
      <c r="J165" s="177" t="s">
        <v>1595</v>
      </c>
      <c r="K165" s="177" t="s">
        <v>1595</v>
      </c>
      <c r="L165" s="177" t="s">
        <v>1595</v>
      </c>
      <c r="M165" s="20">
        <v>360908857.30000001</v>
      </c>
      <c r="N165" s="20">
        <v>381329801</v>
      </c>
      <c r="O165" s="100">
        <v>393269485</v>
      </c>
      <c r="P165" s="100">
        <v>406937366</v>
      </c>
      <c r="Q165" s="100" t="s">
        <v>1569</v>
      </c>
      <c r="R165" s="100">
        <v>424759782</v>
      </c>
      <c r="S165" s="100">
        <v>358745223</v>
      </c>
      <c r="T165" s="100">
        <v>370842877</v>
      </c>
      <c r="U165" s="254">
        <v>321690025</v>
      </c>
    </row>
    <row r="166" spans="1:85" ht="12.65" customHeight="1" x14ac:dyDescent="0.3">
      <c r="B166" s="8"/>
      <c r="C166" s="73" t="str">
        <f>VLOOKUP(133,Textbausteine_102[],Hilfsgrössen!$D$2,FALSE)</f>
        <v>Virements EFT/POS (commerces, offices de poste, agences)</v>
      </c>
      <c r="D166" s="18" t="str">
        <f>VLOOKUP(28,Textbausteine_102[],Hilfsgrössen!$D$2,FALSE)</f>
        <v>Nombre</v>
      </c>
      <c r="E166" s="293"/>
      <c r="F166" s="11" t="s">
        <v>1433</v>
      </c>
      <c r="H166" s="177" t="s">
        <v>1595</v>
      </c>
      <c r="I166" s="20">
        <v>91940458</v>
      </c>
      <c r="J166" s="177" t="s">
        <v>1595</v>
      </c>
      <c r="K166" s="177" t="s">
        <v>1595</v>
      </c>
      <c r="L166" s="177" t="s">
        <v>1595</v>
      </c>
      <c r="M166" s="20">
        <v>124161458</v>
      </c>
      <c r="N166" s="20">
        <v>135000375</v>
      </c>
      <c r="O166" s="100">
        <v>145251716</v>
      </c>
      <c r="P166" s="100">
        <v>158543228</v>
      </c>
      <c r="Q166" s="100" t="s">
        <v>1570</v>
      </c>
      <c r="R166" s="100">
        <v>185943523</v>
      </c>
      <c r="S166" s="100">
        <v>200237206</v>
      </c>
      <c r="T166" s="100">
        <v>217813986</v>
      </c>
      <c r="U166" s="254">
        <v>238009954</v>
      </c>
    </row>
    <row r="167" spans="1:85" ht="12.65" customHeight="1" x14ac:dyDescent="0.3">
      <c r="B167" s="8"/>
      <c r="C167" s="10" t="str">
        <f>VLOOKUP(134,Textbausteine_102[],Hilfsgrössen!$D$2,FALSE)</f>
        <v>Virements papier</v>
      </c>
      <c r="D167" s="18" t="str">
        <f>VLOOKUP(28,Textbausteine_102[],Hilfsgrössen!$D$2,FALSE)</f>
        <v>Nombre</v>
      </c>
      <c r="E167" s="294"/>
      <c r="F167" s="11" t="s">
        <v>1433</v>
      </c>
      <c r="H167" s="177" t="s">
        <v>1595</v>
      </c>
      <c r="I167" s="162">
        <v>45460085</v>
      </c>
      <c r="J167" s="177" t="s">
        <v>1595</v>
      </c>
      <c r="K167" s="177" t="s">
        <v>1595</v>
      </c>
      <c r="L167" s="177" t="s">
        <v>1595</v>
      </c>
      <c r="M167" s="162">
        <v>32771750</v>
      </c>
      <c r="N167" s="20">
        <v>30737657</v>
      </c>
      <c r="O167" s="20">
        <v>27994032</v>
      </c>
      <c r="P167" s="107">
        <v>25958010</v>
      </c>
      <c r="Q167" s="163" t="s">
        <v>1571</v>
      </c>
      <c r="R167" s="162">
        <v>24108511</v>
      </c>
      <c r="S167" s="162">
        <v>22846118</v>
      </c>
      <c r="T167" s="162">
        <v>21477787</v>
      </c>
      <c r="U167" s="254">
        <v>20008478</v>
      </c>
    </row>
    <row r="168" spans="1:85" ht="12.65" customHeight="1" x14ac:dyDescent="0.3">
      <c r="B168" s="8"/>
      <c r="C168" s="10" t="str">
        <f>VLOOKUP(135,Textbausteine_102[],Hilfsgrössen!$D$2,FALSE)</f>
        <v>Virements divers</v>
      </c>
      <c r="D168" s="18" t="str">
        <f>VLOOKUP(28,Textbausteine_102[],Hilfsgrössen!$D$2,FALSE)</f>
        <v>Nombre</v>
      </c>
      <c r="F168" s="11" t="s">
        <v>1433</v>
      </c>
      <c r="H168" s="177" t="s">
        <v>1595</v>
      </c>
      <c r="I168" s="162">
        <v>15555192</v>
      </c>
      <c r="J168" s="177" t="s">
        <v>1595</v>
      </c>
      <c r="K168" s="177" t="s">
        <v>1595</v>
      </c>
      <c r="L168" s="177" t="s">
        <v>1595</v>
      </c>
      <c r="M168" s="162">
        <v>16449183</v>
      </c>
      <c r="N168" s="20">
        <v>17803281</v>
      </c>
      <c r="O168" s="20">
        <v>19133796</v>
      </c>
      <c r="P168" s="107">
        <v>21145350</v>
      </c>
      <c r="Q168" s="163" t="s">
        <v>1572</v>
      </c>
      <c r="R168" s="162">
        <v>24165179</v>
      </c>
      <c r="S168" s="162">
        <v>27019428</v>
      </c>
      <c r="T168" s="162">
        <v>29525721</v>
      </c>
      <c r="U168" s="254">
        <v>33758236</v>
      </c>
    </row>
    <row r="169" spans="1:85" ht="12.65" customHeight="1" x14ac:dyDescent="0.3">
      <c r="B169" s="8"/>
      <c r="C169" s="10" t="str">
        <f>VLOOKUP(136,Textbausteine_102[],Hilfsgrössen!$D$2,FALSE)</f>
        <v>Versements</v>
      </c>
      <c r="D169" s="18" t="str">
        <f>VLOOKUP(28,Textbausteine_102[],Hilfsgrössen!$D$2,FALSE)</f>
        <v>Nombre</v>
      </c>
      <c r="F169" s="11" t="s">
        <v>1433</v>
      </c>
      <c r="H169" s="177" t="s">
        <v>1595</v>
      </c>
      <c r="I169" s="162">
        <v>230017755</v>
      </c>
      <c r="J169" s="177" t="s">
        <v>1595</v>
      </c>
      <c r="K169" s="177" t="s">
        <v>1595</v>
      </c>
      <c r="L169" s="177" t="s">
        <v>1595</v>
      </c>
      <c r="M169" s="162">
        <v>207644168</v>
      </c>
      <c r="N169" s="20">
        <v>201589442</v>
      </c>
      <c r="O169" s="20">
        <v>189489680</v>
      </c>
      <c r="P169" s="107">
        <v>183094892</v>
      </c>
      <c r="Q169" s="163" t="s">
        <v>1573</v>
      </c>
      <c r="R169" s="162">
        <v>171277961</v>
      </c>
      <c r="S169" s="162">
        <v>164396969</v>
      </c>
      <c r="T169" s="162">
        <v>154977357</v>
      </c>
      <c r="U169" s="254">
        <v>145691791</v>
      </c>
    </row>
    <row r="170" spans="1:85" ht="12.65" customHeight="1" x14ac:dyDescent="0.3">
      <c r="B170" s="8"/>
      <c r="C170" s="9" t="str">
        <f>VLOOKUP(137,Textbausteine_102[],Hilfsgrössen!$D$2,FALSE)</f>
        <v>Montant</v>
      </c>
      <c r="D170" s="18" t="str">
        <f>VLOOKUP(28,Textbausteine_102[],Hilfsgrössen!$D$2,FALSE)</f>
        <v>Nombre</v>
      </c>
      <c r="E170" s="293"/>
      <c r="F170" s="11" t="s">
        <v>1433</v>
      </c>
      <c r="H170" s="177" t="s">
        <v>1595</v>
      </c>
      <c r="I170" s="100">
        <v>705775312</v>
      </c>
      <c r="J170" s="177" t="s">
        <v>1595</v>
      </c>
      <c r="K170" s="177" t="s">
        <v>1595</v>
      </c>
      <c r="L170" s="177" t="s">
        <v>1595</v>
      </c>
      <c r="M170" s="100">
        <v>741935416.29999995</v>
      </c>
      <c r="N170" s="100">
        <v>766460556</v>
      </c>
      <c r="O170" s="100">
        <v>775138709</v>
      </c>
      <c r="P170" s="100">
        <v>795678846</v>
      </c>
      <c r="Q170" s="100" t="s">
        <v>1574</v>
      </c>
      <c r="R170" s="100">
        <v>830254956</v>
      </c>
      <c r="S170" s="100">
        <v>773244944</v>
      </c>
      <c r="T170" s="100">
        <v>794637728</v>
      </c>
      <c r="U170" s="254">
        <v>759158484</v>
      </c>
    </row>
    <row r="171" spans="1:85" ht="12.65" customHeight="1" x14ac:dyDescent="0.3">
      <c r="B171" s="8"/>
      <c r="C171" s="68"/>
      <c r="D171" s="18"/>
      <c r="E171" s="293"/>
      <c r="F171" s="11"/>
      <c r="H171" s="175"/>
      <c r="I171" s="20"/>
      <c r="J171" s="20"/>
      <c r="K171" s="20"/>
      <c r="L171" s="175"/>
      <c r="M171" s="20"/>
      <c r="N171" s="20"/>
      <c r="T171" s="119"/>
      <c r="U171" s="253"/>
    </row>
    <row r="172" spans="1:85" ht="12.65" customHeight="1" x14ac:dyDescent="0.3">
      <c r="B172" s="8" t="str">
        <f>VLOOKUP(138,Textbausteine_102[],Hilfsgrössen!$D$2,FALSE)</f>
        <v>Volume des paiements</v>
      </c>
      <c r="C172" s="73"/>
      <c r="D172" s="18"/>
      <c r="E172" s="293"/>
      <c r="F172" s="11"/>
      <c r="H172" s="20"/>
      <c r="I172" s="20"/>
      <c r="J172" s="20"/>
      <c r="K172" s="20"/>
      <c r="L172" s="20"/>
      <c r="M172" s="20"/>
      <c r="N172" s="20"/>
      <c r="T172" s="119"/>
      <c r="U172" s="253"/>
    </row>
    <row r="173" spans="1:85" ht="12.65" customHeight="1" x14ac:dyDescent="0.3">
      <c r="B173" s="8"/>
      <c r="C173" s="10" t="str">
        <f>VLOOKUP(139,Textbausteine_102[],Hilfsgrössen!$D$2,FALSE)</f>
        <v>Retraits au Postomat (sans Bancomat)</v>
      </c>
      <c r="D173" s="18" t="str">
        <f>VLOOKUP(28,Textbausteine_102[],Hilfsgrössen!$D$2,FALSE)</f>
        <v>Nombre</v>
      </c>
      <c r="E173" s="294"/>
      <c r="F173" s="11" t="s">
        <v>1433</v>
      </c>
      <c r="H173" s="177" t="s">
        <v>1595</v>
      </c>
      <c r="I173" s="162">
        <v>49854497</v>
      </c>
      <c r="J173" s="177" t="s">
        <v>1595</v>
      </c>
      <c r="K173" s="177" t="s">
        <v>1595</v>
      </c>
      <c r="L173" s="177" t="s">
        <v>1595</v>
      </c>
      <c r="M173" s="162">
        <v>54496751</v>
      </c>
      <c r="N173" s="20">
        <v>56279926</v>
      </c>
      <c r="O173" s="20">
        <v>58650440</v>
      </c>
      <c r="P173" s="107">
        <v>60453795</v>
      </c>
      <c r="Q173" s="163" t="s">
        <v>1575</v>
      </c>
      <c r="R173" s="162">
        <v>62148786</v>
      </c>
      <c r="S173" s="162">
        <v>60920074</v>
      </c>
      <c r="T173" s="20">
        <v>60039247</v>
      </c>
      <c r="U173" s="254">
        <v>56915120</v>
      </c>
    </row>
    <row r="174" spans="1:85" ht="12.65" customHeight="1" x14ac:dyDescent="0.3">
      <c r="C174" s="10" t="str">
        <f>VLOOKUP(140,Textbausteine_102[],Hilfsgrössen!$D$2,FALSE)</f>
        <v>Paiements dans les offices de poste/agences</v>
      </c>
      <c r="D174" s="18" t="str">
        <f>VLOOKUP(28,Textbausteine_102[],Hilfsgrössen!$D$2,FALSE)</f>
        <v>Nombre</v>
      </c>
      <c r="F174" s="11" t="s">
        <v>1433</v>
      </c>
      <c r="H174" s="177" t="s">
        <v>1595</v>
      </c>
      <c r="I174" s="162">
        <v>17181487</v>
      </c>
      <c r="J174" s="177" t="s">
        <v>1595</v>
      </c>
      <c r="K174" s="177" t="s">
        <v>1595</v>
      </c>
      <c r="L174" s="177" t="s">
        <v>1595</v>
      </c>
      <c r="M174" s="162">
        <v>19582002</v>
      </c>
      <c r="N174" s="20">
        <v>19807049</v>
      </c>
      <c r="O174" s="20">
        <v>20189405</v>
      </c>
      <c r="P174" s="107">
        <v>20474785</v>
      </c>
      <c r="Q174" s="163" t="s">
        <v>1576</v>
      </c>
      <c r="R174" s="162">
        <v>20778850</v>
      </c>
      <c r="S174" s="162">
        <v>20789393</v>
      </c>
      <c r="T174" s="20">
        <v>20323381</v>
      </c>
      <c r="U174" s="254">
        <v>19206313</v>
      </c>
    </row>
    <row r="175" spans="1:85" ht="12.65" customHeight="1" x14ac:dyDescent="0.3">
      <c r="C175" s="10" t="str">
        <f>VLOOKUP(141,Textbausteine_102[],Hilfsgrössen!$D$2,FALSE)</f>
        <v>BPR, BPR+, BP</v>
      </c>
      <c r="D175" s="18" t="str">
        <f>VLOOKUP(28,Textbausteine_102[],Hilfsgrössen!$D$2,FALSE)</f>
        <v>Nombre</v>
      </c>
      <c r="F175" s="11" t="s">
        <v>1433</v>
      </c>
      <c r="H175" s="177" t="s">
        <v>1595</v>
      </c>
      <c r="I175" s="162">
        <v>2758535</v>
      </c>
      <c r="J175" s="177" t="s">
        <v>1595</v>
      </c>
      <c r="K175" s="177" t="s">
        <v>1595</v>
      </c>
      <c r="L175" s="177" t="s">
        <v>1595</v>
      </c>
      <c r="M175" s="162">
        <v>1507563</v>
      </c>
      <c r="N175" s="20">
        <v>1446210</v>
      </c>
      <c r="O175" s="20">
        <v>1345082</v>
      </c>
      <c r="P175" s="107">
        <v>1229361</v>
      </c>
      <c r="Q175" s="163" t="s">
        <v>1577</v>
      </c>
      <c r="R175" s="162">
        <v>810380</v>
      </c>
      <c r="S175" s="162">
        <v>788918</v>
      </c>
      <c r="T175" s="20">
        <v>748768</v>
      </c>
      <c r="U175" s="254">
        <v>746482</v>
      </c>
    </row>
    <row r="176" spans="1:85" ht="12.65" customHeight="1" x14ac:dyDescent="0.3">
      <c r="C176" s="10" t="str">
        <f>VLOOKUP(142,Textbausteine_102[],Hilfsgrössen!$D$2,FALSE)</f>
        <v>Mandats de paiement</v>
      </c>
      <c r="D176" s="18" t="str">
        <f>VLOOKUP(28,Textbausteine_102[],Hilfsgrössen!$D$2,FALSE)</f>
        <v>Nombre</v>
      </c>
      <c r="F176" s="11" t="s">
        <v>1433</v>
      </c>
      <c r="H176" s="177" t="s">
        <v>1595</v>
      </c>
      <c r="I176" s="162">
        <v>1941018</v>
      </c>
      <c r="J176" s="177" t="s">
        <v>1595</v>
      </c>
      <c r="K176" s="177" t="s">
        <v>1595</v>
      </c>
      <c r="L176" s="177" t="s">
        <v>1595</v>
      </c>
      <c r="M176" s="162">
        <v>1182791</v>
      </c>
      <c r="N176" s="20">
        <v>1057857</v>
      </c>
      <c r="O176" s="20">
        <v>923573</v>
      </c>
      <c r="P176" s="107">
        <v>822417</v>
      </c>
      <c r="Q176" s="163" t="s">
        <v>1578</v>
      </c>
      <c r="R176" s="162">
        <v>635391</v>
      </c>
      <c r="S176" s="162">
        <v>474757</v>
      </c>
      <c r="T176" s="20">
        <v>238435</v>
      </c>
      <c r="U176" s="254">
        <v>11004</v>
      </c>
    </row>
    <row r="177" spans="1:85" ht="12.65" customHeight="1" x14ac:dyDescent="0.3">
      <c r="C177" s="10" t="str">
        <f>VLOOKUP(143,Textbausteine_102[],Hilfsgrössen!$D$2,FALSE)</f>
        <v>Chèques</v>
      </c>
      <c r="D177" s="18" t="str">
        <f>VLOOKUP(28,Textbausteine_102[],Hilfsgrössen!$D$2,FALSE)</f>
        <v>Nombre</v>
      </c>
      <c r="F177" s="11" t="s">
        <v>1433</v>
      </c>
      <c r="H177" s="177" t="s">
        <v>1595</v>
      </c>
      <c r="I177" s="162">
        <v>869211</v>
      </c>
      <c r="J177" s="177" t="s">
        <v>1595</v>
      </c>
      <c r="K177" s="177" t="s">
        <v>1595</v>
      </c>
      <c r="L177" s="177" t="s">
        <v>1595</v>
      </c>
      <c r="M177" s="162">
        <v>416872</v>
      </c>
      <c r="N177" s="20">
        <v>322228</v>
      </c>
      <c r="O177" s="20">
        <v>269651</v>
      </c>
      <c r="P177" s="107">
        <v>232385</v>
      </c>
      <c r="Q177" s="163" t="s">
        <v>1579</v>
      </c>
      <c r="R177" s="162">
        <v>142095</v>
      </c>
      <c r="S177" s="162">
        <v>116628</v>
      </c>
      <c r="T177" s="20">
        <v>78845</v>
      </c>
      <c r="U177" s="254">
        <v>63230</v>
      </c>
    </row>
    <row r="178" spans="1:85" ht="12.65" customHeight="1" x14ac:dyDescent="0.3">
      <c r="C178" s="10" t="str">
        <f>VLOOKUP(144,Textbausteine_102[],Hilfsgrössen!$D$2,FALSE)</f>
        <v>Mandats en espèces</v>
      </c>
      <c r="D178" s="18" t="str">
        <f>VLOOKUP(28,Textbausteine_102[],Hilfsgrössen!$D$2,FALSE)</f>
        <v>Nombre</v>
      </c>
      <c r="F178" s="11" t="s">
        <v>1433</v>
      </c>
      <c r="H178" s="177" t="s">
        <v>1595</v>
      </c>
      <c r="I178" s="162">
        <v>102860</v>
      </c>
      <c r="J178" s="177" t="s">
        <v>1595</v>
      </c>
      <c r="K178" s="177" t="s">
        <v>1595</v>
      </c>
      <c r="L178" s="177" t="s">
        <v>1595</v>
      </c>
      <c r="M178" s="162">
        <v>33531</v>
      </c>
      <c r="N178" s="20">
        <v>21686</v>
      </c>
      <c r="O178" s="20">
        <v>17929</v>
      </c>
      <c r="P178" s="107">
        <v>16430</v>
      </c>
      <c r="Q178" s="163" t="s">
        <v>1580</v>
      </c>
      <c r="R178" s="162" t="s">
        <v>1424</v>
      </c>
      <c r="S178" s="162" t="s">
        <v>1424</v>
      </c>
      <c r="T178" s="20" t="s">
        <v>1424</v>
      </c>
      <c r="U178" s="254">
        <v>0</v>
      </c>
    </row>
    <row r="179" spans="1:85" ht="12.65" customHeight="1" x14ac:dyDescent="0.3">
      <c r="C179" s="10" t="str">
        <f>VLOOKUP(145,Textbausteine_102[],Hilfsgrössen!$D$2,FALSE)</f>
        <v>Montant</v>
      </c>
      <c r="D179" s="18" t="str">
        <f>VLOOKUP(28,Textbausteine_102[],Hilfsgrössen!$D$2,FALSE)</f>
        <v>Nombre</v>
      </c>
      <c r="F179" s="11" t="s">
        <v>1433</v>
      </c>
      <c r="H179" s="177" t="s">
        <v>1595</v>
      </c>
      <c r="I179" s="162">
        <v>72709613</v>
      </c>
      <c r="J179" s="177" t="s">
        <v>1595</v>
      </c>
      <c r="K179" s="177" t="s">
        <v>1595</v>
      </c>
      <c r="L179" s="177" t="s">
        <v>1595</v>
      </c>
      <c r="M179" s="162">
        <v>77221519</v>
      </c>
      <c r="N179" s="20">
        <v>78934956</v>
      </c>
      <c r="O179" s="20">
        <v>81396080</v>
      </c>
      <c r="P179" s="107">
        <v>83229173</v>
      </c>
      <c r="Q179" s="163" t="s">
        <v>1581</v>
      </c>
      <c r="R179" s="162">
        <v>84515502</v>
      </c>
      <c r="S179" s="162">
        <v>83089770</v>
      </c>
      <c r="T179" s="20">
        <v>81428676</v>
      </c>
      <c r="U179" s="254">
        <v>76942149</v>
      </c>
    </row>
    <row r="180" spans="1:85" ht="12.65" customHeight="1" x14ac:dyDescent="0.3">
      <c r="C180" s="15"/>
      <c r="H180" s="162"/>
      <c r="I180" s="101"/>
      <c r="J180" s="162"/>
      <c r="K180" s="162"/>
      <c r="L180" s="162"/>
      <c r="M180" s="162"/>
      <c r="N180" s="20"/>
      <c r="O180" s="20"/>
      <c r="P180" s="107"/>
      <c r="Q180" s="163"/>
      <c r="R180" s="162"/>
      <c r="S180" s="162"/>
      <c r="T180" s="163"/>
      <c r="U180" s="163"/>
    </row>
    <row r="181" spans="1:85" ht="12.65" customHeight="1" x14ac:dyDescent="0.3">
      <c r="C181" s="15"/>
      <c r="H181" s="162"/>
      <c r="I181" s="162"/>
      <c r="J181" s="162"/>
      <c r="K181" s="162"/>
      <c r="L181" s="162"/>
      <c r="M181" s="162"/>
      <c r="N181" s="20"/>
      <c r="O181" s="20"/>
      <c r="P181" s="107"/>
      <c r="Q181" s="163"/>
      <c r="R181" s="162"/>
      <c r="S181" s="162"/>
      <c r="T181" s="163"/>
      <c r="U181" s="163"/>
    </row>
    <row r="182" spans="1:85" ht="12.65" customHeight="1" x14ac:dyDescent="0.3">
      <c r="C182" s="15"/>
      <c r="H182" s="162"/>
      <c r="I182" s="162"/>
      <c r="J182" s="162"/>
      <c r="K182" s="162"/>
      <c r="L182" s="162"/>
      <c r="M182" s="162"/>
      <c r="N182" s="20"/>
      <c r="O182" s="20"/>
      <c r="P182" s="107"/>
      <c r="Q182" s="163"/>
      <c r="R182" s="162"/>
      <c r="S182" s="162"/>
      <c r="T182" s="163"/>
      <c r="U182" s="163"/>
    </row>
    <row r="183" spans="1:85" s="152" customFormat="1" ht="12.65" customHeight="1" x14ac:dyDescent="0.3">
      <c r="A183" s="62" t="s">
        <v>900</v>
      </c>
      <c r="B183" s="385" t="str">
        <f>$C$12</f>
        <v>Effectif</v>
      </c>
      <c r="C183" s="385" t="str">
        <f>VLOOKUP(36,Textbausteine_Menu[],Hilfsgrössen!$D$2,FALSE)</f>
        <v>Groupe</v>
      </c>
      <c r="D183" s="59" t="str">
        <f>VLOOKUP(32,Textbausteine_Menu[],Hilfsgrössen!$D$2,FALSE)</f>
        <v>Unité</v>
      </c>
      <c r="E183" s="290" t="str">
        <f>VLOOKUP(33,Textbausteine_Menu[],Hilfsgrössen!$D$2,FALSE)</f>
        <v>Notes</v>
      </c>
      <c r="F183" s="40" t="str">
        <f>VLOOKUP(34,Textbausteine_Menu[],Hilfsgrössen!$D$2,FALSE)</f>
        <v>GRI</v>
      </c>
      <c r="G183" s="49"/>
      <c r="H183" s="160">
        <v>2004</v>
      </c>
      <c r="I183" s="160">
        <v>2005</v>
      </c>
      <c r="J183" s="160">
        <v>2006</v>
      </c>
      <c r="K183" s="160">
        <v>2007</v>
      </c>
      <c r="L183" s="160">
        <v>2008</v>
      </c>
      <c r="M183" s="160">
        <v>2009</v>
      </c>
      <c r="N183" s="160">
        <v>2010</v>
      </c>
      <c r="O183" s="160">
        <v>2011</v>
      </c>
      <c r="P183" s="160">
        <v>2012</v>
      </c>
      <c r="Q183" s="160">
        <v>2013</v>
      </c>
      <c r="R183" s="160">
        <v>2014</v>
      </c>
      <c r="S183" s="160">
        <v>2015</v>
      </c>
      <c r="T183" s="120">
        <v>2016</v>
      </c>
      <c r="U183" s="252">
        <v>2017</v>
      </c>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113"/>
      <c r="CC183" s="113"/>
      <c r="CD183" s="113"/>
      <c r="CE183" s="113"/>
      <c r="CF183" s="113"/>
      <c r="CG183" s="113"/>
    </row>
    <row r="184" spans="1:85" s="61" customFormat="1" ht="12.65" customHeight="1" x14ac:dyDescent="0.3">
      <c r="A184" s="82"/>
      <c r="B184" s="385" t="str">
        <f>VLOOKUP(36,Textbausteine_Menu[],Hilfsgrössen!$D$2,FALSE)</f>
        <v>Groupe</v>
      </c>
      <c r="C184" s="385" t="str">
        <f>VLOOKUP(36,Textbausteine_Menu[],Hilfsgrössen!$D$2,FALSE)</f>
        <v>Groupe</v>
      </c>
      <c r="D184" s="60"/>
      <c r="E184" s="291"/>
      <c r="F184" s="11"/>
      <c r="G184" s="49"/>
      <c r="H184" s="161"/>
      <c r="I184" s="161"/>
      <c r="J184" s="161"/>
      <c r="K184" s="161"/>
      <c r="L184" s="161"/>
      <c r="M184" s="161"/>
      <c r="N184" s="161"/>
      <c r="O184" s="161"/>
      <c r="P184" s="161"/>
      <c r="Q184" s="161"/>
      <c r="R184" s="161"/>
      <c r="S184" s="161"/>
      <c r="T184" s="119"/>
      <c r="U184" s="253"/>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N184" s="114"/>
      <c r="BO184" s="114"/>
      <c r="BP184" s="114"/>
      <c r="BQ184" s="114"/>
      <c r="BR184" s="114"/>
      <c r="BS184" s="114"/>
      <c r="BT184" s="114"/>
      <c r="BU184" s="114"/>
      <c r="BV184" s="114"/>
      <c r="BW184" s="114"/>
      <c r="BX184" s="114"/>
      <c r="BY184" s="114"/>
      <c r="BZ184" s="114"/>
      <c r="CA184" s="114"/>
      <c r="CB184" s="114"/>
      <c r="CC184" s="114"/>
      <c r="CD184" s="114"/>
      <c r="CE184" s="114"/>
      <c r="CF184" s="114"/>
      <c r="CG184" s="114"/>
    </row>
    <row r="185" spans="1:85" ht="12.65" customHeight="1" x14ac:dyDescent="0.3">
      <c r="B185" s="8"/>
      <c r="D185" s="9"/>
      <c r="E185" s="291"/>
      <c r="F185" s="11"/>
      <c r="G185" s="49"/>
      <c r="U185" s="254"/>
    </row>
    <row r="186" spans="1:85" ht="12.65" customHeight="1" x14ac:dyDescent="0.3">
      <c r="B186" s="8" t="str">
        <f>VLOOKUP(36,Textbausteine_Menu[],Hilfsgrössen!$D$2,FALSE)</f>
        <v>Groupe</v>
      </c>
      <c r="C186" s="8"/>
      <c r="D186" s="67"/>
      <c r="E186" s="291"/>
      <c r="F186" s="11"/>
      <c r="G186" s="49"/>
      <c r="T186" s="107"/>
      <c r="U186" s="255"/>
    </row>
    <row r="187" spans="1:85" ht="12.65" customHeight="1" x14ac:dyDescent="0.3">
      <c r="C187" s="68" t="str">
        <f>VLOOKUP(151,Textbausteine_102[],Hilfsgrössen!$D$2,FALSE)</f>
        <v>Effectif</v>
      </c>
      <c r="D187" s="18" t="str">
        <f>VLOOKUP(34,Textbausteine_102[],Hilfsgrössen!$D$2,FALSE)</f>
        <v>Unités de personnel</v>
      </c>
      <c r="E187" s="296" t="s">
        <v>79</v>
      </c>
      <c r="F187" s="11" t="s">
        <v>785</v>
      </c>
      <c r="G187" s="49"/>
      <c r="H187" s="20">
        <v>42284</v>
      </c>
      <c r="I187" s="20">
        <v>41073</v>
      </c>
      <c r="J187" s="20">
        <v>42178</v>
      </c>
      <c r="K187" s="20">
        <v>43447</v>
      </c>
      <c r="L187" s="20">
        <v>44178</v>
      </c>
      <c r="M187" s="20">
        <v>44803</v>
      </c>
      <c r="N187" s="20">
        <v>45129</v>
      </c>
      <c r="O187" s="20">
        <v>44348</v>
      </c>
      <c r="P187" s="107">
        <v>44605</v>
      </c>
      <c r="Q187" s="107">
        <v>44105</v>
      </c>
      <c r="R187" s="162">
        <v>44681</v>
      </c>
      <c r="S187" s="162">
        <v>44131</v>
      </c>
      <c r="T187" s="163">
        <v>43485</v>
      </c>
      <c r="U187" s="257">
        <v>42316</v>
      </c>
    </row>
    <row r="188" spans="1:85" ht="12.65" customHeight="1" x14ac:dyDescent="0.3">
      <c r="C188" s="70" t="str">
        <f>VLOOKUP(154,Textbausteine_102[],Hilfsgrössen!$D$2,FALSE)</f>
        <v>Etranger</v>
      </c>
      <c r="D188" s="18" t="str">
        <f>VLOOKUP(34,Textbausteine_102[],Hilfsgrössen!$D$2,FALSE)</f>
        <v>Unités de personnel</v>
      </c>
      <c r="E188" s="296" t="s">
        <v>79</v>
      </c>
      <c r="F188" s="11" t="s">
        <v>785</v>
      </c>
      <c r="G188" s="49"/>
      <c r="H188" s="20">
        <v>1158</v>
      </c>
      <c r="I188" s="20">
        <v>1347</v>
      </c>
      <c r="J188" s="20">
        <v>3379</v>
      </c>
      <c r="K188" s="20">
        <v>5513</v>
      </c>
      <c r="L188" s="20">
        <v>6276</v>
      </c>
      <c r="M188" s="20">
        <v>6986</v>
      </c>
      <c r="N188" s="20">
        <v>7255</v>
      </c>
      <c r="O188" s="20">
        <v>6645</v>
      </c>
      <c r="P188" s="107">
        <v>6621</v>
      </c>
      <c r="Q188" s="107">
        <v>6779</v>
      </c>
      <c r="R188" s="162">
        <v>7627</v>
      </c>
      <c r="S188" s="162">
        <v>7449</v>
      </c>
      <c r="T188" s="163">
        <v>7195</v>
      </c>
      <c r="U188" s="257">
        <v>6971</v>
      </c>
    </row>
    <row r="189" spans="1:85" ht="12.65" customHeight="1" x14ac:dyDescent="0.3">
      <c r="C189" s="15" t="str">
        <f>VLOOKUP(155,Textbausteine_102[],Hilfsgrössen!$D$2,FALSE)</f>
        <v>Part à l'étranger</v>
      </c>
      <c r="D189" s="18" t="str">
        <f>VLOOKUP(21,Textbausteine_102[],Hilfsgrössen!$D$2,FALSE)</f>
        <v>%</v>
      </c>
      <c r="E189" s="296" t="s">
        <v>79</v>
      </c>
      <c r="F189" s="11" t="s">
        <v>785</v>
      </c>
      <c r="G189" s="49"/>
      <c r="H189" s="20">
        <v>2.7</v>
      </c>
      <c r="I189" s="20">
        <v>3.3</v>
      </c>
      <c r="J189" s="20">
        <v>8</v>
      </c>
      <c r="K189" s="20">
        <v>12.7</v>
      </c>
      <c r="L189" s="20">
        <v>14.2</v>
      </c>
      <c r="M189" s="20">
        <v>15.6</v>
      </c>
      <c r="N189" s="20">
        <v>16.100000000000001</v>
      </c>
      <c r="O189" s="20">
        <v>15</v>
      </c>
      <c r="P189" s="107">
        <v>14.8</v>
      </c>
      <c r="Q189" s="163">
        <v>15.4</v>
      </c>
      <c r="R189" s="162">
        <v>17.100000000000001</v>
      </c>
      <c r="S189" s="162">
        <v>16.879673691366399</v>
      </c>
      <c r="T189" s="163">
        <v>16.5</v>
      </c>
      <c r="U189" s="257">
        <v>16.5</v>
      </c>
    </row>
    <row r="190" spans="1:85" s="32" customFormat="1" ht="12.65" customHeight="1" x14ac:dyDescent="0.3">
      <c r="A190" s="81"/>
      <c r="B190" s="1"/>
      <c r="C190" s="9"/>
      <c r="D190" s="1"/>
      <c r="E190" s="296"/>
      <c r="F190" s="11"/>
      <c r="G190" s="49"/>
      <c r="H190" s="20"/>
      <c r="I190" s="20"/>
      <c r="J190" s="20"/>
      <c r="K190" s="20"/>
      <c r="L190" s="20"/>
      <c r="M190" s="20"/>
      <c r="N190" s="20"/>
      <c r="O190" s="20"/>
      <c r="P190" s="107"/>
      <c r="Q190" s="163"/>
      <c r="R190" s="162"/>
      <c r="S190" s="162"/>
      <c r="T190" s="163"/>
      <c r="U190" s="25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row>
    <row r="191" spans="1:85" s="32" customFormat="1" ht="12.65" customHeight="1" x14ac:dyDescent="0.3">
      <c r="A191" s="81"/>
      <c r="B191" s="1"/>
      <c r="C191" s="68" t="str">
        <f>VLOOKUP(151,Textbausteine_102[],Hilfsgrössen!$D$2,FALSE)</f>
        <v>Effectif</v>
      </c>
      <c r="D191" s="18" t="str">
        <f>VLOOKUP(35,Textbausteine_102[],Hilfsgrössen!$D$2,FALSE)</f>
        <v>Personnes</v>
      </c>
      <c r="E191" s="296">
        <v>1</v>
      </c>
      <c r="F191" s="11" t="s">
        <v>785</v>
      </c>
      <c r="G191" s="49"/>
      <c r="H191" s="176" t="s">
        <v>1595</v>
      </c>
      <c r="I191" s="176" t="s">
        <v>1595</v>
      </c>
      <c r="J191" s="176" t="s">
        <v>1595</v>
      </c>
      <c r="K191" s="176" t="s">
        <v>1595</v>
      </c>
      <c r="L191" s="176" t="s">
        <v>1595</v>
      </c>
      <c r="M191" s="140">
        <v>62090</v>
      </c>
      <c r="N191" s="140">
        <v>61428</v>
      </c>
      <c r="O191" s="140">
        <v>59612</v>
      </c>
      <c r="P191" s="162">
        <v>62058</v>
      </c>
      <c r="Q191" s="162">
        <v>61593</v>
      </c>
      <c r="R191" s="162">
        <v>62983</v>
      </c>
      <c r="S191" s="162">
        <v>62341</v>
      </c>
      <c r="T191" s="163">
        <v>61265</v>
      </c>
      <c r="U191" s="257">
        <v>59369</v>
      </c>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row>
    <row r="192" spans="1:85" s="32" customFormat="1" ht="12.65" customHeight="1" x14ac:dyDescent="0.3">
      <c r="A192" s="81"/>
      <c r="B192" s="1"/>
      <c r="C192" s="70" t="str">
        <f>VLOOKUP(154,Textbausteine_102[],Hilfsgrössen!$D$2,FALSE)</f>
        <v>Etranger</v>
      </c>
      <c r="D192" s="18" t="str">
        <f>VLOOKUP(35,Textbausteine_102[],Hilfsgrössen!$D$2,FALSE)</f>
        <v>Personnes</v>
      </c>
      <c r="E192" s="296">
        <v>1</v>
      </c>
      <c r="F192" s="11" t="s">
        <v>785</v>
      </c>
      <c r="G192" s="49"/>
      <c r="H192" s="176" t="s">
        <v>1595</v>
      </c>
      <c r="I192" s="176" t="s">
        <v>1595</v>
      </c>
      <c r="J192" s="176" t="s">
        <v>1595</v>
      </c>
      <c r="K192" s="176" t="s">
        <v>1595</v>
      </c>
      <c r="L192" s="176" t="s">
        <v>1595</v>
      </c>
      <c r="M192" s="140">
        <v>8841</v>
      </c>
      <c r="N192" s="140">
        <v>7760</v>
      </c>
      <c r="O192" s="140">
        <v>7054</v>
      </c>
      <c r="P192" s="162">
        <v>7100</v>
      </c>
      <c r="Q192" s="162">
        <v>7182</v>
      </c>
      <c r="R192" s="162">
        <v>8008</v>
      </c>
      <c r="S192" s="162">
        <v>7921</v>
      </c>
      <c r="T192" s="163">
        <v>7720</v>
      </c>
      <c r="U192" s="257">
        <v>7467</v>
      </c>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row>
    <row r="193" spans="1:85" s="32" customFormat="1" ht="12.65" customHeight="1" x14ac:dyDescent="0.3">
      <c r="A193" s="81"/>
      <c r="B193" s="1"/>
      <c r="C193" s="15" t="str">
        <f>VLOOKUP(155,Textbausteine_102[],Hilfsgrössen!$D$2,FALSE)</f>
        <v>Part à l'étranger</v>
      </c>
      <c r="D193" s="18" t="str">
        <f>VLOOKUP(21,Textbausteine_102[],Hilfsgrössen!$D$2,FALSE)</f>
        <v>%</v>
      </c>
      <c r="E193" s="296">
        <v>1</v>
      </c>
      <c r="F193" s="11" t="s">
        <v>785</v>
      </c>
      <c r="G193" s="49"/>
      <c r="H193" s="176" t="s">
        <v>1595</v>
      </c>
      <c r="I193" s="176" t="s">
        <v>1595</v>
      </c>
      <c r="J193" s="176" t="s">
        <v>1595</v>
      </c>
      <c r="K193" s="176" t="s">
        <v>1595</v>
      </c>
      <c r="L193" s="176" t="s">
        <v>1595</v>
      </c>
      <c r="M193" s="140">
        <v>14.239007891770012</v>
      </c>
      <c r="N193" s="162">
        <v>12.63267565279677</v>
      </c>
      <c r="O193" s="162">
        <v>11.833187948735153</v>
      </c>
      <c r="P193" s="162">
        <v>11.440910116342776</v>
      </c>
      <c r="Q193" s="162">
        <v>11.660415956358678</v>
      </c>
      <c r="R193" s="162">
        <v>12.7</v>
      </c>
      <c r="S193" s="162">
        <v>12.705923870326099</v>
      </c>
      <c r="T193" s="163">
        <v>12.6</v>
      </c>
      <c r="U193" s="257">
        <v>12.6</v>
      </c>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row>
    <row r="194" spans="1:85" s="32" customFormat="1" ht="12.65" customHeight="1" x14ac:dyDescent="0.3">
      <c r="A194" s="81"/>
      <c r="B194" s="1"/>
      <c r="C194" s="9"/>
      <c r="D194" s="1"/>
      <c r="E194" s="291"/>
      <c r="F194" s="11"/>
      <c r="G194" s="49"/>
      <c r="H194" s="140"/>
      <c r="I194" s="140"/>
      <c r="J194" s="140"/>
      <c r="K194" s="140"/>
      <c r="L194" s="140"/>
      <c r="M194" s="140"/>
      <c r="N194" s="100"/>
      <c r="O194" s="100"/>
      <c r="P194" s="100"/>
      <c r="Q194" s="100"/>
      <c r="R194" s="100"/>
      <c r="S194" s="100"/>
      <c r="T194" s="163"/>
      <c r="U194" s="25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row>
    <row r="195" spans="1:85" s="32" customFormat="1" ht="12.65" customHeight="1" x14ac:dyDescent="0.3">
      <c r="A195" s="57"/>
      <c r="B195" s="8" t="str">
        <f>VLOOKUP(44,Textbausteine_Menu[],Hilfsgrössen!$D$2,FALSE)</f>
        <v>Segments</v>
      </c>
      <c r="C195" s="10"/>
      <c r="D195" s="1"/>
      <c r="E195" s="291"/>
      <c r="F195" s="11"/>
      <c r="G195" s="49"/>
      <c r="H195" s="165"/>
      <c r="I195" s="165"/>
      <c r="J195" s="165"/>
      <c r="K195" s="165"/>
      <c r="L195" s="165"/>
      <c r="M195" s="165"/>
      <c r="N195" s="100"/>
      <c r="O195" s="100"/>
      <c r="P195" s="100"/>
      <c r="Q195" s="100"/>
      <c r="R195" s="100"/>
      <c r="S195" s="100"/>
      <c r="T195" s="163"/>
      <c r="U195" s="25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row>
    <row r="196" spans="1:85" s="32" customFormat="1" ht="12.65" customHeight="1" x14ac:dyDescent="0.3">
      <c r="A196" s="81"/>
      <c r="B196" s="1"/>
      <c r="C196" s="68" t="str">
        <f>VLOOKUP(151,Textbausteine_102[],Hilfsgrössen!$D$2,FALSE)</f>
        <v>Effectif</v>
      </c>
      <c r="D196" s="1"/>
      <c r="E196" s="296"/>
      <c r="F196" s="11"/>
      <c r="G196" s="49"/>
      <c r="H196" s="176"/>
      <c r="I196" s="176"/>
      <c r="J196" s="176"/>
      <c r="K196" s="176"/>
      <c r="L196" s="176"/>
      <c r="M196" s="140"/>
      <c r="N196" s="162"/>
      <c r="O196" s="162"/>
      <c r="P196" s="162"/>
      <c r="Q196" s="162"/>
      <c r="R196" s="162"/>
      <c r="S196" s="162"/>
      <c r="T196" s="163"/>
      <c r="U196" s="25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row>
    <row r="197" spans="1:85" s="32" customFormat="1" ht="12.65" customHeight="1" x14ac:dyDescent="0.3">
      <c r="A197" s="81"/>
      <c r="B197" s="1"/>
      <c r="C197" s="15" t="str">
        <f>VLOOKUP(45,Textbausteine_Menu[],Hilfsgrössen!$D$2,FALSE)</f>
        <v>PostMail</v>
      </c>
      <c r="D197" s="18" t="str">
        <f>VLOOKUP(34,Textbausteine_102[],Hilfsgrössen!$D$2,FALSE)</f>
        <v>Unités de personnel</v>
      </c>
      <c r="E197" s="296" t="s">
        <v>79</v>
      </c>
      <c r="F197" s="13" t="s">
        <v>785</v>
      </c>
      <c r="G197" s="50"/>
      <c r="H197" s="176" t="s">
        <v>1595</v>
      </c>
      <c r="I197" s="176" t="s">
        <v>1595</v>
      </c>
      <c r="J197" s="176" t="s">
        <v>1595</v>
      </c>
      <c r="K197" s="176" t="s">
        <v>1595</v>
      </c>
      <c r="L197" s="176" t="s">
        <v>1595</v>
      </c>
      <c r="M197" s="140">
        <v>16996</v>
      </c>
      <c r="N197" s="162">
        <v>17092</v>
      </c>
      <c r="O197" s="162">
        <v>16908</v>
      </c>
      <c r="P197" s="162">
        <v>17912</v>
      </c>
      <c r="Q197" s="162">
        <v>17212</v>
      </c>
      <c r="R197" s="162">
        <v>16979</v>
      </c>
      <c r="S197" s="162">
        <v>16494</v>
      </c>
      <c r="T197" s="163">
        <v>16241</v>
      </c>
      <c r="U197" s="257">
        <v>15736</v>
      </c>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row>
    <row r="198" spans="1:85" s="32" customFormat="1" ht="12.65" customHeight="1" x14ac:dyDescent="0.3">
      <c r="A198" s="81"/>
      <c r="B198" s="1"/>
      <c r="C198" s="15" t="str">
        <f>VLOOKUP(46,Textbausteine_Menu[],Hilfsgrössen!$D$2,FALSE)</f>
        <v>Swiss Post Solutions</v>
      </c>
      <c r="D198" s="18" t="str">
        <f>VLOOKUP(34,Textbausteine_102[],Hilfsgrössen!$D$2,FALSE)</f>
        <v>Unités de personnel</v>
      </c>
      <c r="E198" s="296" t="s">
        <v>79</v>
      </c>
      <c r="F198" s="11" t="s">
        <v>785</v>
      </c>
      <c r="G198" s="49"/>
      <c r="H198" s="176" t="s">
        <v>1595</v>
      </c>
      <c r="I198" s="176" t="s">
        <v>1595</v>
      </c>
      <c r="J198" s="176" t="s">
        <v>1595</v>
      </c>
      <c r="K198" s="176" t="s">
        <v>1595</v>
      </c>
      <c r="L198" s="176" t="s">
        <v>1595</v>
      </c>
      <c r="M198" s="140">
        <v>6878</v>
      </c>
      <c r="N198" s="162">
        <v>6992</v>
      </c>
      <c r="O198" s="162">
        <v>6407</v>
      </c>
      <c r="P198" s="162">
        <v>6502</v>
      </c>
      <c r="Q198" s="162">
        <v>6798</v>
      </c>
      <c r="R198" s="162">
        <v>7466</v>
      </c>
      <c r="S198" s="162">
        <v>7177</v>
      </c>
      <c r="T198" s="163">
        <v>6803</v>
      </c>
      <c r="U198" s="257">
        <v>6585</v>
      </c>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row>
    <row r="199" spans="1:85" s="32" customFormat="1" ht="12.65" customHeight="1" x14ac:dyDescent="0.3">
      <c r="A199" s="81"/>
      <c r="B199" s="1"/>
      <c r="C199" s="15" t="str">
        <f>VLOOKUP(47,Textbausteine_Menu[],Hilfsgrössen!$D$2,FALSE)</f>
        <v>RéseauPostal</v>
      </c>
      <c r="D199" s="18" t="str">
        <f>VLOOKUP(34,Textbausteine_102[],Hilfsgrössen!$D$2,FALSE)</f>
        <v>Unités de personnel</v>
      </c>
      <c r="E199" s="296" t="s">
        <v>79</v>
      </c>
      <c r="F199" s="11" t="s">
        <v>785</v>
      </c>
      <c r="G199" s="49"/>
      <c r="H199" s="176" t="s">
        <v>1595</v>
      </c>
      <c r="I199" s="176" t="s">
        <v>1595</v>
      </c>
      <c r="J199" s="176" t="s">
        <v>1595</v>
      </c>
      <c r="K199" s="176" t="s">
        <v>1595</v>
      </c>
      <c r="L199" s="176" t="s">
        <v>1595</v>
      </c>
      <c r="M199" s="140">
        <v>7091</v>
      </c>
      <c r="N199" s="162">
        <v>6928</v>
      </c>
      <c r="O199" s="162">
        <v>6827</v>
      </c>
      <c r="P199" s="162">
        <v>6724</v>
      </c>
      <c r="Q199" s="162">
        <v>6591</v>
      </c>
      <c r="R199" s="162">
        <v>6508</v>
      </c>
      <c r="S199" s="162">
        <v>6299</v>
      </c>
      <c r="T199" s="163">
        <v>6006</v>
      </c>
      <c r="U199" s="257">
        <v>5435</v>
      </c>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row>
    <row r="200" spans="1:85" s="32" customFormat="1" ht="12.65" customHeight="1" x14ac:dyDescent="0.3">
      <c r="A200" s="81"/>
      <c r="B200" s="1"/>
      <c r="C200" s="15" t="str">
        <f>VLOOKUP(48,Textbausteine_Menu[],Hilfsgrössen!$D$2,FALSE)</f>
        <v>PostLogistics</v>
      </c>
      <c r="D200" s="18" t="str">
        <f>VLOOKUP(34,Textbausteine_102[],Hilfsgrössen!$D$2,FALSE)</f>
        <v>Unités de personnel</v>
      </c>
      <c r="E200" s="296" t="s">
        <v>79</v>
      </c>
      <c r="F200" s="11" t="s">
        <v>785</v>
      </c>
      <c r="G200" s="49"/>
      <c r="H200" s="176" t="s">
        <v>1595</v>
      </c>
      <c r="I200" s="176" t="s">
        <v>1595</v>
      </c>
      <c r="J200" s="176" t="s">
        <v>1595</v>
      </c>
      <c r="K200" s="176" t="s">
        <v>1595</v>
      </c>
      <c r="L200" s="176" t="s">
        <v>1595</v>
      </c>
      <c r="M200" s="140">
        <v>5489</v>
      </c>
      <c r="N200" s="162">
        <v>5319</v>
      </c>
      <c r="O200" s="162">
        <v>5345</v>
      </c>
      <c r="P200" s="162">
        <v>5520</v>
      </c>
      <c r="Q200" s="162">
        <v>5426</v>
      </c>
      <c r="R200" s="162">
        <v>5304</v>
      </c>
      <c r="S200" s="162">
        <v>5219</v>
      </c>
      <c r="T200" s="163">
        <v>5151</v>
      </c>
      <c r="U200" s="257">
        <v>5281</v>
      </c>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row>
    <row r="201" spans="1:85" s="32" customFormat="1" ht="12.65" customHeight="1" x14ac:dyDescent="0.3">
      <c r="A201" s="81"/>
      <c r="B201" s="1"/>
      <c r="C201" s="15" t="str">
        <f>VLOOKUP(49,Textbausteine_Menu[],Hilfsgrössen!$D$2,FALSE)</f>
        <v>PostFinance</v>
      </c>
      <c r="D201" s="18" t="str">
        <f>VLOOKUP(34,Textbausteine_102[],Hilfsgrössen!$D$2,FALSE)</f>
        <v>Unités de personnel</v>
      </c>
      <c r="E201" s="296" t="s">
        <v>79</v>
      </c>
      <c r="F201" s="13" t="s">
        <v>785</v>
      </c>
      <c r="G201" s="50"/>
      <c r="H201" s="176" t="s">
        <v>1595</v>
      </c>
      <c r="I201" s="176" t="s">
        <v>1595</v>
      </c>
      <c r="J201" s="176" t="s">
        <v>1595</v>
      </c>
      <c r="K201" s="176" t="s">
        <v>1595</v>
      </c>
      <c r="L201" s="176" t="s">
        <v>1595</v>
      </c>
      <c r="M201" s="140">
        <v>3042</v>
      </c>
      <c r="N201" s="162">
        <v>3265</v>
      </c>
      <c r="O201" s="162">
        <v>3425</v>
      </c>
      <c r="P201" s="162">
        <v>3479</v>
      </c>
      <c r="Q201" s="162">
        <v>3439</v>
      </c>
      <c r="R201" s="162">
        <v>3466</v>
      </c>
      <c r="S201" s="162">
        <v>3594</v>
      </c>
      <c r="T201" s="163">
        <v>3614</v>
      </c>
      <c r="U201" s="257">
        <v>3475</v>
      </c>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row>
    <row r="202" spans="1:85" s="32" customFormat="1" ht="12.65" customHeight="1" x14ac:dyDescent="0.3">
      <c r="A202" s="81"/>
      <c r="B202" s="1"/>
      <c r="C202" s="15" t="str">
        <f>VLOOKUP(50,Textbausteine_Menu[],Hilfsgrössen!$D$2,FALSE)</f>
        <v>CarPostal</v>
      </c>
      <c r="D202" s="18" t="str">
        <f>VLOOKUP(34,Textbausteine_102[],Hilfsgrössen!$D$2,FALSE)</f>
        <v>Unités de personnel</v>
      </c>
      <c r="E202" s="296" t="s">
        <v>79</v>
      </c>
      <c r="F202" s="13" t="s">
        <v>785</v>
      </c>
      <c r="G202" s="50"/>
      <c r="H202" s="176" t="s">
        <v>1595</v>
      </c>
      <c r="I202" s="176" t="s">
        <v>1595</v>
      </c>
      <c r="J202" s="176" t="s">
        <v>1595</v>
      </c>
      <c r="K202" s="176" t="s">
        <v>1595</v>
      </c>
      <c r="L202" s="176" t="s">
        <v>1595</v>
      </c>
      <c r="M202" s="140">
        <v>1736</v>
      </c>
      <c r="N202" s="162">
        <v>2012</v>
      </c>
      <c r="O202" s="162">
        <v>2067</v>
      </c>
      <c r="P202" s="162">
        <v>2305</v>
      </c>
      <c r="Q202" s="162">
        <v>2487</v>
      </c>
      <c r="R202" s="162">
        <v>2789</v>
      </c>
      <c r="S202" s="162">
        <v>2939</v>
      </c>
      <c r="T202" s="163">
        <v>3210</v>
      </c>
      <c r="U202" s="257">
        <v>3261</v>
      </c>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row>
    <row r="203" spans="1:85" s="32" customFormat="1" ht="12.65" customHeight="1" x14ac:dyDescent="0.3">
      <c r="A203" s="81"/>
      <c r="B203" s="1"/>
      <c r="C203" s="15" t="str">
        <f>VLOOKUP(51,Textbausteine_Menu[],Hilfsgrössen!$D$2,FALSE)</f>
        <v>Autres</v>
      </c>
      <c r="D203" s="18" t="str">
        <f>VLOOKUP(34,Textbausteine_102[],Hilfsgrössen!$D$2,FALSE)</f>
        <v>Unités de personnel</v>
      </c>
      <c r="E203" s="296" t="s">
        <v>79</v>
      </c>
      <c r="F203" s="11" t="s">
        <v>785</v>
      </c>
      <c r="G203" s="49"/>
      <c r="H203" s="176" t="s">
        <v>1595</v>
      </c>
      <c r="I203" s="176" t="s">
        <v>1595</v>
      </c>
      <c r="J203" s="176" t="s">
        <v>1595</v>
      </c>
      <c r="K203" s="176" t="s">
        <v>1595</v>
      </c>
      <c r="L203" s="176" t="s">
        <v>1595</v>
      </c>
      <c r="M203" s="140">
        <v>3571</v>
      </c>
      <c r="N203" s="162">
        <v>3521</v>
      </c>
      <c r="O203" s="162">
        <v>3369</v>
      </c>
      <c r="P203" s="162">
        <v>2163</v>
      </c>
      <c r="Q203" s="162">
        <v>2152</v>
      </c>
      <c r="R203" s="162">
        <v>2169</v>
      </c>
      <c r="S203" s="162">
        <v>2409</v>
      </c>
      <c r="T203" s="163">
        <v>2460</v>
      </c>
      <c r="U203" s="257">
        <v>2543</v>
      </c>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row>
    <row r="204" spans="1:85" s="32" customFormat="1" ht="12.65" customHeight="1" x14ac:dyDescent="0.3">
      <c r="A204" s="81"/>
      <c r="B204" s="1"/>
      <c r="C204" s="9"/>
      <c r="D204" s="1"/>
      <c r="E204" s="293"/>
      <c r="F204" s="11"/>
      <c r="G204" s="49"/>
      <c r="H204" s="140"/>
      <c r="I204" s="140"/>
      <c r="J204" s="140"/>
      <c r="K204" s="140"/>
      <c r="L204" s="140"/>
      <c r="M204" s="140"/>
      <c r="N204" s="162"/>
      <c r="O204" s="162"/>
      <c r="P204" s="162"/>
      <c r="Q204" s="162"/>
      <c r="R204" s="162"/>
      <c r="S204" s="162"/>
      <c r="T204" s="163"/>
      <c r="U204" s="25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row>
    <row r="205" spans="1:85" s="32" customFormat="1" ht="12.65" customHeight="1" x14ac:dyDescent="0.3">
      <c r="A205" s="81"/>
      <c r="B205" s="1"/>
      <c r="C205" s="68" t="str">
        <f>VLOOKUP(151,Textbausteine_102[],Hilfsgrössen!$D$2,FALSE)</f>
        <v>Effectif</v>
      </c>
      <c r="D205" s="1"/>
      <c r="E205" s="291"/>
      <c r="F205" s="13"/>
      <c r="G205" s="50"/>
      <c r="H205" s="176"/>
      <c r="I205" s="176"/>
      <c r="J205" s="176"/>
      <c r="K205" s="176"/>
      <c r="L205" s="176"/>
      <c r="M205" s="140"/>
      <c r="N205" s="162"/>
      <c r="O205" s="162"/>
      <c r="P205" s="162"/>
      <c r="Q205" s="162"/>
      <c r="R205" s="162"/>
      <c r="S205" s="162"/>
      <c r="T205" s="163"/>
      <c r="U205" s="25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row>
    <row r="206" spans="1:85" s="32" customFormat="1" ht="12.65" customHeight="1" x14ac:dyDescent="0.3">
      <c r="A206" s="81"/>
      <c r="B206" s="1"/>
      <c r="C206" s="15" t="str">
        <f>VLOOKUP(45,Textbausteine_Menu[],Hilfsgrössen!$D$2,FALSE)</f>
        <v>PostMail</v>
      </c>
      <c r="D206" s="18" t="str">
        <f>VLOOKUP(35,Textbausteine_102[],Hilfsgrössen!$D$2,FALSE)</f>
        <v>Personnes</v>
      </c>
      <c r="E206" s="293">
        <v>1</v>
      </c>
      <c r="F206" s="13" t="s">
        <v>785</v>
      </c>
      <c r="G206" s="50"/>
      <c r="H206" s="176" t="s">
        <v>1595</v>
      </c>
      <c r="I206" s="176" t="s">
        <v>1595</v>
      </c>
      <c r="J206" s="176" t="s">
        <v>1595</v>
      </c>
      <c r="K206" s="176" t="s">
        <v>1595</v>
      </c>
      <c r="L206" s="176" t="s">
        <v>1595</v>
      </c>
      <c r="M206" s="140">
        <v>25645</v>
      </c>
      <c r="N206" s="162">
        <v>27039</v>
      </c>
      <c r="O206" s="162">
        <v>26177</v>
      </c>
      <c r="P206" s="162">
        <v>29492</v>
      </c>
      <c r="Q206" s="162">
        <v>29036</v>
      </c>
      <c r="R206" s="162">
        <v>29803</v>
      </c>
      <c r="S206" s="162">
        <v>29257</v>
      </c>
      <c r="T206" s="163">
        <v>28730</v>
      </c>
      <c r="U206" s="257">
        <v>27824</v>
      </c>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row>
    <row r="207" spans="1:85" s="32" customFormat="1" ht="12.65" customHeight="1" x14ac:dyDescent="0.3">
      <c r="A207" s="81"/>
      <c r="B207" s="1"/>
      <c r="C207" s="15" t="str">
        <f>VLOOKUP(46,Textbausteine_Menu[],Hilfsgrössen!$D$2,FALSE)</f>
        <v>Swiss Post Solutions</v>
      </c>
      <c r="D207" s="18" t="str">
        <f>VLOOKUP(35,Textbausteine_102[],Hilfsgrössen!$D$2,FALSE)</f>
        <v>Personnes</v>
      </c>
      <c r="E207" s="293">
        <v>1</v>
      </c>
      <c r="F207" s="11" t="s">
        <v>785</v>
      </c>
      <c r="G207" s="49"/>
      <c r="H207" s="176" t="s">
        <v>1595</v>
      </c>
      <c r="I207" s="176" t="s">
        <v>1595</v>
      </c>
      <c r="J207" s="176" t="s">
        <v>1595</v>
      </c>
      <c r="K207" s="176" t="s">
        <v>1595</v>
      </c>
      <c r="L207" s="176" t="s">
        <v>1595</v>
      </c>
      <c r="M207" s="140">
        <v>7623</v>
      </c>
      <c r="N207" s="162">
        <v>7534</v>
      </c>
      <c r="O207" s="162">
        <v>6861</v>
      </c>
      <c r="P207" s="162">
        <v>7014</v>
      </c>
      <c r="Q207" s="162">
        <v>7252</v>
      </c>
      <c r="R207" s="162">
        <v>7893</v>
      </c>
      <c r="S207" s="162">
        <v>7685</v>
      </c>
      <c r="T207" s="163">
        <v>7298</v>
      </c>
      <c r="U207" s="257">
        <v>7053</v>
      </c>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row>
    <row r="208" spans="1:85" s="32" customFormat="1" ht="12.65" customHeight="1" x14ac:dyDescent="0.3">
      <c r="A208" s="81"/>
      <c r="B208" s="1"/>
      <c r="C208" s="15" t="str">
        <f>VLOOKUP(47,Textbausteine_Menu[],Hilfsgrössen!$D$2,FALSE)</f>
        <v>RéseauPostal</v>
      </c>
      <c r="D208" s="18" t="str">
        <f>VLOOKUP(35,Textbausteine_102[],Hilfsgrössen!$D$2,FALSE)</f>
        <v>Personnes</v>
      </c>
      <c r="E208" s="293">
        <v>1</v>
      </c>
      <c r="F208" s="11" t="s">
        <v>785</v>
      </c>
      <c r="G208" s="49"/>
      <c r="H208" s="176" t="s">
        <v>1595</v>
      </c>
      <c r="I208" s="176" t="s">
        <v>1595</v>
      </c>
      <c r="J208" s="176" t="s">
        <v>1595</v>
      </c>
      <c r="K208" s="176" t="s">
        <v>1595</v>
      </c>
      <c r="L208" s="176" t="s">
        <v>1595</v>
      </c>
      <c r="M208" s="140">
        <v>10770</v>
      </c>
      <c r="N208" s="162">
        <v>10177</v>
      </c>
      <c r="O208" s="162">
        <v>9960</v>
      </c>
      <c r="P208" s="162">
        <v>9726</v>
      </c>
      <c r="Q208" s="162">
        <v>9433</v>
      </c>
      <c r="R208" s="162">
        <v>9207</v>
      </c>
      <c r="S208" s="162">
        <v>8838</v>
      </c>
      <c r="T208" s="163">
        <v>8415</v>
      </c>
      <c r="U208" s="257">
        <v>7618</v>
      </c>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row>
    <row r="209" spans="1:85" s="32" customFormat="1" ht="12.65" customHeight="1" x14ac:dyDescent="0.3">
      <c r="A209" s="81"/>
      <c r="B209" s="1"/>
      <c r="C209" s="15" t="str">
        <f>VLOOKUP(48,Textbausteine_Menu[],Hilfsgrössen!$D$2,FALSE)</f>
        <v>PostLogistics</v>
      </c>
      <c r="D209" s="18" t="str">
        <f>VLOOKUP(35,Textbausteine_102[],Hilfsgrössen!$D$2,FALSE)</f>
        <v>Personnes</v>
      </c>
      <c r="E209" s="293">
        <v>1</v>
      </c>
      <c r="F209" s="11" t="s">
        <v>785</v>
      </c>
      <c r="G209" s="49"/>
      <c r="H209" s="176" t="s">
        <v>1595</v>
      </c>
      <c r="I209" s="176" t="s">
        <v>1595</v>
      </c>
      <c r="J209" s="176" t="s">
        <v>1595</v>
      </c>
      <c r="K209" s="176" t="s">
        <v>1595</v>
      </c>
      <c r="L209" s="176" t="s">
        <v>1595</v>
      </c>
      <c r="M209" s="140">
        <v>6162</v>
      </c>
      <c r="N209" s="162">
        <v>5890</v>
      </c>
      <c r="O209" s="162">
        <v>5938</v>
      </c>
      <c r="P209" s="162">
        <v>6146</v>
      </c>
      <c r="Q209" s="162">
        <v>6058</v>
      </c>
      <c r="R209" s="162">
        <v>5928</v>
      </c>
      <c r="S209" s="162">
        <v>5839</v>
      </c>
      <c r="T209" s="163">
        <v>5772</v>
      </c>
      <c r="U209" s="257">
        <v>5875</v>
      </c>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row>
    <row r="210" spans="1:85" s="32" customFormat="1" ht="12.65" customHeight="1" x14ac:dyDescent="0.3">
      <c r="A210" s="81"/>
      <c r="B210" s="1"/>
      <c r="C210" s="15" t="str">
        <f>VLOOKUP(49,Textbausteine_Menu[],Hilfsgrössen!$D$2,FALSE)</f>
        <v>PostFinance</v>
      </c>
      <c r="D210" s="18" t="str">
        <f>VLOOKUP(35,Textbausteine_102[],Hilfsgrössen!$D$2,FALSE)</f>
        <v>Personnes</v>
      </c>
      <c r="E210" s="293">
        <v>1</v>
      </c>
      <c r="F210" s="11" t="s">
        <v>785</v>
      </c>
      <c r="G210" s="49"/>
      <c r="H210" s="176" t="s">
        <v>1595</v>
      </c>
      <c r="I210" s="176" t="s">
        <v>1595</v>
      </c>
      <c r="J210" s="176" t="s">
        <v>1595</v>
      </c>
      <c r="K210" s="176" t="s">
        <v>1595</v>
      </c>
      <c r="L210" s="176" t="s">
        <v>1595</v>
      </c>
      <c r="M210" s="140">
        <v>3478</v>
      </c>
      <c r="N210" s="162">
        <v>3732</v>
      </c>
      <c r="O210" s="162">
        <v>3920</v>
      </c>
      <c r="P210" s="162">
        <v>3983</v>
      </c>
      <c r="Q210" s="162">
        <v>3938</v>
      </c>
      <c r="R210" s="162">
        <v>3967</v>
      </c>
      <c r="S210" s="162">
        <v>4111</v>
      </c>
      <c r="T210" s="163">
        <v>4116</v>
      </c>
      <c r="U210" s="257">
        <v>3951</v>
      </c>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row>
    <row r="211" spans="1:85" s="32" customFormat="1" ht="12.65" customHeight="1" x14ac:dyDescent="0.3">
      <c r="A211" s="81"/>
      <c r="B211" s="1"/>
      <c r="C211" s="15" t="str">
        <f>VLOOKUP(50,Textbausteine_Menu[],Hilfsgrössen!$D$2,FALSE)</f>
        <v>CarPostal</v>
      </c>
      <c r="D211" s="18" t="str">
        <f>VLOOKUP(35,Textbausteine_102[],Hilfsgrössen!$D$2,FALSE)</f>
        <v>Personnes</v>
      </c>
      <c r="E211" s="291">
        <v>1</v>
      </c>
      <c r="F211" s="11" t="s">
        <v>785</v>
      </c>
      <c r="G211" s="49"/>
      <c r="H211" s="176" t="s">
        <v>1595</v>
      </c>
      <c r="I211" s="176" t="s">
        <v>1595</v>
      </c>
      <c r="J211" s="176" t="s">
        <v>1595</v>
      </c>
      <c r="K211" s="176" t="s">
        <v>1595</v>
      </c>
      <c r="L211" s="176" t="s">
        <v>1595</v>
      </c>
      <c r="M211" s="140">
        <v>2079</v>
      </c>
      <c r="N211" s="162">
        <v>2353</v>
      </c>
      <c r="O211" s="162">
        <v>2408</v>
      </c>
      <c r="P211" s="162">
        <v>2710</v>
      </c>
      <c r="Q211" s="162">
        <v>2914</v>
      </c>
      <c r="R211" s="162">
        <v>3242</v>
      </c>
      <c r="S211" s="162">
        <v>3444</v>
      </c>
      <c r="T211" s="163">
        <v>3748</v>
      </c>
      <c r="U211" s="257">
        <v>3823</v>
      </c>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row>
    <row r="212" spans="1:85" s="32" customFormat="1" ht="12.65" customHeight="1" x14ac:dyDescent="0.3">
      <c r="A212" s="81"/>
      <c r="B212" s="1"/>
      <c r="C212" s="15" t="str">
        <f>VLOOKUP(51,Textbausteine_Menu[],Hilfsgrössen!$D$2,FALSE)</f>
        <v>Autres</v>
      </c>
      <c r="D212" s="18" t="str">
        <f>VLOOKUP(35,Textbausteine_102[],Hilfsgrössen!$D$2,FALSE)</f>
        <v>Personnes</v>
      </c>
      <c r="E212" s="291">
        <v>1</v>
      </c>
      <c r="F212" s="13" t="s">
        <v>785</v>
      </c>
      <c r="G212" s="50"/>
      <c r="H212" s="176" t="s">
        <v>1595</v>
      </c>
      <c r="I212" s="176" t="s">
        <v>1595</v>
      </c>
      <c r="J212" s="176" t="s">
        <v>1595</v>
      </c>
      <c r="K212" s="176" t="s">
        <v>1595</v>
      </c>
      <c r="L212" s="176" t="s">
        <v>1595</v>
      </c>
      <c r="M212" s="140">
        <v>6333</v>
      </c>
      <c r="N212" s="162">
        <v>4703</v>
      </c>
      <c r="O212" s="162">
        <v>4348</v>
      </c>
      <c r="P212" s="162">
        <v>2987</v>
      </c>
      <c r="Q212" s="162">
        <v>2962</v>
      </c>
      <c r="R212" s="162">
        <v>2943</v>
      </c>
      <c r="S212" s="162">
        <v>3167</v>
      </c>
      <c r="T212" s="163">
        <v>3186</v>
      </c>
      <c r="U212" s="257">
        <v>3225</v>
      </c>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row>
    <row r="213" spans="1:85" s="32" customFormat="1" ht="12.65" customHeight="1" x14ac:dyDescent="0.3">
      <c r="A213" s="81"/>
      <c r="B213" s="1"/>
      <c r="C213" s="9"/>
      <c r="D213" s="1"/>
      <c r="E213" s="291"/>
      <c r="F213" s="11"/>
      <c r="G213" s="49"/>
      <c r="H213" s="20"/>
      <c r="I213" s="20"/>
      <c r="J213" s="20"/>
      <c r="K213" s="20"/>
      <c r="L213" s="20"/>
      <c r="M213" s="20"/>
      <c r="N213" s="100"/>
      <c r="O213" s="100"/>
      <c r="P213" s="100"/>
      <c r="Q213" s="100"/>
      <c r="R213" s="100"/>
      <c r="S213" s="100"/>
      <c r="T213" s="163"/>
      <c r="U213" s="25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row>
    <row r="214" spans="1:85" s="32" customFormat="1" ht="12.65" customHeight="1" x14ac:dyDescent="0.3">
      <c r="A214" s="57"/>
      <c r="B214" s="8" t="str">
        <f>VLOOKUP(37,Textbausteine_Menu[],Hilfsgrössen!$D$2,FALSE)</f>
        <v>Groupe Suisse</v>
      </c>
      <c r="C214" s="10"/>
      <c r="D214" s="1"/>
      <c r="E214" s="296">
        <v>4</v>
      </c>
      <c r="F214" s="13"/>
      <c r="G214" s="49"/>
      <c r="H214" s="20"/>
      <c r="I214" s="20"/>
      <c r="J214" s="20"/>
      <c r="K214" s="20"/>
      <c r="L214" s="20"/>
      <c r="M214" s="20"/>
      <c r="N214" s="100"/>
      <c r="O214" s="100"/>
      <c r="P214" s="100"/>
      <c r="Q214" s="100"/>
      <c r="R214" s="100"/>
      <c r="S214" s="100"/>
      <c r="T214" s="163"/>
      <c r="U214" s="25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row>
    <row r="215" spans="1:85" s="32" customFormat="1" ht="12.65" customHeight="1" x14ac:dyDescent="0.3">
      <c r="A215" s="81"/>
      <c r="B215" s="1"/>
      <c r="C215" s="9" t="str">
        <f>VLOOKUP(156,Textbausteine_102[],Hilfsgrössen!$D$2,FALSE)</f>
        <v>Logistique et Production</v>
      </c>
      <c r="D215" s="18" t="str">
        <f>VLOOKUP(35,Textbausteine_102[],Hilfsgrössen!$D$2,FALSE)</f>
        <v>Personnes</v>
      </c>
      <c r="E215" s="296" t="s">
        <v>802</v>
      </c>
      <c r="F215" s="11" t="s">
        <v>785</v>
      </c>
      <c r="G215" s="50"/>
      <c r="H215" s="177" t="s">
        <v>1595</v>
      </c>
      <c r="I215" s="177" t="s">
        <v>1595</v>
      </c>
      <c r="J215" s="177" t="s">
        <v>1595</v>
      </c>
      <c r="K215" s="177" t="s">
        <v>1595</v>
      </c>
      <c r="L215" s="177" t="s">
        <v>1595</v>
      </c>
      <c r="M215" s="177" t="s">
        <v>1595</v>
      </c>
      <c r="N215" s="162">
        <v>32837.25</v>
      </c>
      <c r="O215" s="162">
        <v>33363.916666666664</v>
      </c>
      <c r="P215" s="162">
        <v>32821</v>
      </c>
      <c r="Q215" s="162">
        <v>32280.416666666668</v>
      </c>
      <c r="R215" s="162">
        <v>31602</v>
      </c>
      <c r="S215" s="162">
        <v>30986</v>
      </c>
      <c r="T215" s="163">
        <v>30386</v>
      </c>
      <c r="U215" s="257">
        <v>29841</v>
      </c>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row>
    <row r="216" spans="1:85" s="32" customFormat="1" ht="12.65" customHeight="1" x14ac:dyDescent="0.3">
      <c r="A216" s="81"/>
      <c r="B216" s="1"/>
      <c r="C216" s="15" t="str">
        <f>VLOOKUP(157,Textbausteine_102[],Hilfsgrössen!$D$2,FALSE)</f>
        <v>Distribution</v>
      </c>
      <c r="D216" s="18" t="str">
        <f>VLOOKUP(35,Textbausteine_102[],Hilfsgrössen!$D$2,FALSE)</f>
        <v>Personnes</v>
      </c>
      <c r="E216" s="296" t="s">
        <v>802</v>
      </c>
      <c r="F216" s="11" t="s">
        <v>785</v>
      </c>
      <c r="G216" s="49"/>
      <c r="H216" s="177" t="s">
        <v>1595</v>
      </c>
      <c r="I216" s="177" t="s">
        <v>1595</v>
      </c>
      <c r="J216" s="177" t="s">
        <v>1595</v>
      </c>
      <c r="K216" s="177" t="s">
        <v>1595</v>
      </c>
      <c r="L216" s="177" t="s">
        <v>1595</v>
      </c>
      <c r="M216" s="177" t="s">
        <v>1595</v>
      </c>
      <c r="N216" s="162">
        <v>23500.416666666668</v>
      </c>
      <c r="O216" s="162">
        <v>24204.75</v>
      </c>
      <c r="P216" s="162">
        <v>23707</v>
      </c>
      <c r="Q216" s="162">
        <v>23518.666666666668</v>
      </c>
      <c r="R216" s="162">
        <v>22926</v>
      </c>
      <c r="S216" s="162">
        <v>22296</v>
      </c>
      <c r="T216" s="163">
        <v>21843</v>
      </c>
      <c r="U216" s="257">
        <v>21280</v>
      </c>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row>
    <row r="217" spans="1:85" s="32" customFormat="1" ht="12.65" customHeight="1" x14ac:dyDescent="0.3">
      <c r="A217" s="81"/>
      <c r="B217" s="1"/>
      <c r="C217" s="15" t="str">
        <f>VLOOKUP(158,Textbausteine_102[],Hilfsgrössen!$D$2,FALSE)</f>
        <v>Tri</v>
      </c>
      <c r="D217" s="18" t="str">
        <f>VLOOKUP(35,Textbausteine_102[],Hilfsgrössen!$D$2,FALSE)</f>
        <v>Personnes</v>
      </c>
      <c r="E217" s="296" t="s">
        <v>802</v>
      </c>
      <c r="F217" s="11" t="s">
        <v>785</v>
      </c>
      <c r="G217" s="49"/>
      <c r="H217" s="177" t="s">
        <v>1595</v>
      </c>
      <c r="I217" s="177" t="s">
        <v>1595</v>
      </c>
      <c r="J217" s="177" t="s">
        <v>1595</v>
      </c>
      <c r="K217" s="177" t="s">
        <v>1595</v>
      </c>
      <c r="L217" s="177" t="s">
        <v>1595</v>
      </c>
      <c r="M217" s="177" t="s">
        <v>1595</v>
      </c>
      <c r="N217" s="162">
        <v>3850</v>
      </c>
      <c r="O217" s="162">
        <v>3720.6666666666665</v>
      </c>
      <c r="P217" s="162">
        <v>3656</v>
      </c>
      <c r="Q217" s="162">
        <v>3551.1666666666665</v>
      </c>
      <c r="R217" s="162">
        <v>3375</v>
      </c>
      <c r="S217" s="162">
        <v>3284.6666666666665</v>
      </c>
      <c r="T217" s="163">
        <v>3120</v>
      </c>
      <c r="U217" s="257">
        <v>3057</v>
      </c>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row>
    <row r="218" spans="1:85" s="32" customFormat="1" ht="12.65" customHeight="1" x14ac:dyDescent="0.3">
      <c r="A218" s="81"/>
      <c r="B218" s="1"/>
      <c r="C218" s="15" t="str">
        <f>VLOOKUP(159,Textbausteine_102[],Hilfsgrössen!$D$2,FALSE)</f>
        <v>Fourniture de services financiers</v>
      </c>
      <c r="D218" s="18" t="str">
        <f>VLOOKUP(35,Textbausteine_102[],Hilfsgrössen!$D$2,FALSE)</f>
        <v>Personnes</v>
      </c>
      <c r="E218" s="296" t="s">
        <v>802</v>
      </c>
      <c r="F218" s="11" t="s">
        <v>785</v>
      </c>
      <c r="G218" s="49"/>
      <c r="H218" s="177" t="s">
        <v>1595</v>
      </c>
      <c r="I218" s="177" t="s">
        <v>1595</v>
      </c>
      <c r="J218" s="177" t="s">
        <v>1595</v>
      </c>
      <c r="K218" s="177" t="s">
        <v>1595</v>
      </c>
      <c r="L218" s="177" t="s">
        <v>1595</v>
      </c>
      <c r="M218" s="177" t="s">
        <v>1595</v>
      </c>
      <c r="N218" s="162">
        <v>1021.0833333333334</v>
      </c>
      <c r="O218" s="162">
        <v>1034.3333333333333</v>
      </c>
      <c r="P218" s="162">
        <v>998</v>
      </c>
      <c r="Q218" s="162">
        <v>961</v>
      </c>
      <c r="R218" s="162">
        <v>963</v>
      </c>
      <c r="S218" s="162">
        <v>987.5</v>
      </c>
      <c r="T218" s="163">
        <v>972</v>
      </c>
      <c r="U218" s="257">
        <v>1030</v>
      </c>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row>
    <row r="219" spans="1:85" s="32" customFormat="1" ht="12.65" customHeight="1" x14ac:dyDescent="0.3">
      <c r="A219" s="81"/>
      <c r="B219" s="1"/>
      <c r="C219" s="15" t="str">
        <f>VLOOKUP(160,Textbausteine_102[],Hilfsgrössen!$D$2,FALSE)</f>
        <v>Transport de voyageurs</v>
      </c>
      <c r="D219" s="18" t="str">
        <f>VLOOKUP(35,Textbausteine_102[],Hilfsgrössen!$D$2,FALSE)</f>
        <v>Personnes</v>
      </c>
      <c r="E219" s="296" t="s">
        <v>802</v>
      </c>
      <c r="F219" s="11" t="s">
        <v>785</v>
      </c>
      <c r="G219" s="49"/>
      <c r="H219" s="177" t="s">
        <v>1595</v>
      </c>
      <c r="I219" s="177" t="s">
        <v>1595</v>
      </c>
      <c r="J219" s="177" t="s">
        <v>1595</v>
      </c>
      <c r="K219" s="177" t="s">
        <v>1595</v>
      </c>
      <c r="L219" s="177" t="s">
        <v>1595</v>
      </c>
      <c r="M219" s="177" t="s">
        <v>1595</v>
      </c>
      <c r="N219" s="162">
        <v>1379.1666666666667</v>
      </c>
      <c r="O219" s="162">
        <v>1423.75</v>
      </c>
      <c r="P219" s="162">
        <v>1549</v>
      </c>
      <c r="Q219" s="162">
        <v>1517.75</v>
      </c>
      <c r="R219" s="162">
        <v>1722</v>
      </c>
      <c r="S219" s="162">
        <v>1819.5833333333333</v>
      </c>
      <c r="T219" s="163">
        <v>1885</v>
      </c>
      <c r="U219" s="257">
        <v>1947</v>
      </c>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row>
    <row r="220" spans="1:85" ht="12.65" customHeight="1" x14ac:dyDescent="0.3">
      <c r="C220" s="15" t="str">
        <f>VLOOKUP(161,Textbausteine_102[],Hilfsgrössen!$D$2,FALSE)</f>
        <v>Transport de marchandises</v>
      </c>
      <c r="D220" s="18" t="str">
        <f>VLOOKUP(35,Textbausteine_102[],Hilfsgrössen!$D$2,FALSE)</f>
        <v>Personnes</v>
      </c>
      <c r="E220" s="296" t="s">
        <v>802</v>
      </c>
      <c r="F220" s="11" t="s">
        <v>785</v>
      </c>
      <c r="G220" s="49"/>
      <c r="H220" s="177" t="s">
        <v>1595</v>
      </c>
      <c r="I220" s="177" t="s">
        <v>1595</v>
      </c>
      <c r="J220" s="177" t="s">
        <v>1595</v>
      </c>
      <c r="K220" s="177" t="s">
        <v>1595</v>
      </c>
      <c r="L220" s="177" t="s">
        <v>1595</v>
      </c>
      <c r="M220" s="177" t="s">
        <v>1595</v>
      </c>
      <c r="N220" s="162">
        <v>1108.4166666666667</v>
      </c>
      <c r="O220" s="162">
        <v>1049.1666666666667</v>
      </c>
      <c r="P220" s="162">
        <v>963</v>
      </c>
      <c r="Q220" s="162">
        <v>836</v>
      </c>
      <c r="R220" s="162">
        <v>781</v>
      </c>
      <c r="S220" s="162">
        <v>777.66666666666674</v>
      </c>
      <c r="T220" s="163">
        <v>768</v>
      </c>
      <c r="U220" s="257">
        <v>743</v>
      </c>
    </row>
    <row r="221" spans="1:85" ht="12.65" customHeight="1" x14ac:dyDescent="0.3">
      <c r="C221" s="15" t="str">
        <f>VLOOKUP(162,Textbausteine_102[],Hilfsgrössen!$D$2,FALSE)</f>
        <v>Autres</v>
      </c>
      <c r="D221" s="18" t="str">
        <f>VLOOKUP(35,Textbausteine_102[],Hilfsgrössen!$D$2,FALSE)</f>
        <v>Personnes</v>
      </c>
      <c r="E221" s="296" t="s">
        <v>802</v>
      </c>
      <c r="F221" s="11" t="s">
        <v>785</v>
      </c>
      <c r="G221" s="49"/>
      <c r="H221" s="177" t="s">
        <v>1595</v>
      </c>
      <c r="I221" s="177" t="s">
        <v>1595</v>
      </c>
      <c r="J221" s="177" t="s">
        <v>1595</v>
      </c>
      <c r="K221" s="177" t="s">
        <v>1595</v>
      </c>
      <c r="L221" s="177" t="s">
        <v>1595</v>
      </c>
      <c r="M221" s="177" t="s">
        <v>1595</v>
      </c>
      <c r="N221" s="162">
        <v>1978.1666666666642</v>
      </c>
      <c r="O221" s="162">
        <v>1931.2499999999964</v>
      </c>
      <c r="P221" s="162">
        <v>1949</v>
      </c>
      <c r="Q221" s="162">
        <v>1895.8333333333335</v>
      </c>
      <c r="R221" s="162">
        <v>1835</v>
      </c>
      <c r="S221" s="162">
        <v>1820.5833333333333</v>
      </c>
      <c r="T221" s="163">
        <v>1799</v>
      </c>
      <c r="U221" s="257">
        <v>1784</v>
      </c>
    </row>
    <row r="222" spans="1:85" ht="12.65" customHeight="1" x14ac:dyDescent="0.3">
      <c r="C222" s="9" t="str">
        <f>VLOOKUP(163,Textbausteine_102[],Hilfsgrössen!$D$2,FALSE)</f>
        <v>Vente</v>
      </c>
      <c r="D222" s="18" t="str">
        <f>VLOOKUP(35,Textbausteine_102[],Hilfsgrössen!$D$2,FALSE)</f>
        <v>Personnes</v>
      </c>
      <c r="E222" s="296" t="s">
        <v>802</v>
      </c>
      <c r="F222" s="11" t="s">
        <v>785</v>
      </c>
      <c r="G222" s="49"/>
      <c r="H222" s="177" t="s">
        <v>1595</v>
      </c>
      <c r="I222" s="177" t="s">
        <v>1595</v>
      </c>
      <c r="J222" s="177" t="s">
        <v>1595</v>
      </c>
      <c r="K222" s="177" t="s">
        <v>1595</v>
      </c>
      <c r="L222" s="177" t="s">
        <v>1595</v>
      </c>
      <c r="M222" s="177" t="s">
        <v>1595</v>
      </c>
      <c r="N222" s="162">
        <v>10629</v>
      </c>
      <c r="O222" s="162">
        <v>10546.583333333334</v>
      </c>
      <c r="P222" s="162">
        <v>10345</v>
      </c>
      <c r="Q222" s="162">
        <v>10018.25</v>
      </c>
      <c r="R222" s="162">
        <v>9685</v>
      </c>
      <c r="S222" s="162">
        <v>9358.3333333333339</v>
      </c>
      <c r="T222" s="163">
        <v>8828</v>
      </c>
      <c r="U222" s="257">
        <v>8037</v>
      </c>
    </row>
    <row r="223" spans="1:85" ht="12.65" customHeight="1" x14ac:dyDescent="0.3">
      <c r="C223" s="15" t="str">
        <f>VLOOKUP(164,Textbausteine_102[],Hilfsgrössen!$D$2,FALSE)</f>
        <v>Vente opérationnelle</v>
      </c>
      <c r="D223" s="18" t="str">
        <f>VLOOKUP(35,Textbausteine_102[],Hilfsgrössen!$D$2,FALSE)</f>
        <v>Personnes</v>
      </c>
      <c r="E223" s="296" t="s">
        <v>802</v>
      </c>
      <c r="F223" s="11" t="s">
        <v>785</v>
      </c>
      <c r="G223" s="49"/>
      <c r="H223" s="177" t="s">
        <v>1595</v>
      </c>
      <c r="I223" s="177" t="s">
        <v>1595</v>
      </c>
      <c r="J223" s="177" t="s">
        <v>1595</v>
      </c>
      <c r="K223" s="177" t="s">
        <v>1595</v>
      </c>
      <c r="L223" s="177" t="s">
        <v>1595</v>
      </c>
      <c r="M223" s="177" t="s">
        <v>1595</v>
      </c>
      <c r="N223" s="162">
        <v>9459</v>
      </c>
      <c r="O223" s="162">
        <v>9320.1666666666661</v>
      </c>
      <c r="P223" s="162">
        <v>9119</v>
      </c>
      <c r="Q223" s="162">
        <v>8818.6666666666661</v>
      </c>
      <c r="R223" s="162">
        <v>8576</v>
      </c>
      <c r="S223" s="162">
        <v>8335.3333333333339</v>
      </c>
      <c r="T223" s="163">
        <v>7899</v>
      </c>
      <c r="U223" s="257">
        <v>7194</v>
      </c>
    </row>
    <row r="224" spans="1:85" ht="12.65" customHeight="1" x14ac:dyDescent="0.3">
      <c r="C224" s="15" t="str">
        <f>VLOOKUP(165,Textbausteine_102[],Hilfsgrössen!$D$2,FALSE)</f>
        <v>Autres</v>
      </c>
      <c r="D224" s="18" t="str">
        <f>VLOOKUP(35,Textbausteine_102[],Hilfsgrössen!$D$2,FALSE)</f>
        <v>Personnes</v>
      </c>
      <c r="E224" s="296" t="s">
        <v>802</v>
      </c>
      <c r="F224" s="11" t="s">
        <v>785</v>
      </c>
      <c r="G224" s="49"/>
      <c r="H224" s="177" t="s">
        <v>1595</v>
      </c>
      <c r="I224" s="177" t="s">
        <v>1595</v>
      </c>
      <c r="J224" s="177" t="s">
        <v>1595</v>
      </c>
      <c r="K224" s="177" t="s">
        <v>1595</v>
      </c>
      <c r="L224" s="177" t="s">
        <v>1595</v>
      </c>
      <c r="M224" s="177" t="s">
        <v>1595</v>
      </c>
      <c r="N224" s="162">
        <v>1170</v>
      </c>
      <c r="O224" s="162">
        <v>1226.4166666666667</v>
      </c>
      <c r="P224" s="162">
        <v>1226</v>
      </c>
      <c r="Q224" s="162">
        <v>1199.5833333333335</v>
      </c>
      <c r="R224" s="162">
        <v>1109</v>
      </c>
      <c r="S224" s="162">
        <v>1023</v>
      </c>
      <c r="T224" s="163">
        <v>929</v>
      </c>
      <c r="U224" s="257">
        <v>843</v>
      </c>
    </row>
    <row r="225" spans="1:85" ht="12.65" customHeight="1" x14ac:dyDescent="0.3">
      <c r="C225" s="9" t="str">
        <f>VLOOKUP(166,Textbausteine_102[],Hilfsgrössen!$D$2,FALSE)</f>
        <v>Marketing</v>
      </c>
      <c r="D225" s="18" t="str">
        <f>VLOOKUP(35,Textbausteine_102[],Hilfsgrössen!$D$2,FALSE)</f>
        <v>Personnes</v>
      </c>
      <c r="E225" s="296" t="s">
        <v>802</v>
      </c>
      <c r="F225" s="11" t="s">
        <v>785</v>
      </c>
      <c r="G225" s="49"/>
      <c r="H225" s="177" t="s">
        <v>1595</v>
      </c>
      <c r="I225" s="177" t="s">
        <v>1595</v>
      </c>
      <c r="J225" s="177" t="s">
        <v>1595</v>
      </c>
      <c r="K225" s="177" t="s">
        <v>1595</v>
      </c>
      <c r="L225" s="177" t="s">
        <v>1595</v>
      </c>
      <c r="M225" s="177" t="s">
        <v>1595</v>
      </c>
      <c r="N225" s="162">
        <v>1114.5833333333333</v>
      </c>
      <c r="O225" s="162">
        <v>1203.8333333333333</v>
      </c>
      <c r="P225" s="162">
        <v>1255</v>
      </c>
      <c r="Q225" s="162">
        <v>1262.0833333333333</v>
      </c>
      <c r="R225" s="162">
        <v>1344</v>
      </c>
      <c r="S225" s="162">
        <v>1457.1666666666667</v>
      </c>
      <c r="T225" s="163">
        <v>1570</v>
      </c>
      <c r="U225" s="257">
        <v>1618</v>
      </c>
    </row>
    <row r="226" spans="1:85" ht="12.65" customHeight="1" x14ac:dyDescent="0.3">
      <c r="C226" s="9" t="str">
        <f>VLOOKUP(167,Textbausteine_102[],Hilfsgrössen!$D$2,FALSE)</f>
        <v>Informatique</v>
      </c>
      <c r="D226" s="18" t="str">
        <f>VLOOKUP(35,Textbausteine_102[],Hilfsgrössen!$D$2,FALSE)</f>
        <v>Personnes</v>
      </c>
      <c r="E226" s="296" t="s">
        <v>802</v>
      </c>
      <c r="F226" s="11" t="s">
        <v>785</v>
      </c>
      <c r="G226" s="49"/>
      <c r="H226" s="177" t="s">
        <v>1595</v>
      </c>
      <c r="I226" s="177" t="s">
        <v>1595</v>
      </c>
      <c r="J226" s="177" t="s">
        <v>1595</v>
      </c>
      <c r="K226" s="177" t="s">
        <v>1595</v>
      </c>
      <c r="L226" s="177" t="s">
        <v>1595</v>
      </c>
      <c r="M226" s="177" t="s">
        <v>1595</v>
      </c>
      <c r="N226" s="162">
        <v>1467.9166666666667</v>
      </c>
      <c r="O226" s="162">
        <v>1476.5</v>
      </c>
      <c r="P226" s="162">
        <v>1486</v>
      </c>
      <c r="Q226" s="162">
        <v>1515.9166666666667</v>
      </c>
      <c r="R226" s="162">
        <v>1553</v>
      </c>
      <c r="S226" s="162">
        <v>1596.25</v>
      </c>
      <c r="T226" s="163">
        <v>1596</v>
      </c>
      <c r="U226" s="257">
        <v>1618</v>
      </c>
    </row>
    <row r="227" spans="1:85" ht="12.65" customHeight="1" x14ac:dyDescent="0.3">
      <c r="C227" s="9" t="str">
        <f>VLOOKUP(168,Textbausteine_102[],Hilfsgrössen!$D$2,FALSE)</f>
        <v>Infrastructure et sécurité</v>
      </c>
      <c r="D227" s="18" t="str">
        <f>VLOOKUP(35,Textbausteine_102[],Hilfsgrössen!$D$2,FALSE)</f>
        <v>Personnes</v>
      </c>
      <c r="E227" s="296" t="s">
        <v>802</v>
      </c>
      <c r="F227" s="11" t="s">
        <v>785</v>
      </c>
      <c r="G227" s="49"/>
      <c r="H227" s="177" t="s">
        <v>1595</v>
      </c>
      <c r="I227" s="177" t="s">
        <v>1595</v>
      </c>
      <c r="J227" s="177" t="s">
        <v>1595</v>
      </c>
      <c r="K227" s="177" t="s">
        <v>1595</v>
      </c>
      <c r="L227" s="177" t="s">
        <v>1595</v>
      </c>
      <c r="M227" s="177" t="s">
        <v>1595</v>
      </c>
      <c r="N227" s="162">
        <v>2356.75</v>
      </c>
      <c r="O227" s="162">
        <v>2080.9166666666665</v>
      </c>
      <c r="P227" s="162">
        <v>2031</v>
      </c>
      <c r="Q227" s="162">
        <v>1999.5803030303059</v>
      </c>
      <c r="R227" s="162">
        <v>1949</v>
      </c>
      <c r="S227" s="162">
        <v>1914.6666666666665</v>
      </c>
      <c r="T227" s="163">
        <v>1845</v>
      </c>
      <c r="U227" s="257">
        <v>1735</v>
      </c>
    </row>
    <row r="228" spans="1:85" ht="12.65" customHeight="1" x14ac:dyDescent="0.3">
      <c r="C228" s="15" t="str">
        <f>VLOOKUP(169,Textbausteine_102[],Hilfsgrössen!$D$2,FALSE)</f>
        <v>Exploitation et entretien, service domestique</v>
      </c>
      <c r="D228" s="18" t="str">
        <f>VLOOKUP(35,Textbausteine_102[],Hilfsgrössen!$D$2,FALSE)</f>
        <v>Personnes</v>
      </c>
      <c r="E228" s="296" t="s">
        <v>802</v>
      </c>
      <c r="F228" s="11" t="s">
        <v>785</v>
      </c>
      <c r="G228" s="49"/>
      <c r="H228" s="177" t="s">
        <v>1595</v>
      </c>
      <c r="I228" s="177" t="s">
        <v>1595</v>
      </c>
      <c r="J228" s="177" t="s">
        <v>1595</v>
      </c>
      <c r="K228" s="177" t="s">
        <v>1595</v>
      </c>
      <c r="L228" s="177" t="s">
        <v>1595</v>
      </c>
      <c r="M228" s="177" t="s">
        <v>1595</v>
      </c>
      <c r="N228" s="162">
        <v>1917.9166666666667</v>
      </c>
      <c r="O228" s="162">
        <v>1655.0833333333335</v>
      </c>
      <c r="P228" s="162">
        <v>1613</v>
      </c>
      <c r="Q228" s="162">
        <v>1597.4666666666701</v>
      </c>
      <c r="R228" s="162">
        <v>1588</v>
      </c>
      <c r="S228" s="162">
        <v>1537.75</v>
      </c>
      <c r="T228" s="163">
        <v>1481</v>
      </c>
      <c r="U228" s="257">
        <v>1392</v>
      </c>
    </row>
    <row r="229" spans="1:85" ht="12.65" customHeight="1" x14ac:dyDescent="0.3">
      <c r="C229" s="15" t="str">
        <f>VLOOKUP(170,Textbausteine_102[],Hilfsgrössen!$D$2,FALSE)</f>
        <v>Autres</v>
      </c>
      <c r="D229" s="18" t="str">
        <f>VLOOKUP(35,Textbausteine_102[],Hilfsgrössen!$D$2,FALSE)</f>
        <v>Personnes</v>
      </c>
      <c r="E229" s="296" t="s">
        <v>802</v>
      </c>
      <c r="F229" s="314" t="s">
        <v>785</v>
      </c>
      <c r="G229" s="49"/>
      <c r="H229" s="177" t="s">
        <v>1595</v>
      </c>
      <c r="I229" s="177" t="s">
        <v>1595</v>
      </c>
      <c r="J229" s="177" t="s">
        <v>1595</v>
      </c>
      <c r="K229" s="177" t="s">
        <v>1595</v>
      </c>
      <c r="L229" s="177" t="s">
        <v>1595</v>
      </c>
      <c r="M229" s="177" t="s">
        <v>1595</v>
      </c>
      <c r="N229" s="162">
        <v>438.83333333333337</v>
      </c>
      <c r="O229" s="162">
        <v>425.83333333333337</v>
      </c>
      <c r="P229" s="162">
        <v>418</v>
      </c>
      <c r="Q229" s="162">
        <v>403</v>
      </c>
      <c r="R229" s="162">
        <v>361</v>
      </c>
      <c r="S229" s="162">
        <v>376.91666666666663</v>
      </c>
      <c r="T229" s="163">
        <v>363</v>
      </c>
      <c r="U229" s="257">
        <v>343</v>
      </c>
    </row>
    <row r="230" spans="1:85" ht="12.65" customHeight="1" x14ac:dyDescent="0.3">
      <c r="C230" s="9" t="str">
        <f>VLOOKUP(171,Textbausteine_102[],Hilfsgrössen!$D$2,FALSE)</f>
        <v>Fonctions de gestion et fonctions Groupe</v>
      </c>
      <c r="D230" s="18" t="str">
        <f>VLOOKUP(35,Textbausteine_102[],Hilfsgrössen!$D$2,FALSE)</f>
        <v>Personnes</v>
      </c>
      <c r="E230" s="296" t="s">
        <v>802</v>
      </c>
      <c r="F230" s="314" t="s">
        <v>785</v>
      </c>
      <c r="G230" s="51"/>
      <c r="H230" s="177" t="s">
        <v>1595</v>
      </c>
      <c r="I230" s="177" t="s">
        <v>1595</v>
      </c>
      <c r="J230" s="177" t="s">
        <v>1595</v>
      </c>
      <c r="K230" s="177" t="s">
        <v>1595</v>
      </c>
      <c r="L230" s="177" t="s">
        <v>1595</v>
      </c>
      <c r="M230" s="177" t="s">
        <v>1595</v>
      </c>
      <c r="N230" s="162">
        <v>2563</v>
      </c>
      <c r="O230" s="162">
        <v>2560</v>
      </c>
      <c r="P230" s="162">
        <v>2606</v>
      </c>
      <c r="Q230" s="162">
        <v>2581.3333333333335</v>
      </c>
      <c r="R230" s="162">
        <v>2623</v>
      </c>
      <c r="S230" s="162">
        <v>2757.8333333333335</v>
      </c>
      <c r="T230" s="163">
        <v>2974</v>
      </c>
      <c r="U230" s="257">
        <v>2803</v>
      </c>
    </row>
    <row r="231" spans="1:85" ht="12.65" customHeight="1" x14ac:dyDescent="0.3">
      <c r="C231" s="9" t="str">
        <f>VLOOKUP(172,Textbausteine_102[],Hilfsgrössen!$D$2,FALSE)</f>
        <v>Autres fonctions</v>
      </c>
      <c r="D231" s="18" t="str">
        <f>VLOOKUP(35,Textbausteine_102[],Hilfsgrössen!$D$2,FALSE)</f>
        <v>Personnes</v>
      </c>
      <c r="E231" s="296" t="s">
        <v>802</v>
      </c>
      <c r="F231" s="314" t="s">
        <v>785</v>
      </c>
      <c r="G231" s="51"/>
      <c r="H231" s="177" t="s">
        <v>1595</v>
      </c>
      <c r="I231" s="177" t="s">
        <v>1595</v>
      </c>
      <c r="J231" s="177" t="s">
        <v>1595</v>
      </c>
      <c r="K231" s="177" t="s">
        <v>1595</v>
      </c>
      <c r="L231" s="177" t="s">
        <v>1595</v>
      </c>
      <c r="M231" s="177" t="s">
        <v>1595</v>
      </c>
      <c r="N231" s="162">
        <v>402</v>
      </c>
      <c r="O231" s="162">
        <v>488</v>
      </c>
      <c r="P231" s="162">
        <v>463</v>
      </c>
      <c r="Q231" s="162">
        <v>299.41666666666669</v>
      </c>
      <c r="R231" s="162">
        <v>250</v>
      </c>
      <c r="S231" s="162">
        <v>256.83333333333331</v>
      </c>
      <c r="T231" s="163">
        <v>286</v>
      </c>
      <c r="U231" s="257">
        <v>312</v>
      </c>
    </row>
    <row r="232" spans="1:85" ht="12.65" customHeight="1" x14ac:dyDescent="0.3">
      <c r="E232" s="297"/>
      <c r="F232" s="42"/>
      <c r="G232" s="51"/>
    </row>
    <row r="233" spans="1:85" ht="12.65" customHeight="1" x14ac:dyDescent="0.3">
      <c r="B233" s="26" t="str">
        <f>VLOOKUP(271,Textbausteine_102[],Hilfsgrössen!$D$2,FALSE)</f>
        <v>1) Sans les apprentis</v>
      </c>
      <c r="E233" s="297"/>
      <c r="F233" s="42"/>
      <c r="G233" s="52"/>
    </row>
    <row r="234" spans="1:85" ht="12.65" customHeight="1" x14ac:dyDescent="0.3">
      <c r="B234" s="26" t="str">
        <f>VLOOKUP(272,Textbausteine_102[],Hilfsgrössen!$D$2,FALSE)</f>
        <v>2) Une unité de personnel correspond à un poste à plein temps.</v>
      </c>
      <c r="E234" s="298"/>
      <c r="F234" s="43"/>
      <c r="G234" s="52"/>
    </row>
    <row r="235" spans="1:85" ht="12.65" customHeight="1" x14ac:dyDescent="0.3">
      <c r="B235" s="26" t="str">
        <f>VLOOKUP(273,Textbausteine_102[],Hilfsgrössen!$D$2,FALSE)</f>
        <v>3)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v>
      </c>
      <c r="G235" s="53"/>
    </row>
    <row r="236" spans="1:85" ht="12.65" customHeight="1" x14ac:dyDescent="0.3">
      <c r="B236" s="26" t="str">
        <f>VLOOKUP(274,Textbausteine_102[],Hilfsgrössen!$D$2,FALSE)</f>
        <v>4) Données exploitables à partir de 2010.</v>
      </c>
    </row>
    <row r="237" spans="1:85" ht="12.65" customHeight="1" x14ac:dyDescent="0.3">
      <c r="C237" s="15"/>
      <c r="E237" s="294"/>
      <c r="F237" s="44"/>
      <c r="H237" s="162"/>
      <c r="I237" s="162"/>
      <c r="J237" s="162"/>
      <c r="K237" s="162"/>
      <c r="L237" s="162"/>
      <c r="M237" s="162"/>
      <c r="N237" s="20"/>
      <c r="O237" s="20"/>
      <c r="P237" s="107"/>
      <c r="Q237" s="163"/>
      <c r="R237" s="162"/>
      <c r="S237" s="162"/>
      <c r="T237" s="163"/>
      <c r="U237" s="163"/>
    </row>
    <row r="238" spans="1:85" ht="12.65" customHeight="1" x14ac:dyDescent="0.3">
      <c r="C238" s="15"/>
      <c r="H238" s="162"/>
      <c r="I238" s="162"/>
      <c r="J238" s="162"/>
      <c r="K238" s="162"/>
      <c r="L238" s="162"/>
      <c r="M238" s="162"/>
      <c r="N238" s="20"/>
      <c r="O238" s="20"/>
      <c r="P238" s="107"/>
      <c r="Q238" s="163"/>
      <c r="R238" s="162"/>
      <c r="S238" s="162"/>
      <c r="T238" s="163"/>
      <c r="U238" s="163"/>
    </row>
    <row r="239" spans="1:85" ht="12.65" customHeight="1" x14ac:dyDescent="0.3">
      <c r="C239" s="15"/>
      <c r="H239" s="162"/>
      <c r="I239" s="162"/>
      <c r="J239" s="162"/>
      <c r="K239" s="162"/>
      <c r="L239" s="162"/>
      <c r="M239" s="162"/>
      <c r="N239" s="20"/>
      <c r="O239" s="20"/>
      <c r="P239" s="107"/>
      <c r="Q239" s="163"/>
      <c r="R239" s="162"/>
      <c r="S239" s="162"/>
      <c r="T239" s="163"/>
      <c r="U239" s="163"/>
    </row>
    <row r="240" spans="1:85" s="152" customFormat="1" ht="12.65" customHeight="1" x14ac:dyDescent="0.3">
      <c r="A240" s="62" t="s">
        <v>900</v>
      </c>
      <c r="B240" s="385" t="str">
        <f>$C$13</f>
        <v>Répartition des sexes</v>
      </c>
      <c r="C240" s="385"/>
      <c r="D240" s="59" t="str">
        <f>VLOOKUP(32,Textbausteine_Menu[],Hilfsgrössen!$D$2,FALSE)</f>
        <v>Unité</v>
      </c>
      <c r="E240" s="292" t="str">
        <f>VLOOKUP(33,Textbausteine_Menu[],Hilfsgrössen!$D$2,FALSE)</f>
        <v>Notes</v>
      </c>
      <c r="F240" s="40" t="str">
        <f>VLOOKUP(34,Textbausteine_Menu[],Hilfsgrössen!$D$2,FALSE)</f>
        <v>GRI</v>
      </c>
      <c r="G240" s="48"/>
      <c r="H240" s="160">
        <v>2004</v>
      </c>
      <c r="I240" s="160">
        <v>2005</v>
      </c>
      <c r="J240" s="160">
        <v>2006</v>
      </c>
      <c r="K240" s="160">
        <v>2007</v>
      </c>
      <c r="L240" s="160">
        <v>2008</v>
      </c>
      <c r="M240" s="160">
        <v>2009</v>
      </c>
      <c r="N240" s="160">
        <v>2010</v>
      </c>
      <c r="O240" s="160">
        <v>2011</v>
      </c>
      <c r="P240" s="160">
        <v>2012</v>
      </c>
      <c r="Q240" s="160">
        <v>2013</v>
      </c>
      <c r="R240" s="160">
        <v>2014</v>
      </c>
      <c r="S240" s="160">
        <v>2015</v>
      </c>
      <c r="T240" s="120">
        <v>2016</v>
      </c>
      <c r="U240" s="252">
        <v>2017</v>
      </c>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3"/>
      <c r="BR240" s="113"/>
      <c r="BS240" s="113"/>
      <c r="BT240" s="113"/>
      <c r="BU240" s="113"/>
      <c r="BV240" s="113"/>
      <c r="BW240" s="113"/>
      <c r="BX240" s="113"/>
      <c r="BY240" s="113"/>
      <c r="BZ240" s="113"/>
      <c r="CA240" s="113"/>
      <c r="CB240" s="113"/>
      <c r="CC240" s="113"/>
      <c r="CD240" s="113"/>
      <c r="CE240" s="113"/>
      <c r="CF240" s="113"/>
      <c r="CG240" s="113"/>
    </row>
    <row r="241" spans="1:85" s="61" customFormat="1" ht="12.65" customHeight="1" x14ac:dyDescent="0.3">
      <c r="A241" s="82"/>
      <c r="B241" s="385"/>
      <c r="C241" s="385"/>
      <c r="D241" s="60"/>
      <c r="E241" s="288"/>
      <c r="F241" s="39"/>
      <c r="G241" s="49"/>
      <c r="H241" s="161"/>
      <c r="I241" s="161"/>
      <c r="J241" s="161"/>
      <c r="K241" s="161"/>
      <c r="L241" s="161"/>
      <c r="M241" s="161"/>
      <c r="N241" s="161"/>
      <c r="O241" s="161"/>
      <c r="P241" s="161"/>
      <c r="Q241" s="161"/>
      <c r="R241" s="161"/>
      <c r="S241" s="161"/>
      <c r="T241" s="119"/>
      <c r="U241" s="253"/>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N241" s="114"/>
      <c r="BO241" s="114"/>
      <c r="BP241" s="114"/>
      <c r="BQ241" s="114"/>
      <c r="BR241" s="114"/>
      <c r="BS241" s="114"/>
      <c r="BT241" s="114"/>
      <c r="BU241" s="114"/>
      <c r="BV241" s="114"/>
      <c r="BW241" s="114"/>
      <c r="BX241" s="114"/>
      <c r="BY241" s="114"/>
      <c r="BZ241" s="114"/>
      <c r="CA241" s="114"/>
      <c r="CB241" s="114"/>
      <c r="CC241" s="114"/>
      <c r="CD241" s="114"/>
      <c r="CE241" s="114"/>
      <c r="CF241" s="114"/>
      <c r="CG241" s="114"/>
    </row>
    <row r="242" spans="1:85" ht="12.65" customHeight="1" x14ac:dyDescent="0.3">
      <c r="B242" s="8"/>
      <c r="D242" s="9"/>
      <c r="E242" s="293"/>
      <c r="F242" s="11"/>
      <c r="G242" s="46"/>
      <c r="U242" s="254"/>
    </row>
    <row r="243" spans="1:85" ht="12.65" customHeight="1" x14ac:dyDescent="0.3">
      <c r="B243" s="8" t="str">
        <f>VLOOKUP(37,Textbausteine_Menu[],Hilfsgrössen!$D$2,FALSE)</f>
        <v>Groupe Suisse</v>
      </c>
      <c r="C243" s="8"/>
      <c r="D243" s="67"/>
      <c r="E243" s="293"/>
      <c r="F243" s="11"/>
      <c r="T243" s="107"/>
      <c r="U243" s="255"/>
    </row>
    <row r="244" spans="1:85" ht="12.65" customHeight="1" x14ac:dyDescent="0.3">
      <c r="C244" s="68" t="str">
        <f>VLOOKUP(181,Textbausteine_102[],Hilfsgrössen!$D$2,FALSE)</f>
        <v>Hommes</v>
      </c>
      <c r="D244" s="18" t="str">
        <f>VLOOKUP(37,Textbausteine_102[],Hilfsgrössen!$D$2,FALSE)</f>
        <v>% des personnes</v>
      </c>
      <c r="E244" s="293"/>
      <c r="F244" s="11" t="s">
        <v>785</v>
      </c>
      <c r="H244" s="20">
        <v>51.7</v>
      </c>
      <c r="I244" s="20">
        <v>51.4</v>
      </c>
      <c r="J244" s="20">
        <v>51.3</v>
      </c>
      <c r="K244" s="20">
        <v>51.1</v>
      </c>
      <c r="L244" s="20">
        <v>51.5</v>
      </c>
      <c r="M244" s="20">
        <v>51.5</v>
      </c>
      <c r="N244" s="20">
        <v>52.1</v>
      </c>
      <c r="O244" s="100">
        <v>52.3</v>
      </c>
      <c r="P244" s="100">
        <v>51.6</v>
      </c>
      <c r="Q244" s="100">
        <v>51.5</v>
      </c>
      <c r="R244" s="100">
        <v>51.3</v>
      </c>
      <c r="S244" s="100">
        <v>51.551615634518697</v>
      </c>
      <c r="T244" s="107">
        <v>51.9</v>
      </c>
      <c r="U244" s="255">
        <v>52.5</v>
      </c>
    </row>
    <row r="245" spans="1:85" ht="12.65" customHeight="1" x14ac:dyDescent="0.3">
      <c r="C245" s="73" t="str">
        <f>VLOOKUP(182,Textbausteine_102[],Hilfsgrössen!$D$2,FALSE)</f>
        <v>Femmes</v>
      </c>
      <c r="D245" s="18" t="str">
        <f>VLOOKUP(37,Textbausteine_102[],Hilfsgrössen!$D$2,FALSE)</f>
        <v>% des personnes</v>
      </c>
      <c r="E245" s="293"/>
      <c r="F245" s="11" t="s">
        <v>785</v>
      </c>
      <c r="H245" s="20">
        <v>48.3</v>
      </c>
      <c r="I245" s="20">
        <v>48.6</v>
      </c>
      <c r="J245" s="20">
        <v>48.7</v>
      </c>
      <c r="K245" s="20">
        <v>48.9</v>
      </c>
      <c r="L245" s="20">
        <v>48.5</v>
      </c>
      <c r="M245" s="20">
        <v>48.5</v>
      </c>
      <c r="N245" s="20">
        <v>47.9</v>
      </c>
      <c r="O245" s="100">
        <v>47.7</v>
      </c>
      <c r="P245" s="100">
        <v>48.4</v>
      </c>
      <c r="Q245" s="100">
        <v>48.5</v>
      </c>
      <c r="R245" s="100">
        <v>48.7</v>
      </c>
      <c r="S245" s="100">
        <v>48.448384365481303</v>
      </c>
      <c r="T245" s="107">
        <v>48.1</v>
      </c>
      <c r="U245" s="255">
        <v>47.5</v>
      </c>
    </row>
    <row r="246" spans="1:85" ht="12.65" customHeight="1" x14ac:dyDescent="0.3">
      <c r="C246" s="68" t="str">
        <f>VLOOKUP(181,Textbausteine_102[],Hilfsgrössen!$D$2,FALSE)</f>
        <v>Hommes</v>
      </c>
      <c r="D246" s="18" t="str">
        <f>VLOOKUP(36,Textbausteine_102[],Hilfsgrössen!$D$2,FALSE)</f>
        <v>% des unités de personnel</v>
      </c>
      <c r="E246" s="294"/>
      <c r="F246" s="11" t="s">
        <v>785</v>
      </c>
      <c r="H246" s="20">
        <v>63.3</v>
      </c>
      <c r="I246" s="20">
        <v>63.1</v>
      </c>
      <c r="J246" s="20">
        <v>62.9</v>
      </c>
      <c r="K246" s="20">
        <v>62.6</v>
      </c>
      <c r="L246" s="20">
        <v>62.2</v>
      </c>
      <c r="M246" s="20">
        <v>61.7</v>
      </c>
      <c r="N246" s="20">
        <v>61.2</v>
      </c>
      <c r="O246" s="100">
        <v>60.8</v>
      </c>
      <c r="P246" s="100">
        <v>60.1</v>
      </c>
      <c r="Q246" s="100">
        <v>59.9</v>
      </c>
      <c r="R246" s="100">
        <v>59.8</v>
      </c>
      <c r="S246" s="100">
        <v>59.819801842260503</v>
      </c>
      <c r="T246" s="107">
        <v>60.1</v>
      </c>
      <c r="U246" s="255">
        <v>60.7</v>
      </c>
    </row>
    <row r="247" spans="1:85" ht="12.65" customHeight="1" x14ac:dyDescent="0.3">
      <c r="C247" s="73" t="str">
        <f>VLOOKUP(182,Textbausteine_102[],Hilfsgrössen!$D$2,FALSE)</f>
        <v>Femmes</v>
      </c>
      <c r="D247" s="18" t="str">
        <f>VLOOKUP(36,Textbausteine_102[],Hilfsgrössen!$D$2,FALSE)</f>
        <v>% des unités de personnel</v>
      </c>
      <c r="E247" s="294"/>
      <c r="F247" s="11" t="s">
        <v>785</v>
      </c>
      <c r="H247" s="20">
        <v>36.700000000000003</v>
      </c>
      <c r="I247" s="20">
        <v>36.9</v>
      </c>
      <c r="J247" s="20">
        <v>37.1</v>
      </c>
      <c r="K247" s="20">
        <v>37.4</v>
      </c>
      <c r="L247" s="20">
        <v>37.799999999999997</v>
      </c>
      <c r="M247" s="20">
        <v>38.299999999999997</v>
      </c>
      <c r="N247" s="20">
        <v>38.799999999999997</v>
      </c>
      <c r="O247" s="100">
        <v>39.200000000000003</v>
      </c>
      <c r="P247" s="100">
        <v>39.9</v>
      </c>
      <c r="Q247" s="100">
        <v>40.1</v>
      </c>
      <c r="R247" s="100">
        <v>40.200000000000003</v>
      </c>
      <c r="S247" s="100">
        <v>40.180198157739603</v>
      </c>
      <c r="T247" s="107">
        <v>39.9</v>
      </c>
      <c r="U247" s="255">
        <v>39.299999999999997</v>
      </c>
    </row>
    <row r="248" spans="1:85" ht="12.65" customHeight="1" x14ac:dyDescent="0.3">
      <c r="C248" s="15"/>
      <c r="E248" s="294"/>
      <c r="F248" s="44"/>
      <c r="H248" s="162"/>
      <c r="I248" s="162"/>
      <c r="J248" s="162"/>
      <c r="K248" s="162"/>
      <c r="L248" s="162"/>
      <c r="M248" s="162"/>
      <c r="N248" s="20"/>
      <c r="O248" s="20"/>
      <c r="P248" s="107"/>
      <c r="Q248" s="163"/>
      <c r="R248" s="162"/>
      <c r="S248" s="162"/>
      <c r="T248" s="163"/>
      <c r="U248" s="163"/>
    </row>
    <row r="249" spans="1:85" ht="12.65" customHeight="1" x14ac:dyDescent="0.3">
      <c r="C249" s="15"/>
      <c r="H249" s="162"/>
      <c r="I249" s="162"/>
      <c r="J249" s="162"/>
      <c r="K249" s="162"/>
      <c r="L249" s="162"/>
      <c r="M249" s="162"/>
      <c r="N249" s="20"/>
      <c r="O249" s="20"/>
      <c r="P249" s="107"/>
      <c r="Q249" s="163"/>
      <c r="R249" s="162"/>
      <c r="S249" s="162"/>
      <c r="T249" s="163"/>
      <c r="U249" s="163"/>
    </row>
    <row r="250" spans="1:85" ht="12.65" customHeight="1" x14ac:dyDescent="0.3">
      <c r="C250" s="15"/>
      <c r="H250" s="162"/>
      <c r="I250" s="162"/>
      <c r="J250" s="162"/>
      <c r="K250" s="162"/>
      <c r="L250" s="162"/>
      <c r="M250" s="162"/>
      <c r="N250" s="20"/>
      <c r="O250" s="20"/>
      <c r="P250" s="107"/>
      <c r="Q250" s="163"/>
      <c r="R250" s="162"/>
      <c r="S250" s="162"/>
      <c r="T250" s="163"/>
      <c r="U250" s="163"/>
    </row>
    <row r="251" spans="1:85" s="61" customFormat="1" ht="12.65" customHeight="1" x14ac:dyDescent="0.3">
      <c r="A251" s="62" t="s">
        <v>900</v>
      </c>
      <c r="B251" s="388" t="str">
        <f>$C$14</f>
        <v>Temps partiel</v>
      </c>
      <c r="C251" s="388" t="str">
        <f>VLOOKUP(53,Textbausteine_102[],Hilfsgrössen!$D$2,FALSE)</f>
        <v>Part au total du bilan</v>
      </c>
      <c r="D251" s="59" t="str">
        <f>VLOOKUP(32,Textbausteine_Menu[],Hilfsgrössen!$D$2,FALSE)</f>
        <v>Unité</v>
      </c>
      <c r="E251" s="292" t="str">
        <f>VLOOKUP(33,Textbausteine_Menu[],Hilfsgrössen!$D$2,FALSE)</f>
        <v>Notes</v>
      </c>
      <c r="F251" s="40" t="str">
        <f>VLOOKUP(34,Textbausteine_Menu[],Hilfsgrössen!$D$2,FALSE)</f>
        <v>GRI</v>
      </c>
      <c r="G251" s="47"/>
      <c r="H251" s="160">
        <v>2004</v>
      </c>
      <c r="I251" s="160">
        <v>2005</v>
      </c>
      <c r="J251" s="160">
        <v>2006</v>
      </c>
      <c r="K251" s="160">
        <v>2007</v>
      </c>
      <c r="L251" s="160">
        <v>2008</v>
      </c>
      <c r="M251" s="160">
        <v>2009</v>
      </c>
      <c r="N251" s="160">
        <v>2010</v>
      </c>
      <c r="O251" s="160">
        <v>2011</v>
      </c>
      <c r="P251" s="160">
        <v>2012</v>
      </c>
      <c r="Q251" s="160">
        <v>2013</v>
      </c>
      <c r="R251" s="160">
        <v>2014</v>
      </c>
      <c r="S251" s="160">
        <v>2015</v>
      </c>
      <c r="T251" s="120">
        <v>2016</v>
      </c>
      <c r="U251" s="252">
        <v>2017</v>
      </c>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4"/>
      <c r="AY251" s="114"/>
      <c r="AZ251" s="114"/>
      <c r="BA251" s="114"/>
      <c r="BB251" s="114"/>
      <c r="BC251" s="114"/>
      <c r="BD251" s="114"/>
      <c r="BE251" s="114"/>
      <c r="BF251" s="114"/>
      <c r="BG251" s="114"/>
      <c r="BH251" s="114"/>
      <c r="BI251" s="114"/>
      <c r="BJ251" s="114"/>
      <c r="BK251" s="114"/>
      <c r="BL251" s="114"/>
      <c r="BM251" s="114"/>
      <c r="BN251" s="114"/>
      <c r="BO251" s="114"/>
      <c r="BP251" s="114"/>
      <c r="BQ251" s="114"/>
      <c r="BR251" s="114"/>
      <c r="BS251" s="114"/>
      <c r="BT251" s="114"/>
      <c r="BU251" s="114"/>
      <c r="BV251" s="114"/>
      <c r="BW251" s="114"/>
      <c r="BX251" s="114"/>
      <c r="BY251" s="114"/>
      <c r="BZ251" s="114"/>
      <c r="CA251" s="114"/>
      <c r="CB251" s="114"/>
      <c r="CC251" s="114"/>
      <c r="CD251" s="114"/>
      <c r="CE251" s="114"/>
      <c r="CF251" s="114"/>
      <c r="CG251" s="114"/>
    </row>
    <row r="252" spans="1:85" s="61" customFormat="1" ht="12.65" customHeight="1" x14ac:dyDescent="0.3">
      <c r="A252" s="82"/>
      <c r="B252" s="388" t="str">
        <f>VLOOKUP(53,Textbausteine_102[],Hilfsgrössen!$D$2,FALSE)</f>
        <v>Part au total du bilan</v>
      </c>
      <c r="C252" s="388" t="str">
        <f>VLOOKUP(53,Textbausteine_102[],Hilfsgrössen!$D$2,FALSE)</f>
        <v>Part au total du bilan</v>
      </c>
      <c r="D252" s="59"/>
      <c r="E252" s="289"/>
      <c r="F252" s="37"/>
      <c r="G252" s="47"/>
      <c r="H252" s="160"/>
      <c r="I252" s="160"/>
      <c r="J252" s="160"/>
      <c r="K252" s="160"/>
      <c r="L252" s="160"/>
      <c r="M252" s="160"/>
      <c r="N252" s="160"/>
      <c r="O252" s="160"/>
      <c r="P252" s="160"/>
      <c r="Q252" s="160"/>
      <c r="R252" s="160"/>
      <c r="S252" s="160"/>
      <c r="T252" s="120"/>
      <c r="U252" s="252"/>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4"/>
      <c r="AY252" s="114"/>
      <c r="AZ252" s="114"/>
      <c r="BA252" s="114"/>
      <c r="BB252" s="114"/>
      <c r="BC252" s="114"/>
      <c r="BD252" s="114"/>
      <c r="BE252" s="114"/>
      <c r="BF252" s="114"/>
      <c r="BG252" s="114"/>
      <c r="BH252" s="114"/>
      <c r="BI252" s="114"/>
      <c r="BJ252" s="114"/>
      <c r="BK252" s="114"/>
      <c r="BL252" s="114"/>
      <c r="BM252" s="114"/>
      <c r="BN252" s="114"/>
      <c r="BO252" s="114"/>
      <c r="BP252" s="114"/>
      <c r="BQ252" s="114"/>
      <c r="BR252" s="114"/>
      <c r="BS252" s="114"/>
      <c r="BT252" s="114"/>
      <c r="BU252" s="114"/>
      <c r="BV252" s="114"/>
      <c r="BW252" s="114"/>
      <c r="BX252" s="114"/>
      <c r="BY252" s="114"/>
      <c r="BZ252" s="114"/>
      <c r="CA252" s="114"/>
      <c r="CB252" s="114"/>
      <c r="CC252" s="114"/>
      <c r="CD252" s="114"/>
      <c r="CE252" s="114"/>
      <c r="CF252" s="114"/>
      <c r="CG252" s="114"/>
    </row>
    <row r="253" spans="1:85" ht="12.65" customHeight="1" x14ac:dyDescent="0.3">
      <c r="C253" s="8"/>
      <c r="D253" s="8"/>
      <c r="U253" s="254"/>
    </row>
    <row r="254" spans="1:85" ht="12.65" customHeight="1" x14ac:dyDescent="0.3">
      <c r="B254" s="8" t="str">
        <f>VLOOKUP(37,Textbausteine_Menu[],Hilfsgrössen!$D$2,FALSE)</f>
        <v>Groupe Suisse</v>
      </c>
      <c r="C254" s="8"/>
      <c r="D254" s="8"/>
      <c r="U254" s="254"/>
    </row>
    <row r="255" spans="1:85" ht="12.65" customHeight="1" x14ac:dyDescent="0.3">
      <c r="C255" s="8" t="str">
        <f>VLOOKUP(191,Textbausteine_102[],Hilfsgrössen!$D$2,FALSE)</f>
        <v>Taux d'occupation</v>
      </c>
      <c r="D255" s="67"/>
      <c r="U255" s="254"/>
    </row>
    <row r="256" spans="1:85" ht="12.65" customHeight="1" x14ac:dyDescent="0.3">
      <c r="C256" s="77" t="str">
        <f>VLOOKUP(192,Textbausteine_102[],Hilfsgrössen!$D$2,FALSE)</f>
        <v>Taux d'occupation inférieur à 50%, total</v>
      </c>
      <c r="D256" s="67" t="str">
        <f>VLOOKUP(21,Textbausteine_102[],Hilfsgrössen!$D$2,FALSE)</f>
        <v>%</v>
      </c>
      <c r="E256" s="289">
        <v>1</v>
      </c>
      <c r="F256" s="37" t="s">
        <v>785</v>
      </c>
      <c r="H256" s="175">
        <v>23.5</v>
      </c>
      <c r="I256" s="180">
        <v>23.8</v>
      </c>
      <c r="J256" s="180">
        <v>23.4</v>
      </c>
      <c r="K256" s="180">
        <v>23.3</v>
      </c>
      <c r="L256" s="175">
        <v>22.8</v>
      </c>
      <c r="M256" s="175">
        <v>20.9</v>
      </c>
      <c r="N256" s="100">
        <v>26.4</v>
      </c>
      <c r="O256" s="100">
        <v>26.2</v>
      </c>
      <c r="P256" s="100">
        <v>25.4</v>
      </c>
      <c r="Q256" s="100">
        <v>25.2</v>
      </c>
      <c r="R256" s="100">
        <v>24.5</v>
      </c>
      <c r="S256" s="100">
        <v>24</v>
      </c>
      <c r="T256" s="107">
        <v>23.4</v>
      </c>
      <c r="U256" s="255">
        <v>23</v>
      </c>
    </row>
    <row r="257" spans="3:21" ht="12.65" customHeight="1" x14ac:dyDescent="0.3">
      <c r="C257" s="77" t="str">
        <f>VLOOKUP(193,Textbausteine_102[],Hilfsgrössen!$D$2,FALSE)</f>
        <v>Taux d'occupation entre 50% et 89%, total</v>
      </c>
      <c r="D257" s="67" t="str">
        <f>VLOOKUP(21,Textbausteine_102[],Hilfsgrössen!$D$2,FALSE)</f>
        <v>%</v>
      </c>
      <c r="E257" s="289">
        <v>1</v>
      </c>
      <c r="F257" s="37" t="s">
        <v>785</v>
      </c>
      <c r="H257" s="175">
        <v>18.100000000000001</v>
      </c>
      <c r="I257" s="180">
        <v>18.899999999999999</v>
      </c>
      <c r="J257" s="180">
        <v>19.899999999999999</v>
      </c>
      <c r="K257" s="180">
        <v>20.6</v>
      </c>
      <c r="L257" s="175">
        <v>21.5</v>
      </c>
      <c r="M257" s="175">
        <v>22.9</v>
      </c>
      <c r="N257" s="100">
        <v>21.6</v>
      </c>
      <c r="O257" s="100">
        <v>22.4</v>
      </c>
      <c r="P257" s="100">
        <v>23.2</v>
      </c>
      <c r="Q257" s="100">
        <v>23.9</v>
      </c>
      <c r="R257" s="100">
        <v>24.5</v>
      </c>
      <c r="S257" s="100">
        <v>24.8</v>
      </c>
      <c r="T257" s="107">
        <v>25.3</v>
      </c>
      <c r="U257" s="255">
        <v>25.6</v>
      </c>
    </row>
    <row r="258" spans="3:21" ht="12.65" customHeight="1" x14ac:dyDescent="0.3">
      <c r="C258" s="77" t="str">
        <f>VLOOKUP(194,Textbausteine_102[],Hilfsgrössen!$D$2,FALSE)</f>
        <v>Taux d'occupation égal ou supérieur à 90% (plein temps), total</v>
      </c>
      <c r="D258" s="67" t="str">
        <f>VLOOKUP(21,Textbausteine_102[],Hilfsgrössen!$D$2,FALSE)</f>
        <v>%</v>
      </c>
      <c r="E258" s="289">
        <v>1</v>
      </c>
      <c r="F258" s="37" t="s">
        <v>785</v>
      </c>
      <c r="H258" s="175">
        <v>58.4</v>
      </c>
      <c r="I258" s="175">
        <v>57.3</v>
      </c>
      <c r="J258" s="175">
        <v>56.7</v>
      </c>
      <c r="K258" s="175">
        <v>56.099999999999994</v>
      </c>
      <c r="L258" s="175">
        <v>55.7</v>
      </c>
      <c r="M258" s="175">
        <v>56.2</v>
      </c>
      <c r="N258" s="100">
        <v>52</v>
      </c>
      <c r="O258" s="100">
        <v>51.4</v>
      </c>
      <c r="P258" s="100">
        <v>51.4</v>
      </c>
      <c r="Q258" s="100">
        <v>50.9</v>
      </c>
      <c r="R258" s="100">
        <v>50.9</v>
      </c>
      <c r="S258" s="100">
        <v>51.2</v>
      </c>
      <c r="T258" s="107">
        <v>51.2</v>
      </c>
      <c r="U258" s="255">
        <v>51.4</v>
      </c>
    </row>
    <row r="259" spans="3:21" ht="12.65" customHeight="1" x14ac:dyDescent="0.3">
      <c r="C259" s="67"/>
      <c r="D259" s="67"/>
      <c r="H259" s="180"/>
      <c r="I259" s="180"/>
      <c r="J259" s="180"/>
      <c r="K259" s="180"/>
      <c r="L259" s="175"/>
      <c r="M259" s="175"/>
      <c r="T259" s="107"/>
      <c r="U259" s="255"/>
    </row>
    <row r="260" spans="3:21" ht="12.65" customHeight="1" x14ac:dyDescent="0.3">
      <c r="C260" s="8" t="str">
        <f>VLOOKUP(195,Textbausteine_102[],Hilfsgrössen!$D$2,FALSE)</f>
        <v>Taux d'occupation des hommes</v>
      </c>
      <c r="D260" s="67"/>
      <c r="F260" s="37" t="s">
        <v>785</v>
      </c>
      <c r="H260" s="180"/>
      <c r="I260" s="180"/>
      <c r="J260" s="180"/>
      <c r="K260" s="180"/>
      <c r="L260" s="175"/>
      <c r="M260" s="175"/>
      <c r="T260" s="107"/>
      <c r="U260" s="255"/>
    </row>
    <row r="261" spans="3:21" ht="12.65" customHeight="1" x14ac:dyDescent="0.3">
      <c r="C261" s="77" t="str">
        <f>VLOOKUP(196,Textbausteine_102[],Hilfsgrössen!$D$2,FALSE)</f>
        <v>Taux d'occupation inférieur à 50%, hommes</v>
      </c>
      <c r="D261" s="67" t="str">
        <f>VLOOKUP(21,Textbausteine_102[],Hilfsgrössen!$D$2,FALSE)</f>
        <v>%</v>
      </c>
      <c r="E261" s="289">
        <v>1</v>
      </c>
      <c r="F261" s="37" t="s">
        <v>785</v>
      </c>
      <c r="H261" s="175">
        <v>6.6</v>
      </c>
      <c r="I261" s="180">
        <v>6.9</v>
      </c>
      <c r="J261" s="180">
        <v>6.6</v>
      </c>
      <c r="K261" s="180">
        <v>6.8</v>
      </c>
      <c r="L261" s="175">
        <v>7.7</v>
      </c>
      <c r="M261" s="175">
        <v>7.2</v>
      </c>
      <c r="N261" s="100">
        <v>15.2</v>
      </c>
      <c r="O261" s="100">
        <v>16.3</v>
      </c>
      <c r="P261" s="100">
        <v>16.3</v>
      </c>
      <c r="Q261" s="100">
        <v>16.7</v>
      </c>
      <c r="R261" s="100">
        <v>16.5</v>
      </c>
      <c r="S261" s="100">
        <v>16.5</v>
      </c>
      <c r="T261" s="107">
        <v>16.3</v>
      </c>
      <c r="U261" s="255">
        <v>15.9</v>
      </c>
    </row>
    <row r="262" spans="3:21" ht="12.65" customHeight="1" x14ac:dyDescent="0.3">
      <c r="C262" s="77" t="str">
        <f>VLOOKUP(197,Textbausteine_102[],Hilfsgrössen!$D$2,FALSE)</f>
        <v>Taux d'occupation entre 50% et 89%, hommes</v>
      </c>
      <c r="D262" s="67" t="str">
        <f>VLOOKUP(21,Textbausteine_102[],Hilfsgrössen!$D$2,FALSE)</f>
        <v>%</v>
      </c>
      <c r="E262" s="289">
        <v>1</v>
      </c>
      <c r="F262" s="37" t="s">
        <v>785</v>
      </c>
      <c r="H262" s="175">
        <v>7.1</v>
      </c>
      <c r="I262" s="180">
        <v>7.6</v>
      </c>
      <c r="J262" s="180">
        <v>8.1999999999999993</v>
      </c>
      <c r="K262" s="180">
        <v>9</v>
      </c>
      <c r="L262" s="175">
        <v>9.8000000000000007</v>
      </c>
      <c r="M262" s="175">
        <v>10.1</v>
      </c>
      <c r="N262" s="100">
        <v>9.3000000000000007</v>
      </c>
      <c r="O262" s="100">
        <v>9.8000000000000007</v>
      </c>
      <c r="P262" s="100">
        <v>10.3</v>
      </c>
      <c r="Q262" s="100">
        <v>10.8</v>
      </c>
      <c r="R262" s="100">
        <v>11.4</v>
      </c>
      <c r="S262" s="100">
        <v>11.3</v>
      </c>
      <c r="T262" s="107">
        <v>11.7</v>
      </c>
      <c r="U262" s="255">
        <v>12</v>
      </c>
    </row>
    <row r="263" spans="3:21" ht="12.65" customHeight="1" x14ac:dyDescent="0.3">
      <c r="C263" s="77" t="str">
        <f>VLOOKUP(198,Textbausteine_102[],Hilfsgrössen!$D$2,FALSE)</f>
        <v>Taux d'occupation égal ou supérieur à 90% (plein temps), hommes</v>
      </c>
      <c r="D263" s="67" t="str">
        <f>VLOOKUP(21,Textbausteine_102[],Hilfsgrössen!$D$2,FALSE)</f>
        <v>%</v>
      </c>
      <c r="E263" s="289">
        <v>1</v>
      </c>
      <c r="F263" s="37" t="s">
        <v>785</v>
      </c>
      <c r="H263" s="175">
        <v>86.3</v>
      </c>
      <c r="I263" s="175">
        <v>85.5</v>
      </c>
      <c r="J263" s="175">
        <v>85.2</v>
      </c>
      <c r="K263" s="175">
        <v>84.2</v>
      </c>
      <c r="L263" s="175">
        <v>82.5</v>
      </c>
      <c r="M263" s="175">
        <v>82.7</v>
      </c>
      <c r="N263" s="100">
        <v>75.5</v>
      </c>
      <c r="O263" s="100">
        <v>73.900000000000006</v>
      </c>
      <c r="P263" s="100">
        <v>73.400000000000006</v>
      </c>
      <c r="Q263" s="100">
        <v>72.5</v>
      </c>
      <c r="R263" s="100">
        <v>72.099999999999994</v>
      </c>
      <c r="S263" s="100">
        <v>72.2</v>
      </c>
      <c r="T263" s="107">
        <v>72</v>
      </c>
      <c r="U263" s="255">
        <v>72</v>
      </c>
    </row>
    <row r="264" spans="3:21" ht="12.65" customHeight="1" x14ac:dyDescent="0.3">
      <c r="C264" s="67"/>
      <c r="D264" s="67"/>
      <c r="H264" s="180"/>
      <c r="I264" s="180"/>
      <c r="J264" s="180"/>
      <c r="K264" s="180"/>
      <c r="L264" s="175"/>
      <c r="M264" s="175"/>
      <c r="T264" s="107"/>
      <c r="U264" s="255"/>
    </row>
    <row r="265" spans="3:21" ht="12.65" customHeight="1" x14ac:dyDescent="0.3">
      <c r="C265" s="8" t="str">
        <f>VLOOKUP(199,Textbausteine_102[],Hilfsgrössen!$D$2,FALSE)</f>
        <v>Taux d'occupation des femmes</v>
      </c>
      <c r="D265" s="67"/>
      <c r="F265" s="37" t="s">
        <v>785</v>
      </c>
      <c r="G265" s="49"/>
      <c r="H265" s="180"/>
      <c r="I265" s="180"/>
      <c r="J265" s="180"/>
      <c r="K265" s="180"/>
      <c r="L265" s="175"/>
      <c r="M265" s="175"/>
      <c r="T265" s="107"/>
      <c r="U265" s="255"/>
    </row>
    <row r="266" spans="3:21" ht="12.65" customHeight="1" x14ac:dyDescent="0.3">
      <c r="C266" s="77" t="str">
        <f>VLOOKUP(200,Textbausteine_102[],Hilfsgrössen!$D$2,FALSE)</f>
        <v>Taux d'occupation inférieur à 50%, femmes</v>
      </c>
      <c r="D266" s="67" t="str">
        <f>VLOOKUP(21,Textbausteine_102[],Hilfsgrössen!$D$2,FALSE)</f>
        <v>%</v>
      </c>
      <c r="E266" s="289">
        <v>1</v>
      </c>
      <c r="F266" s="37" t="s">
        <v>785</v>
      </c>
      <c r="G266" s="49"/>
      <c r="H266" s="175">
        <v>41.6</v>
      </c>
      <c r="I266" s="180">
        <v>41.7</v>
      </c>
      <c r="J266" s="180">
        <v>41.1</v>
      </c>
      <c r="K266" s="180">
        <v>40.6</v>
      </c>
      <c r="L266" s="175">
        <v>38.700000000000003</v>
      </c>
      <c r="M266" s="175">
        <v>35.5</v>
      </c>
      <c r="N266" s="100">
        <v>38.4</v>
      </c>
      <c r="O266" s="100">
        <v>37.1</v>
      </c>
      <c r="P266" s="100">
        <v>35.6</v>
      </c>
      <c r="Q266" s="100">
        <v>34.6</v>
      </c>
      <c r="R266" s="100">
        <v>33.5</v>
      </c>
      <c r="S266" s="100">
        <v>32.4</v>
      </c>
      <c r="T266" s="107">
        <v>31.6</v>
      </c>
      <c r="U266" s="255">
        <v>31.3</v>
      </c>
    </row>
    <row r="267" spans="3:21" ht="12.65" customHeight="1" x14ac:dyDescent="0.3">
      <c r="C267" s="77" t="str">
        <f>VLOOKUP(201,Textbausteine_102[],Hilfsgrössen!$D$2,FALSE)</f>
        <v>Taux d'occupation entre 50% et 89%, femmes</v>
      </c>
      <c r="D267" s="67" t="str">
        <f>VLOOKUP(21,Textbausteine_102[],Hilfsgrössen!$D$2,FALSE)</f>
        <v>%</v>
      </c>
      <c r="E267" s="289">
        <v>1</v>
      </c>
      <c r="F267" s="37" t="s">
        <v>785</v>
      </c>
      <c r="G267" s="49"/>
      <c r="H267" s="175">
        <v>30</v>
      </c>
      <c r="I267" s="180">
        <v>30.8</v>
      </c>
      <c r="J267" s="180">
        <v>32.1</v>
      </c>
      <c r="K267" s="180">
        <v>32.700000000000003</v>
      </c>
      <c r="L267" s="175">
        <v>33.9</v>
      </c>
      <c r="M267" s="175">
        <v>36.5</v>
      </c>
      <c r="N267" s="100">
        <v>35.1</v>
      </c>
      <c r="O267" s="100">
        <v>36.1</v>
      </c>
      <c r="P267" s="100">
        <v>37.4</v>
      </c>
      <c r="Q267" s="100">
        <v>38.4</v>
      </c>
      <c r="R267" s="100">
        <v>39.299999999999997</v>
      </c>
      <c r="S267" s="100">
        <v>40</v>
      </c>
      <c r="T267" s="107">
        <v>41</v>
      </c>
      <c r="U267" s="255">
        <v>41.6</v>
      </c>
    </row>
    <row r="268" spans="3:21" ht="12.65" customHeight="1" x14ac:dyDescent="0.3">
      <c r="C268" s="77" t="str">
        <f>VLOOKUP(202,Textbausteine_102[],Hilfsgrössen!$D$2,FALSE)</f>
        <v>Taux d'occupation égal ou supérieur à 90% (plein temps), femmes</v>
      </c>
      <c r="D268" s="67" t="str">
        <f>VLOOKUP(21,Textbausteine_102[],Hilfsgrössen!$D$2,FALSE)</f>
        <v>%</v>
      </c>
      <c r="E268" s="289">
        <v>1</v>
      </c>
      <c r="F268" s="37" t="s">
        <v>785</v>
      </c>
      <c r="G268" s="49"/>
      <c r="H268" s="175">
        <v>28.400000000000006</v>
      </c>
      <c r="I268" s="175">
        <v>27.5</v>
      </c>
      <c r="J268" s="175">
        <v>26.799999999999997</v>
      </c>
      <c r="K268" s="175">
        <v>26.699999999999989</v>
      </c>
      <c r="L268" s="175">
        <v>27.400000000000006</v>
      </c>
      <c r="M268" s="175">
        <v>28</v>
      </c>
      <c r="N268" s="100">
        <v>26.5</v>
      </c>
      <c r="O268" s="100">
        <v>26.8</v>
      </c>
      <c r="P268" s="100">
        <v>27</v>
      </c>
      <c r="Q268" s="100">
        <v>27</v>
      </c>
      <c r="R268" s="100">
        <v>27.2</v>
      </c>
      <c r="S268" s="100">
        <v>27.6</v>
      </c>
      <c r="T268" s="107">
        <v>27.4</v>
      </c>
      <c r="U268" s="255">
        <v>27.1</v>
      </c>
    </row>
    <row r="269" spans="3:21" ht="12.65" customHeight="1" x14ac:dyDescent="0.3">
      <c r="C269" s="67"/>
      <c r="D269" s="67"/>
      <c r="G269" s="49"/>
      <c r="H269" s="180"/>
      <c r="I269" s="180"/>
      <c r="J269" s="180"/>
      <c r="K269" s="180"/>
      <c r="L269" s="175"/>
      <c r="M269" s="175"/>
      <c r="T269" s="107"/>
      <c r="U269" s="255"/>
    </row>
    <row r="270" spans="3:21" ht="12.65" customHeight="1" x14ac:dyDescent="0.3">
      <c r="C270" s="8" t="str">
        <f>VLOOKUP(203,Textbausteine_102[],Hilfsgrössen!$D$2,FALSE)</f>
        <v>Taux d'occupation des cadres</v>
      </c>
      <c r="D270" s="67"/>
      <c r="F270" s="37" t="s">
        <v>785</v>
      </c>
      <c r="G270" s="49"/>
      <c r="H270" s="180"/>
      <c r="I270" s="180"/>
      <c r="J270" s="180"/>
      <c r="K270" s="180"/>
      <c r="L270" s="175"/>
      <c r="M270" s="180"/>
      <c r="T270" s="107"/>
      <c r="U270" s="255"/>
    </row>
    <row r="271" spans="3:21" ht="12.65" customHeight="1" x14ac:dyDescent="0.3">
      <c r="C271" s="77" t="str">
        <f>VLOOKUP(204,Textbausteine_102[],Hilfsgrössen!$D$2,FALSE)</f>
        <v>Taux d'occupation inférieur à 90% (temps partiel), cadres</v>
      </c>
      <c r="D271" s="67" t="str">
        <f>VLOOKUP(21,Textbausteine_102[],Hilfsgrössen!$D$2,FALSE)</f>
        <v>%</v>
      </c>
      <c r="E271" s="289">
        <v>1</v>
      </c>
      <c r="F271" s="37" t="s">
        <v>785</v>
      </c>
      <c r="G271" s="49"/>
      <c r="H271" s="181" t="s">
        <v>1595</v>
      </c>
      <c r="I271" s="181" t="s">
        <v>1595</v>
      </c>
      <c r="J271" s="181" t="s">
        <v>1595</v>
      </c>
      <c r="K271" s="181" t="s">
        <v>1595</v>
      </c>
      <c r="L271" s="175">
        <v>7.4321837240937825</v>
      </c>
      <c r="M271" s="175">
        <v>7.9040128065017621</v>
      </c>
      <c r="N271" s="100">
        <v>7.5500428422476169</v>
      </c>
      <c r="O271" s="100">
        <v>7.8</v>
      </c>
      <c r="P271" s="100">
        <v>7.6</v>
      </c>
      <c r="Q271" s="100">
        <v>7.8</v>
      </c>
      <c r="R271" s="100">
        <v>8.4</v>
      </c>
      <c r="S271" s="100">
        <v>8.6999999999999993</v>
      </c>
      <c r="T271" s="107">
        <v>11.9</v>
      </c>
      <c r="U271" s="255">
        <v>12.4</v>
      </c>
    </row>
    <row r="272" spans="3:21" ht="12.65" customHeight="1" x14ac:dyDescent="0.3">
      <c r="C272" s="77" t="str">
        <f>VLOOKUP(205,Textbausteine_102[],Hilfsgrössen!$D$2,FALSE)</f>
        <v>Taux d'occupation inférieur à 90% (temps partiel), cadres, hommes</v>
      </c>
      <c r="D272" s="67" t="str">
        <f>VLOOKUP(21,Textbausteine_102[],Hilfsgrössen!$D$2,FALSE)</f>
        <v>%</v>
      </c>
      <c r="E272" s="289">
        <v>1</v>
      </c>
      <c r="F272" s="37" t="s">
        <v>785</v>
      </c>
      <c r="H272" s="181" t="s">
        <v>1595</v>
      </c>
      <c r="I272" s="181" t="s">
        <v>1595</v>
      </c>
      <c r="J272" s="181" t="s">
        <v>1595</v>
      </c>
      <c r="K272" s="181" t="s">
        <v>1595</v>
      </c>
      <c r="L272" s="175">
        <v>3.7338018888644844</v>
      </c>
      <c r="M272" s="175">
        <v>3.7744993505612312</v>
      </c>
      <c r="N272" s="100">
        <v>3.2079841416262682</v>
      </c>
      <c r="O272" s="100">
        <v>3.2753661087866108</v>
      </c>
      <c r="P272" s="100">
        <v>3.6</v>
      </c>
      <c r="Q272" s="100">
        <v>3.6</v>
      </c>
      <c r="R272" s="100">
        <v>3.7</v>
      </c>
      <c r="S272" s="100">
        <v>3.8</v>
      </c>
      <c r="T272" s="107">
        <v>5.8</v>
      </c>
      <c r="U272" s="255">
        <v>6.4</v>
      </c>
    </row>
    <row r="273" spans="1:85" ht="12.65" customHeight="1" x14ac:dyDescent="0.3">
      <c r="C273" s="77" t="str">
        <f>VLOOKUP(206,Textbausteine_102[],Hilfsgrössen!$D$2,FALSE)</f>
        <v>Taux d'occupation inférieur à 90% (temps partiel), cadres, femmes</v>
      </c>
      <c r="D273" s="67" t="str">
        <f>VLOOKUP(21,Textbausteine_102[],Hilfsgrössen!$D$2,FALSE)</f>
        <v>%</v>
      </c>
      <c r="E273" s="289">
        <v>1</v>
      </c>
      <c r="F273" s="37" t="s">
        <v>785</v>
      </c>
      <c r="H273" s="181" t="s">
        <v>1595</v>
      </c>
      <c r="I273" s="181" t="s">
        <v>1595</v>
      </c>
      <c r="J273" s="181" t="s">
        <v>1595</v>
      </c>
      <c r="K273" s="181" t="s">
        <v>1595</v>
      </c>
      <c r="L273" s="175">
        <v>22.319591803677003</v>
      </c>
      <c r="M273" s="175">
        <v>23.55229687266198</v>
      </c>
      <c r="N273" s="100">
        <v>23.28856624319419</v>
      </c>
      <c r="O273" s="100">
        <v>23.5</v>
      </c>
      <c r="P273" s="100">
        <v>22.1</v>
      </c>
      <c r="Q273" s="100">
        <v>22.2</v>
      </c>
      <c r="R273" s="100">
        <v>24.6</v>
      </c>
      <c r="S273" s="100">
        <v>25.3</v>
      </c>
      <c r="T273" s="107">
        <v>31.9</v>
      </c>
      <c r="U273" s="255">
        <v>32.1</v>
      </c>
    </row>
    <row r="275" spans="1:85" ht="12.65" customHeight="1" x14ac:dyDescent="0.3">
      <c r="B275" s="26" t="str">
        <f>VLOOKUP(281,Textbausteine_102[],Hilfsgrössen!$D$2,FALSE)</f>
        <v>1)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v>
      </c>
    </row>
    <row r="276" spans="1:85" ht="12.65" customHeight="1" x14ac:dyDescent="0.3">
      <c r="B276" s="26" t="str">
        <f>VLOOKUP(282,Textbausteine_102[],Hilfsgrössen!$D$2,FALSE)</f>
        <v>2) Les cadres sont des collaborateurs qui exercent des fonctions de direction ou de spécialistes ou d'autres fonctions supérieures.</v>
      </c>
    </row>
    <row r="277" spans="1:85" ht="12.65" customHeight="1" x14ac:dyDescent="0.3">
      <c r="G277" s="48"/>
    </row>
    <row r="278" spans="1:85" ht="12.65" customHeight="1" x14ac:dyDescent="0.3">
      <c r="G278" s="48"/>
    </row>
    <row r="279" spans="1:85" ht="12.65" customHeight="1" x14ac:dyDescent="0.3">
      <c r="G279" s="49"/>
    </row>
    <row r="280" spans="1:85" s="61" customFormat="1" ht="12.65" customHeight="1" x14ac:dyDescent="0.3">
      <c r="A280" s="62" t="s">
        <v>900</v>
      </c>
      <c r="B280" s="389" t="str">
        <f>$C$15</f>
        <v>Rapports de travail</v>
      </c>
      <c r="C280" s="389"/>
      <c r="D280" s="59" t="str">
        <f>VLOOKUP(32,Textbausteine_Menu[],Hilfsgrössen!$D$2,FALSE)</f>
        <v>Unité</v>
      </c>
      <c r="E280" s="292" t="str">
        <f>VLOOKUP(33,Textbausteine_Menu[],Hilfsgrössen!$D$2,FALSE)</f>
        <v>Notes</v>
      </c>
      <c r="F280" s="40" t="str">
        <f>VLOOKUP(34,Textbausteine_Menu[],Hilfsgrössen!$D$2,FALSE)</f>
        <v>GRI</v>
      </c>
      <c r="G280" s="46"/>
      <c r="H280" s="160">
        <v>2004</v>
      </c>
      <c r="I280" s="160">
        <v>2005</v>
      </c>
      <c r="J280" s="160">
        <v>2006</v>
      </c>
      <c r="K280" s="160">
        <v>2007</v>
      </c>
      <c r="L280" s="160">
        <v>2008</v>
      </c>
      <c r="M280" s="160">
        <v>2009</v>
      </c>
      <c r="N280" s="160">
        <v>2010</v>
      </c>
      <c r="O280" s="160">
        <v>2011</v>
      </c>
      <c r="P280" s="160">
        <v>2012</v>
      </c>
      <c r="Q280" s="160">
        <v>2013</v>
      </c>
      <c r="R280" s="160">
        <v>2014</v>
      </c>
      <c r="S280" s="160">
        <v>2015</v>
      </c>
      <c r="T280" s="120">
        <v>2016</v>
      </c>
      <c r="U280" s="252">
        <v>2017</v>
      </c>
      <c r="V280" s="114"/>
      <c r="W280" s="114"/>
      <c r="X280" s="114"/>
      <c r="Y280" s="114"/>
      <c r="Z280" s="114"/>
      <c r="AA280" s="114"/>
      <c r="AB280" s="114"/>
      <c r="AC280" s="114"/>
      <c r="AD280" s="114"/>
      <c r="AE280" s="114"/>
      <c r="AF280" s="114"/>
      <c r="AG280" s="114"/>
      <c r="AH280" s="114"/>
      <c r="AI280" s="114"/>
      <c r="AJ280" s="114"/>
      <c r="AK280" s="114"/>
      <c r="AL280" s="114"/>
      <c r="AM280" s="114"/>
      <c r="AN280" s="114"/>
      <c r="AO280" s="114"/>
      <c r="AP280" s="114"/>
      <c r="AQ280" s="114"/>
      <c r="AR280" s="114"/>
      <c r="AS280" s="114"/>
      <c r="AT280" s="114"/>
      <c r="AU280" s="114"/>
      <c r="AV280" s="114"/>
      <c r="AW280" s="114"/>
      <c r="AX280" s="114"/>
      <c r="AY280" s="114"/>
      <c r="AZ280" s="114"/>
      <c r="BA280" s="114"/>
      <c r="BB280" s="114"/>
      <c r="BC280" s="114"/>
      <c r="BD280" s="114"/>
      <c r="BE280" s="114"/>
      <c r="BF280" s="114"/>
      <c r="BG280" s="114"/>
      <c r="BH280" s="114"/>
      <c r="BI280" s="114"/>
      <c r="BJ280" s="114"/>
      <c r="BK280" s="114"/>
      <c r="BL280" s="114"/>
      <c r="BM280" s="114"/>
      <c r="BN280" s="114"/>
      <c r="BO280" s="114"/>
      <c r="BP280" s="114"/>
      <c r="BQ280" s="114"/>
      <c r="BR280" s="114"/>
      <c r="BS280" s="114"/>
      <c r="BT280" s="114"/>
      <c r="BU280" s="114"/>
      <c r="BV280" s="114"/>
      <c r="BW280" s="114"/>
      <c r="BX280" s="114"/>
      <c r="BY280" s="114"/>
      <c r="BZ280" s="114"/>
      <c r="CA280" s="114"/>
      <c r="CB280" s="114"/>
      <c r="CC280" s="114"/>
      <c r="CD280" s="114"/>
      <c r="CE280" s="114"/>
      <c r="CF280" s="114"/>
      <c r="CG280" s="114"/>
    </row>
    <row r="281" spans="1:85" s="61" customFormat="1" ht="12.65" customHeight="1" x14ac:dyDescent="0.3">
      <c r="A281" s="82"/>
      <c r="B281" s="389"/>
      <c r="C281" s="389"/>
      <c r="D281" s="59"/>
      <c r="E281" s="289"/>
      <c r="F281" s="37"/>
      <c r="G281" s="49"/>
      <c r="H281" s="160"/>
      <c r="I281" s="160"/>
      <c r="J281" s="160"/>
      <c r="K281" s="160"/>
      <c r="L281" s="160"/>
      <c r="M281" s="160"/>
      <c r="N281" s="160"/>
      <c r="O281" s="160"/>
      <c r="P281" s="160"/>
      <c r="Q281" s="160"/>
      <c r="R281" s="160"/>
      <c r="S281" s="160"/>
      <c r="T281" s="120"/>
      <c r="U281" s="252"/>
      <c r="V281" s="114"/>
      <c r="W281" s="114"/>
      <c r="X281" s="114"/>
      <c r="Y281" s="114"/>
      <c r="Z281" s="114"/>
      <c r="AA281" s="114"/>
      <c r="AB281" s="114"/>
      <c r="AC281" s="114"/>
      <c r="AD281" s="114"/>
      <c r="AE281" s="114"/>
      <c r="AF281" s="114"/>
      <c r="AG281" s="114"/>
      <c r="AH281" s="114"/>
      <c r="AI281" s="114"/>
      <c r="AJ281" s="114"/>
      <c r="AK281" s="114"/>
      <c r="AL281" s="114"/>
      <c r="AM281" s="114"/>
      <c r="AN281" s="114"/>
      <c r="AO281" s="114"/>
      <c r="AP281" s="114"/>
      <c r="AQ281" s="114"/>
      <c r="AR281" s="114"/>
      <c r="AS281" s="114"/>
      <c r="AT281" s="114"/>
      <c r="AU281" s="114"/>
      <c r="AV281" s="114"/>
      <c r="AW281" s="114"/>
      <c r="AX281" s="114"/>
      <c r="AY281" s="114"/>
      <c r="AZ281" s="114"/>
      <c r="BA281" s="114"/>
      <c r="BB281" s="114"/>
      <c r="BC281" s="114"/>
      <c r="BD281" s="114"/>
      <c r="BE281" s="114"/>
      <c r="BF281" s="114"/>
      <c r="BG281" s="114"/>
      <c r="BH281" s="114"/>
      <c r="BI281" s="114"/>
      <c r="BJ281" s="114"/>
      <c r="BK281" s="114"/>
      <c r="BL281" s="114"/>
      <c r="BM281" s="114"/>
      <c r="BN281" s="114"/>
      <c r="BO281" s="114"/>
      <c r="BP281" s="114"/>
      <c r="BQ281" s="114"/>
      <c r="BR281" s="114"/>
      <c r="BS281" s="114"/>
      <c r="BT281" s="114"/>
      <c r="BU281" s="114"/>
      <c r="BV281" s="114"/>
      <c r="BW281" s="114"/>
      <c r="BX281" s="114"/>
      <c r="BY281" s="114"/>
      <c r="BZ281" s="114"/>
      <c r="CA281" s="114"/>
      <c r="CB281" s="114"/>
      <c r="CC281" s="114"/>
      <c r="CD281" s="114"/>
      <c r="CE281" s="114"/>
      <c r="CF281" s="114"/>
      <c r="CG281" s="114"/>
    </row>
    <row r="282" spans="1:85" ht="12.65" customHeight="1" x14ac:dyDescent="0.3">
      <c r="C282" s="8"/>
      <c r="D282" s="9"/>
      <c r="G282" s="49"/>
      <c r="U282" s="254"/>
    </row>
    <row r="283" spans="1:85" ht="12.65" customHeight="1" x14ac:dyDescent="0.3">
      <c r="B283" s="8" t="str">
        <f>VLOOKUP(37,Textbausteine_Menu[],Hilfsgrössen!$D$2,FALSE)</f>
        <v>Groupe Suisse</v>
      </c>
      <c r="D283" s="8"/>
      <c r="G283" s="49"/>
      <c r="H283" s="117"/>
      <c r="I283" s="117"/>
      <c r="J283" s="117"/>
      <c r="K283" s="117"/>
      <c r="L283" s="117"/>
      <c r="M283" s="117"/>
      <c r="N283" s="117"/>
      <c r="O283" s="117"/>
      <c r="P283" s="117"/>
      <c r="Q283" s="117"/>
      <c r="R283" s="117"/>
      <c r="S283" s="117"/>
      <c r="T283" s="117"/>
      <c r="U283" s="259"/>
    </row>
    <row r="284" spans="1:85" ht="12.65" customHeight="1" x14ac:dyDescent="0.3">
      <c r="C284" s="18" t="str">
        <f>VLOOKUP(211,Textbausteine_102[],Hilfsgrössen!$D$2,FALSE)</f>
        <v>Loi sur le personnel de la Confédération</v>
      </c>
      <c r="D284" s="18"/>
      <c r="G284" s="49"/>
      <c r="T284" s="117"/>
      <c r="U284" s="259"/>
    </row>
    <row r="285" spans="1:85" ht="12.65" customHeight="1" x14ac:dyDescent="0.3">
      <c r="C285" s="19" t="str">
        <f>VLOOKUP(212,Textbausteine_102[],Hilfsgrössen!$D$2,FALSE)</f>
        <v>CCT Poste</v>
      </c>
      <c r="D285" s="18" t="str">
        <f>VLOOKUP(36,Textbausteine_102[],Hilfsgrössen!$D$2,FALSE)</f>
        <v>% des unités de personnel</v>
      </c>
      <c r="E285" s="289">
        <v>1</v>
      </c>
      <c r="F285" s="37" t="s">
        <v>801</v>
      </c>
      <c r="G285" s="54"/>
      <c r="H285" s="182">
        <v>88.9</v>
      </c>
      <c r="I285" s="182">
        <v>86.6</v>
      </c>
      <c r="J285" s="182">
        <v>80.599999999999994</v>
      </c>
      <c r="K285" s="182">
        <v>74.066146516605684</v>
      </c>
      <c r="L285" s="20">
        <v>71.2</v>
      </c>
      <c r="M285" s="20">
        <v>66.5</v>
      </c>
      <c r="N285" s="140">
        <v>65.400000000000006</v>
      </c>
      <c r="O285" s="100">
        <v>64.3</v>
      </c>
      <c r="P285" s="100">
        <v>62.7</v>
      </c>
      <c r="Q285" s="100">
        <v>62.8</v>
      </c>
      <c r="R285" s="100">
        <v>61.1</v>
      </c>
      <c r="S285" s="100">
        <v>61.5</v>
      </c>
      <c r="T285" s="140">
        <v>53.8</v>
      </c>
      <c r="U285" s="260">
        <v>53.2</v>
      </c>
    </row>
    <row r="286" spans="1:85" ht="12.65" customHeight="1" x14ac:dyDescent="0.3">
      <c r="C286" s="18" t="str">
        <f>VLOOKUP(213,Textbausteine_102[],Hilfsgrössen!$D$2,FALSE)</f>
        <v>Code des obligations</v>
      </c>
      <c r="D286" s="18"/>
      <c r="G286" s="54"/>
      <c r="H286" s="182"/>
      <c r="I286" s="182"/>
      <c r="J286" s="182"/>
      <c r="K286" s="182"/>
      <c r="L286" s="20"/>
      <c r="M286" s="20"/>
      <c r="N286" s="166"/>
      <c r="T286" s="140"/>
      <c r="U286" s="260"/>
    </row>
    <row r="287" spans="1:85" ht="12.65" customHeight="1" x14ac:dyDescent="0.3">
      <c r="C287" s="15" t="str">
        <f>VLOOKUP(214,Textbausteine_102[],Hilfsgrössen!$D$2,FALSE)</f>
        <v>CCT Auxiliaires</v>
      </c>
      <c r="D287" s="18" t="str">
        <f>VLOOKUP(36,Textbausteine_102[],Hilfsgrössen!$D$2,FALSE)</f>
        <v>% des unités de personnel</v>
      </c>
      <c r="E287" s="289" t="s">
        <v>790</v>
      </c>
      <c r="F287" s="37" t="s">
        <v>801</v>
      </c>
      <c r="G287" s="54"/>
      <c r="H287" s="182">
        <v>2.1</v>
      </c>
      <c r="I287" s="182">
        <v>2.2999999999999998</v>
      </c>
      <c r="J287" s="182">
        <v>1.9</v>
      </c>
      <c r="K287" s="182">
        <v>1.8550484476052385</v>
      </c>
      <c r="L287" s="20">
        <v>2.2000000000000002</v>
      </c>
      <c r="M287" s="20">
        <v>1.5</v>
      </c>
      <c r="N287" s="166">
        <v>1.673</v>
      </c>
      <c r="O287" s="100">
        <v>2.9</v>
      </c>
      <c r="P287" s="100">
        <v>3.04</v>
      </c>
      <c r="Q287" s="100">
        <v>2.96435438158939</v>
      </c>
      <c r="R287" s="100">
        <v>2.7</v>
      </c>
      <c r="S287" s="100">
        <v>2.2999999999999998</v>
      </c>
      <c r="T287" s="140">
        <v>0.4</v>
      </c>
      <c r="U287" s="260">
        <v>0.4</v>
      </c>
    </row>
    <row r="288" spans="1:85" ht="12.65" customHeight="1" x14ac:dyDescent="0.3">
      <c r="C288" s="15" t="str">
        <f>VLOOKUP(215,Textbausteine_102[],Hilfsgrössen!$D$2,FALSE)</f>
        <v>CCT sociétés du groupe</v>
      </c>
      <c r="D288" s="18" t="str">
        <f>VLOOKUP(36,Textbausteine_102[],Hilfsgrössen!$D$2,FALSE)</f>
        <v>% des unités de personnel</v>
      </c>
      <c r="E288" s="289" t="s">
        <v>792</v>
      </c>
      <c r="F288" s="37" t="s">
        <v>801</v>
      </c>
      <c r="H288" s="182">
        <v>0</v>
      </c>
      <c r="I288" s="182">
        <v>0.1</v>
      </c>
      <c r="J288" s="182">
        <v>1.8</v>
      </c>
      <c r="K288" s="182">
        <v>3.1715344426799232</v>
      </c>
      <c r="L288" s="20">
        <v>5.5</v>
      </c>
      <c r="M288" s="20">
        <v>7.3</v>
      </c>
      <c r="N288" s="100">
        <v>9.93</v>
      </c>
      <c r="O288" s="100">
        <v>10</v>
      </c>
      <c r="P288" s="100">
        <v>9.8569999999999993</v>
      </c>
      <c r="Q288" s="100">
        <v>9.4610747080829807</v>
      </c>
      <c r="R288" s="100">
        <v>10.7</v>
      </c>
      <c r="S288" s="100">
        <v>10.6</v>
      </c>
      <c r="T288" s="140">
        <v>17.100000000000001</v>
      </c>
      <c r="U288" s="260">
        <v>17.8</v>
      </c>
    </row>
    <row r="289" spans="1:85" ht="12.65" customHeight="1" x14ac:dyDescent="0.3">
      <c r="C289" s="15" t="str">
        <f>VLOOKUP(216,Textbausteine_102[],Hilfsgrössen!$D$2,FALSE)</f>
        <v>Poste CH SA</v>
      </c>
      <c r="D289" s="18" t="str">
        <f>VLOOKUP(36,Textbausteine_102[],Hilfsgrössen!$D$2,FALSE)</f>
        <v>% des unités de personnel</v>
      </c>
      <c r="E289" s="289">
        <v>1</v>
      </c>
      <c r="F289" s="37" t="s">
        <v>801</v>
      </c>
      <c r="H289" s="278">
        <v>1.2</v>
      </c>
      <c r="I289" s="278">
        <v>1.3</v>
      </c>
      <c r="J289" s="343">
        <v>1.3</v>
      </c>
      <c r="K289" s="343">
        <v>0.9942691431333287</v>
      </c>
      <c r="L289" s="16">
        <v>1.1000000000000001</v>
      </c>
      <c r="M289" s="16">
        <v>0.9</v>
      </c>
      <c r="N289" s="115">
        <v>0.9</v>
      </c>
      <c r="O289" s="115">
        <v>0.9</v>
      </c>
      <c r="P289" s="115">
        <v>1</v>
      </c>
      <c r="Q289" s="115">
        <v>0.67205740089936905</v>
      </c>
      <c r="R289" s="115">
        <v>0.8</v>
      </c>
      <c r="S289" s="115">
        <v>1</v>
      </c>
      <c r="T289" s="339">
        <v>4.4000000000000004</v>
      </c>
      <c r="U289" s="344">
        <v>4.5999999999999996</v>
      </c>
      <c r="V289" s="11"/>
    </row>
    <row r="290" spans="1:85" ht="12.65" customHeight="1" x14ac:dyDescent="0.3">
      <c r="C290" s="15" t="str">
        <f>VLOOKUP(217,Textbausteine_102[],Hilfsgrössen!$D$2,FALSE)</f>
        <v>PostFinance SA</v>
      </c>
      <c r="D290" s="18" t="str">
        <f>VLOOKUP(36,Textbausteine_102[],Hilfsgrössen!$D$2,FALSE)</f>
        <v>% des unités de personnel</v>
      </c>
      <c r="E290" s="289">
        <v>3</v>
      </c>
      <c r="F290" s="37" t="s">
        <v>801</v>
      </c>
      <c r="H290" s="345" t="s">
        <v>1595</v>
      </c>
      <c r="I290" s="345" t="s">
        <v>1595</v>
      </c>
      <c r="J290" s="345" t="s">
        <v>1595</v>
      </c>
      <c r="K290" s="345" t="s">
        <v>1595</v>
      </c>
      <c r="L290" s="345" t="s">
        <v>1595</v>
      </c>
      <c r="M290" s="345" t="s">
        <v>1595</v>
      </c>
      <c r="N290" s="277" t="s">
        <v>1595</v>
      </c>
      <c r="O290" s="277" t="s">
        <v>1595</v>
      </c>
      <c r="P290" s="346" t="s">
        <v>1595</v>
      </c>
      <c r="Q290" s="115">
        <v>0.48265351623020802</v>
      </c>
      <c r="R290" s="115">
        <v>0.5</v>
      </c>
      <c r="S290" s="115">
        <v>0.5</v>
      </c>
      <c r="T290" s="339">
        <v>2.1</v>
      </c>
      <c r="U290" s="344">
        <v>2</v>
      </c>
      <c r="V290" s="11"/>
    </row>
    <row r="291" spans="1:85" ht="12.65" customHeight="1" x14ac:dyDescent="0.3">
      <c r="C291" s="15" t="str">
        <f>VLOOKUP(218,Textbausteine_102[],Hilfsgrössen!$D$2,FALSE)</f>
        <v>Sociétés du groupe en Suisse</v>
      </c>
      <c r="D291" s="18" t="str">
        <f>VLOOKUP(36,Textbausteine_102[],Hilfsgrössen!$D$2,FALSE)</f>
        <v>% des unités de personnel</v>
      </c>
      <c r="E291" s="289">
        <v>1</v>
      </c>
      <c r="F291" s="37" t="s">
        <v>801</v>
      </c>
      <c r="H291" s="278">
        <v>5.0999999999999996</v>
      </c>
      <c r="I291" s="278">
        <v>6.4</v>
      </c>
      <c r="J291" s="343">
        <v>6.4</v>
      </c>
      <c r="K291" s="343">
        <v>7.1</v>
      </c>
      <c r="L291" s="16">
        <v>5.8</v>
      </c>
      <c r="M291" s="16">
        <v>8.1999999999999993</v>
      </c>
      <c r="N291" s="115">
        <v>6</v>
      </c>
      <c r="O291" s="115">
        <v>6.9</v>
      </c>
      <c r="P291" s="115">
        <v>8.6</v>
      </c>
      <c r="Q291" s="115">
        <v>8.2669597173411908</v>
      </c>
      <c r="R291" s="115">
        <v>7.2</v>
      </c>
      <c r="S291" s="115">
        <v>7.2</v>
      </c>
      <c r="T291" s="339">
        <v>5.5</v>
      </c>
      <c r="U291" s="344">
        <v>5.4</v>
      </c>
      <c r="V291" s="11"/>
    </row>
    <row r="292" spans="1:85" ht="12.65" customHeight="1" x14ac:dyDescent="0.3">
      <c r="C292" s="9" t="str">
        <f>VLOOKUP(219,Textbausteine_102[],Hilfsgrössen!$D$2,FALSE)</f>
        <v>Droit du travail étranger</v>
      </c>
      <c r="D292" s="18" t="str">
        <f>VLOOKUP(36,Textbausteine_102[],Hilfsgrössen!$D$2,FALSE)</f>
        <v>% des unités de personnel</v>
      </c>
      <c r="E292" s="289">
        <v>1</v>
      </c>
      <c r="F292" s="37" t="s">
        <v>801</v>
      </c>
      <c r="H292" s="182">
        <v>2.7</v>
      </c>
      <c r="I292" s="182">
        <v>3.3</v>
      </c>
      <c r="J292" s="182">
        <v>8</v>
      </c>
      <c r="K292" s="182">
        <v>12.690740868604571</v>
      </c>
      <c r="L292" s="20">
        <v>14.2</v>
      </c>
      <c r="M292" s="20">
        <v>15.6</v>
      </c>
      <c r="N292" s="100">
        <v>16.100000000000001</v>
      </c>
      <c r="O292" s="100">
        <v>15</v>
      </c>
      <c r="P292" s="100">
        <v>14.8</v>
      </c>
      <c r="Q292" s="100">
        <v>15.4</v>
      </c>
      <c r="R292" s="100">
        <v>17.100000000000001</v>
      </c>
      <c r="S292" s="100">
        <v>16.899999999999999</v>
      </c>
      <c r="T292" s="140">
        <v>16.7</v>
      </c>
      <c r="U292" s="260">
        <v>16.600000000000001</v>
      </c>
    </row>
    <row r="294" spans="1:85" ht="12.65" customHeight="1" x14ac:dyDescent="0.3">
      <c r="B294" s="26" t="str">
        <f>VLOOKUP(291,Textbausteine_102[],Hilfsgrössen!$D$2,FALSE)</f>
        <v>1) Une unité de personnel correspond à un poste à plein temps.</v>
      </c>
    </row>
    <row r="295" spans="1:85" ht="12.65" customHeight="1" x14ac:dyDescent="0.3">
      <c r="B295" s="26" t="str">
        <f>VLOOKUP(292,Textbausteine_102[],Hilfsgrössen!$D$2,FALSE)</f>
        <v>2) Poste CH SA sans les sociétés du groupe en Suisse et à l'étranger.</v>
      </c>
    </row>
    <row r="296" spans="1:85" ht="12.65" customHeight="1" x14ac:dyDescent="0.3">
      <c r="B296" s="26" t="str">
        <f>VLOOKUP(293,Textbausteine_102[],Hilfsgrössen!$D$2,FALSE)</f>
        <v>3) PostFinance SA, y compris Débiteurs Services SA et Twint SA.</v>
      </c>
    </row>
    <row r="297" spans="1:85" ht="12.65" customHeight="1" x14ac:dyDescent="0.3">
      <c r="B297" s="26" t="str">
        <f>VLOOKUP(294,Textbausteine_102[],Hilfsgrössen!$D$2,FALSE)</f>
        <v>4) CarPostal Suisse SA, PostFinance SA, Swiss Post Solutions SA, SecurePost SA, Poste Immobilier Management et Services SA, Post Company Cars SA, Presto Presse-Vertriebs AG.</v>
      </c>
    </row>
    <row r="298" spans="1:85" ht="12.65" customHeight="1" x14ac:dyDescent="0.3">
      <c r="B298" s="26" t="str">
        <f>VLOOKUP(295,Textbausteine_102[],Hilfsgrössen!$D$2,FALSE)</f>
        <v>5) Pour le rapport de l'exercice 2013, les chiffres correspondants ont été corrigés rétroactivement jusqu'en 2010, car Presto Presse-Vertriebs AG figurait jusqu'alors sous CCT Auxiliaires.</v>
      </c>
    </row>
    <row r="299" spans="1:85" ht="12.65" customHeight="1" x14ac:dyDescent="0.3">
      <c r="B299" s="26"/>
    </row>
    <row r="300" spans="1:85" ht="12.65" customHeight="1" x14ac:dyDescent="0.3">
      <c r="B300" s="26"/>
      <c r="E300" s="290"/>
      <c r="F300" s="40"/>
    </row>
    <row r="301" spans="1:85" ht="12.65" customHeight="1" x14ac:dyDescent="0.3">
      <c r="E301" s="290"/>
      <c r="F301" s="40"/>
      <c r="G301" s="48"/>
    </row>
    <row r="302" spans="1:85" s="152" customFormat="1" ht="12.65" customHeight="1" x14ac:dyDescent="0.3">
      <c r="A302" s="62" t="s">
        <v>900</v>
      </c>
      <c r="B302" s="385" t="str">
        <f>$C$16</f>
        <v>Chaîne de livraison</v>
      </c>
      <c r="C302" s="385"/>
      <c r="D302" s="59" t="str">
        <f>VLOOKUP(32,Textbausteine_Menu[],Hilfsgrössen!$D$2,FALSE)</f>
        <v>Unité</v>
      </c>
      <c r="E302" s="292" t="str">
        <f>VLOOKUP(33,Textbausteine_Menu[],Hilfsgrössen!$D$2,FALSE)</f>
        <v>Notes</v>
      </c>
      <c r="F302" s="40" t="str">
        <f>VLOOKUP(34,Textbausteine_Menu[],Hilfsgrössen!$D$2,FALSE)</f>
        <v>GRI</v>
      </c>
      <c r="G302" s="48"/>
      <c r="H302" s="160">
        <v>2004</v>
      </c>
      <c r="I302" s="160">
        <v>2005</v>
      </c>
      <c r="J302" s="160">
        <v>2006</v>
      </c>
      <c r="K302" s="160">
        <v>2007</v>
      </c>
      <c r="L302" s="160">
        <v>2008</v>
      </c>
      <c r="M302" s="160">
        <v>2009</v>
      </c>
      <c r="N302" s="160">
        <v>2010</v>
      </c>
      <c r="O302" s="160">
        <v>2011</v>
      </c>
      <c r="P302" s="160">
        <v>2012</v>
      </c>
      <c r="Q302" s="160">
        <v>2013</v>
      </c>
      <c r="R302" s="160">
        <v>2014</v>
      </c>
      <c r="S302" s="160">
        <v>2015</v>
      </c>
      <c r="T302" s="120">
        <v>2016</v>
      </c>
      <c r="U302" s="252" t="s">
        <v>1597</v>
      </c>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c r="BE302" s="113"/>
      <c r="BF302" s="113"/>
      <c r="BG302" s="113"/>
      <c r="BH302" s="113"/>
      <c r="BI302" s="113"/>
      <c r="BJ302" s="113"/>
      <c r="BK302" s="113"/>
      <c r="BL302" s="113"/>
      <c r="BM302" s="113"/>
      <c r="BN302" s="113"/>
      <c r="BO302" s="113"/>
      <c r="BP302" s="113"/>
      <c r="BQ302" s="113"/>
      <c r="BR302" s="113"/>
      <c r="BS302" s="113"/>
      <c r="BT302" s="113"/>
      <c r="BU302" s="113"/>
      <c r="BV302" s="113"/>
      <c r="BW302" s="113"/>
      <c r="BX302" s="113"/>
      <c r="BY302" s="113"/>
      <c r="BZ302" s="113"/>
      <c r="CA302" s="113"/>
      <c r="CB302" s="113"/>
      <c r="CC302" s="113"/>
      <c r="CD302" s="113"/>
      <c r="CE302" s="113"/>
      <c r="CF302" s="113"/>
      <c r="CG302" s="113"/>
    </row>
    <row r="303" spans="1:85" s="61" customFormat="1" ht="12.65" customHeight="1" x14ac:dyDescent="0.3">
      <c r="A303" s="82"/>
      <c r="B303" s="385"/>
      <c r="C303" s="385"/>
      <c r="D303" s="60"/>
      <c r="E303" s="288"/>
      <c r="F303" s="39"/>
      <c r="G303" s="49"/>
      <c r="H303" s="161"/>
      <c r="I303" s="161"/>
      <c r="J303" s="161"/>
      <c r="K303" s="161"/>
      <c r="L303" s="161"/>
      <c r="M303" s="161"/>
      <c r="N303" s="161"/>
      <c r="O303" s="161"/>
      <c r="P303" s="161"/>
      <c r="Q303" s="161"/>
      <c r="R303" s="161"/>
      <c r="S303" s="161"/>
      <c r="T303" s="119"/>
      <c r="U303" s="253"/>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c r="AV303" s="114"/>
      <c r="AW303" s="114"/>
      <c r="AX303" s="114"/>
      <c r="AY303" s="114"/>
      <c r="AZ303" s="114"/>
      <c r="BA303" s="114"/>
      <c r="BB303" s="114"/>
      <c r="BC303" s="114"/>
      <c r="BD303" s="114"/>
      <c r="BE303" s="114"/>
      <c r="BF303" s="114"/>
      <c r="BG303" s="114"/>
      <c r="BH303" s="114"/>
      <c r="BI303" s="114"/>
      <c r="BJ303" s="114"/>
      <c r="BK303" s="114"/>
      <c r="BL303" s="114"/>
      <c r="BM303" s="114"/>
      <c r="BN303" s="114"/>
      <c r="BO303" s="114"/>
      <c r="BP303" s="114"/>
      <c r="BQ303" s="114"/>
      <c r="BR303" s="114"/>
      <c r="BS303" s="114"/>
      <c r="BT303" s="114"/>
      <c r="BU303" s="114"/>
      <c r="BV303" s="114"/>
      <c r="BW303" s="114"/>
      <c r="BX303" s="114"/>
      <c r="BY303" s="114"/>
      <c r="BZ303" s="114"/>
      <c r="CA303" s="114"/>
      <c r="CB303" s="114"/>
      <c r="CC303" s="114"/>
      <c r="CD303" s="114"/>
      <c r="CE303" s="114"/>
      <c r="CF303" s="114"/>
      <c r="CG303" s="114"/>
    </row>
    <row r="304" spans="1:85" ht="12.65" customHeight="1" x14ac:dyDescent="0.3">
      <c r="B304" s="8"/>
      <c r="D304" s="9"/>
      <c r="E304" s="293"/>
      <c r="F304" s="11"/>
      <c r="G304" s="46"/>
      <c r="U304" s="254"/>
    </row>
    <row r="305" spans="1:85" ht="12.65" customHeight="1" x14ac:dyDescent="0.3">
      <c r="B305" s="8" t="str">
        <f>VLOOKUP(37,Textbausteine_Menu[],Hilfsgrössen!$D$2,FALSE)</f>
        <v>Groupe Suisse</v>
      </c>
      <c r="C305" s="8"/>
      <c r="D305" s="67"/>
      <c r="E305" s="293"/>
      <c r="F305" s="11"/>
      <c r="T305" s="107"/>
      <c r="U305" s="255"/>
    </row>
    <row r="306" spans="1:85" ht="12.65" customHeight="1" x14ac:dyDescent="0.3">
      <c r="C306" s="18" t="str">
        <f>VLOOKUP(221,Textbausteine_102[],Hilfsgrössen!$D$2,FALSE)</f>
        <v>Nombre de fournisseurs Suisse</v>
      </c>
      <c r="D306" s="18" t="str">
        <f>VLOOKUP(28,Textbausteine_102[],Hilfsgrössen!$D$2,FALSE)</f>
        <v>Nombre</v>
      </c>
      <c r="E306" s="293" t="s">
        <v>2156</v>
      </c>
      <c r="F306" s="11" t="s">
        <v>1431</v>
      </c>
      <c r="H306" s="168" t="s">
        <v>1595</v>
      </c>
      <c r="I306" s="168" t="s">
        <v>1595</v>
      </c>
      <c r="J306" s="168" t="s">
        <v>1595</v>
      </c>
      <c r="K306" s="168" t="s">
        <v>1595</v>
      </c>
      <c r="L306" s="168" t="s">
        <v>1595</v>
      </c>
      <c r="M306" s="168" t="s">
        <v>1595</v>
      </c>
      <c r="N306" s="138" t="s">
        <v>1595</v>
      </c>
      <c r="O306" s="100">
        <v>52154</v>
      </c>
      <c r="P306" s="100">
        <v>50306</v>
      </c>
      <c r="Q306" s="100">
        <v>48250</v>
      </c>
      <c r="R306" s="100">
        <v>45029</v>
      </c>
      <c r="S306" s="100">
        <v>47173</v>
      </c>
      <c r="T306" s="107">
        <v>43080</v>
      </c>
      <c r="U306" s="255">
        <v>40575</v>
      </c>
    </row>
    <row r="307" spans="1:85" ht="12.65" customHeight="1" x14ac:dyDescent="0.3">
      <c r="C307" s="18" t="str">
        <f>VLOOKUP(222,Textbausteine_102[],Hilfsgrössen!$D$2,FALSE)</f>
        <v>Nombre de fournisseurs Etranger</v>
      </c>
      <c r="D307" s="18" t="str">
        <f>VLOOKUP(28,Textbausteine_102[],Hilfsgrössen!$D$2,FALSE)</f>
        <v>Nombre</v>
      </c>
      <c r="E307" s="293"/>
      <c r="F307" s="11" t="s">
        <v>1431</v>
      </c>
      <c r="H307" s="168" t="s">
        <v>1595</v>
      </c>
      <c r="I307" s="168" t="s">
        <v>1595</v>
      </c>
      <c r="J307" s="168" t="s">
        <v>1595</v>
      </c>
      <c r="K307" s="168" t="s">
        <v>1595</v>
      </c>
      <c r="L307" s="168" t="s">
        <v>1595</v>
      </c>
      <c r="M307" s="168" t="s">
        <v>1595</v>
      </c>
      <c r="N307" s="138" t="s">
        <v>1595</v>
      </c>
      <c r="O307" s="100">
        <v>342</v>
      </c>
      <c r="P307" s="100">
        <v>339</v>
      </c>
      <c r="Q307" s="100">
        <v>340</v>
      </c>
      <c r="R307" s="100">
        <v>492</v>
      </c>
      <c r="S307" s="100">
        <v>2246</v>
      </c>
      <c r="T307" s="107">
        <v>2337</v>
      </c>
      <c r="U307" s="255">
        <v>2196</v>
      </c>
    </row>
    <row r="308" spans="1:85" ht="12.65" customHeight="1" x14ac:dyDescent="0.3">
      <c r="C308" s="18" t="str">
        <f>VLOOKUP(223,Textbausteine_102[],Hilfsgrössen!$D$2,FALSE)</f>
        <v>Volume d'achats du groupe</v>
      </c>
      <c r="D308" s="67" t="str">
        <f>VLOOKUP(22,Textbausteine_102[],Hilfsgrössen!$D$2,FALSE)</f>
        <v>Millions de CHF</v>
      </c>
      <c r="E308" s="296"/>
      <c r="F308" s="11" t="s">
        <v>1431</v>
      </c>
      <c r="H308" s="168" t="s">
        <v>1595</v>
      </c>
      <c r="I308" s="168" t="s">
        <v>1595</v>
      </c>
      <c r="J308" s="168" t="s">
        <v>1595</v>
      </c>
      <c r="K308" s="168" t="s">
        <v>1595</v>
      </c>
      <c r="L308" s="168" t="s">
        <v>1595</v>
      </c>
      <c r="M308" s="168" t="s">
        <v>1595</v>
      </c>
      <c r="N308" s="20">
        <v>3082.31781</v>
      </c>
      <c r="O308" s="100">
        <v>3282.8308080000002</v>
      </c>
      <c r="P308" s="100">
        <v>3366.2399120199998</v>
      </c>
      <c r="Q308" s="100">
        <v>3379.8509565500003</v>
      </c>
      <c r="R308" s="100">
        <v>3399.09152606</v>
      </c>
      <c r="S308" s="100">
        <v>4752</v>
      </c>
      <c r="T308" s="107">
        <v>2961</v>
      </c>
      <c r="U308" s="255">
        <v>2947</v>
      </c>
    </row>
    <row r="309" spans="1:85" ht="12.65" customHeight="1" x14ac:dyDescent="0.3">
      <c r="C309" s="15"/>
      <c r="H309" s="162"/>
      <c r="I309" s="162"/>
      <c r="J309" s="162"/>
      <c r="K309" s="162"/>
      <c r="L309" s="162"/>
      <c r="M309" s="162"/>
      <c r="N309" s="20"/>
      <c r="O309" s="20"/>
      <c r="P309" s="107"/>
      <c r="Q309" s="163"/>
      <c r="R309" s="162"/>
      <c r="S309" s="162"/>
      <c r="T309" s="163"/>
      <c r="U309" s="163"/>
    </row>
    <row r="310" spans="1:85" ht="12.65" customHeight="1" x14ac:dyDescent="0.3">
      <c r="B310" s="26" t="str">
        <f>VLOOKUP(301,Textbausteine_102[],Hilfsgrössen!$D$2,FALSE)</f>
        <v>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v>
      </c>
    </row>
    <row r="311" spans="1:85" ht="12.65" customHeight="1" x14ac:dyDescent="0.3">
      <c r="B311" s="26"/>
    </row>
    <row r="312" spans="1:85" ht="12.65" customHeight="1" x14ac:dyDescent="0.3">
      <c r="B312" s="26"/>
    </row>
    <row r="313" spans="1:85" ht="12.65" customHeight="1" x14ac:dyDescent="0.3">
      <c r="C313" s="15"/>
      <c r="H313" s="162"/>
      <c r="I313" s="162"/>
      <c r="J313" s="162"/>
      <c r="K313" s="162"/>
      <c r="L313" s="162"/>
      <c r="M313" s="162"/>
      <c r="N313" s="20"/>
      <c r="O313" s="20"/>
      <c r="P313" s="107"/>
      <c r="Q313" s="163"/>
      <c r="R313" s="162"/>
      <c r="S313" s="162"/>
      <c r="T313" s="163"/>
      <c r="U313" s="163"/>
    </row>
    <row r="314" spans="1:85" s="152" customFormat="1" ht="12.65" customHeight="1" x14ac:dyDescent="0.3">
      <c r="A314" s="62" t="s">
        <v>900</v>
      </c>
      <c r="B314" s="385" t="str">
        <f>$C$17</f>
        <v>Satisfaction des clients</v>
      </c>
      <c r="C314" s="385"/>
      <c r="D314" s="59" t="str">
        <f>VLOOKUP(32,Textbausteine_Menu[],Hilfsgrössen!$D$2,FALSE)</f>
        <v>Unité</v>
      </c>
      <c r="E314" s="292" t="str">
        <f>VLOOKUP(33,Textbausteine_Menu[],Hilfsgrössen!$D$2,FALSE)</f>
        <v>Notes</v>
      </c>
      <c r="F314" s="40" t="str">
        <f>VLOOKUP(34,Textbausteine_Menu[],Hilfsgrössen!$D$2,FALSE)</f>
        <v>GRI</v>
      </c>
      <c r="G314" s="48"/>
      <c r="H314" s="160">
        <v>2004</v>
      </c>
      <c r="I314" s="160">
        <v>2005</v>
      </c>
      <c r="J314" s="160">
        <v>2006</v>
      </c>
      <c r="K314" s="160">
        <v>2007</v>
      </c>
      <c r="L314" s="160">
        <v>2008</v>
      </c>
      <c r="M314" s="160">
        <v>2009</v>
      </c>
      <c r="N314" s="160">
        <v>2010</v>
      </c>
      <c r="O314" s="160">
        <v>2011</v>
      </c>
      <c r="P314" s="160">
        <v>2012</v>
      </c>
      <c r="Q314" s="160">
        <v>2013</v>
      </c>
      <c r="R314" s="160">
        <v>2014</v>
      </c>
      <c r="S314" s="160">
        <v>2015</v>
      </c>
      <c r="T314" s="120">
        <v>2016</v>
      </c>
      <c r="U314" s="252">
        <v>2017</v>
      </c>
      <c r="V314" s="113"/>
      <c r="W314" s="113"/>
      <c r="X314" s="113"/>
      <c r="Y314" s="113"/>
      <c r="Z314" s="113"/>
      <c r="AA314" s="113"/>
      <c r="AB314" s="113"/>
      <c r="AC314" s="113"/>
      <c r="AD314" s="113"/>
      <c r="AE314" s="113"/>
      <c r="AF314" s="113"/>
      <c r="AG314" s="113"/>
      <c r="AH314" s="113"/>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c r="BE314" s="113"/>
      <c r="BF314" s="113"/>
      <c r="BG314" s="113"/>
      <c r="BH314" s="113"/>
      <c r="BI314" s="113"/>
      <c r="BJ314" s="113"/>
      <c r="BK314" s="113"/>
      <c r="BL314" s="113"/>
      <c r="BM314" s="113"/>
      <c r="BN314" s="113"/>
      <c r="BO314" s="113"/>
      <c r="BP314" s="113"/>
      <c r="BQ314" s="113"/>
      <c r="BR314" s="113"/>
      <c r="BS314" s="113"/>
      <c r="BT314" s="113"/>
      <c r="BU314" s="113"/>
      <c r="BV314" s="113"/>
      <c r="BW314" s="113"/>
      <c r="BX314" s="113"/>
      <c r="BY314" s="113"/>
      <c r="BZ314" s="113"/>
      <c r="CA314" s="113"/>
      <c r="CB314" s="113"/>
      <c r="CC314" s="113"/>
      <c r="CD314" s="113"/>
      <c r="CE314" s="113"/>
      <c r="CF314" s="113"/>
      <c r="CG314" s="113"/>
    </row>
    <row r="315" spans="1:85" s="61" customFormat="1" ht="12.65" customHeight="1" x14ac:dyDescent="0.3">
      <c r="A315" s="82"/>
      <c r="B315" s="385"/>
      <c r="C315" s="385"/>
      <c r="D315" s="60"/>
      <c r="E315" s="288"/>
      <c r="F315" s="39"/>
      <c r="G315" s="49"/>
      <c r="H315" s="161"/>
      <c r="I315" s="161"/>
      <c r="J315" s="161"/>
      <c r="K315" s="161"/>
      <c r="L315" s="161"/>
      <c r="M315" s="161"/>
      <c r="N315" s="161"/>
      <c r="O315" s="161"/>
      <c r="P315" s="161"/>
      <c r="Q315" s="161"/>
      <c r="R315" s="161"/>
      <c r="S315" s="161"/>
      <c r="T315" s="119"/>
      <c r="U315" s="253"/>
      <c r="V315" s="114"/>
      <c r="W315" s="114"/>
      <c r="X315" s="114"/>
      <c r="Y315" s="114"/>
      <c r="Z315" s="114"/>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c r="AV315" s="114"/>
      <c r="AW315" s="114"/>
      <c r="AX315" s="114"/>
      <c r="AY315" s="114"/>
      <c r="AZ315" s="114"/>
      <c r="BA315" s="114"/>
      <c r="BB315" s="114"/>
      <c r="BC315" s="114"/>
      <c r="BD315" s="114"/>
      <c r="BE315" s="114"/>
      <c r="BF315" s="114"/>
      <c r="BG315" s="114"/>
      <c r="BH315" s="114"/>
      <c r="BI315" s="114"/>
      <c r="BJ315" s="114"/>
      <c r="BK315" s="114"/>
      <c r="BL315" s="114"/>
      <c r="BM315" s="114"/>
      <c r="BN315" s="114"/>
      <c r="BO315" s="114"/>
      <c r="BP315" s="114"/>
      <c r="BQ315" s="114"/>
      <c r="BR315" s="114"/>
      <c r="BS315" s="114"/>
      <c r="BT315" s="114"/>
      <c r="BU315" s="114"/>
      <c r="BV315" s="114"/>
      <c r="BW315" s="114"/>
      <c r="BX315" s="114"/>
      <c r="BY315" s="114"/>
      <c r="BZ315" s="114"/>
      <c r="CA315" s="114"/>
      <c r="CB315" s="114"/>
      <c r="CC315" s="114"/>
      <c r="CD315" s="114"/>
      <c r="CE315" s="114"/>
      <c r="CF315" s="114"/>
      <c r="CG315" s="114"/>
    </row>
    <row r="316" spans="1:85" ht="12.65" customHeight="1" x14ac:dyDescent="0.3">
      <c r="B316" s="8"/>
      <c r="D316" s="9"/>
      <c r="E316" s="293"/>
      <c r="F316" s="11"/>
      <c r="G316" s="46"/>
      <c r="T316" s="119"/>
      <c r="U316" s="253"/>
    </row>
    <row r="317" spans="1:85" ht="12.65" customHeight="1" x14ac:dyDescent="0.3">
      <c r="B317" s="8" t="str">
        <f>VLOOKUP(231,Textbausteine_102[],Hilfsgrössen!$D$2,FALSE)</f>
        <v>Clients privés</v>
      </c>
      <c r="D317" s="67"/>
      <c r="E317" s="293"/>
      <c r="F317" s="11"/>
      <c r="T317" s="119"/>
      <c r="U317" s="253"/>
    </row>
    <row r="318" spans="1:85" ht="12.65" customHeight="1" x14ac:dyDescent="0.3">
      <c r="B318" s="8"/>
      <c r="C318" s="9" t="str">
        <f>VLOOKUP(47,Textbausteine_Menu[],Hilfsgrössen!$D$2,FALSE)</f>
        <v>RéseauPostal</v>
      </c>
      <c r="D318" s="67"/>
      <c r="E318" s="293"/>
      <c r="F318" s="11"/>
      <c r="T318" s="119"/>
      <c r="U318" s="253"/>
    </row>
    <row r="319" spans="1:85" ht="12.65" customHeight="1" x14ac:dyDescent="0.3">
      <c r="C319" s="15" t="str">
        <f>VLOOKUP(231,Textbausteine_102[],Hilfsgrössen!$D$2,FALSE)</f>
        <v>Clients privés</v>
      </c>
      <c r="D319" s="1" t="str">
        <f>VLOOKUP(38,Textbausteine_102[],Hilfsgrössen!$D$2,FALSE)</f>
        <v>Indice</v>
      </c>
      <c r="E319" s="289">
        <v>1</v>
      </c>
      <c r="F319" s="37" t="s">
        <v>1527</v>
      </c>
      <c r="H319" s="162">
        <v>84</v>
      </c>
      <c r="I319" s="162">
        <v>86</v>
      </c>
      <c r="J319" s="162">
        <v>87</v>
      </c>
      <c r="K319" s="162">
        <v>88</v>
      </c>
      <c r="L319" s="162">
        <v>86</v>
      </c>
      <c r="M319" s="162">
        <v>87</v>
      </c>
      <c r="N319" s="20">
        <v>87</v>
      </c>
      <c r="O319" s="20">
        <v>87</v>
      </c>
      <c r="P319" s="107">
        <v>86</v>
      </c>
      <c r="Q319" s="163">
        <v>86</v>
      </c>
      <c r="R319" s="162">
        <v>86</v>
      </c>
      <c r="S319" s="162">
        <v>87</v>
      </c>
      <c r="T319" s="119">
        <v>86</v>
      </c>
      <c r="U319" s="253">
        <v>88</v>
      </c>
      <c r="V319" s="11"/>
    </row>
    <row r="320" spans="1:85" ht="12.65" customHeight="1" x14ac:dyDescent="0.3">
      <c r="C320" s="15" t="str">
        <f>VLOOKUP(232,Textbausteine_102[],Hilfsgrössen!$D$2,FALSE)</f>
        <v>Petites et moyennes entreprises</v>
      </c>
      <c r="D320" s="1" t="str">
        <f>VLOOKUP(38,Textbausteine_102[],Hilfsgrössen!$D$2,FALSE)</f>
        <v>Indice</v>
      </c>
      <c r="E320" s="289">
        <v>1</v>
      </c>
      <c r="F320" s="37" t="s">
        <v>1527</v>
      </c>
      <c r="H320" s="162">
        <v>79</v>
      </c>
      <c r="I320" s="162">
        <v>80</v>
      </c>
      <c r="J320" s="162">
        <v>81</v>
      </c>
      <c r="K320" s="162">
        <v>83</v>
      </c>
      <c r="L320" s="162">
        <v>80</v>
      </c>
      <c r="M320" s="162">
        <v>80</v>
      </c>
      <c r="N320" s="20">
        <v>81</v>
      </c>
      <c r="O320" s="20">
        <v>81</v>
      </c>
      <c r="P320" s="107">
        <v>80</v>
      </c>
      <c r="Q320" s="163">
        <v>82</v>
      </c>
      <c r="R320" s="162">
        <v>82</v>
      </c>
      <c r="S320" s="162">
        <v>82</v>
      </c>
      <c r="T320" s="119">
        <v>83</v>
      </c>
      <c r="U320" s="253">
        <v>84</v>
      </c>
      <c r="V320" s="11"/>
    </row>
    <row r="321" spans="2:22" ht="12.65" customHeight="1" x14ac:dyDescent="0.3">
      <c r="C321" s="9" t="str">
        <f>VLOOKUP(49,Textbausteine_Menu[],Hilfsgrössen!$D$2,FALSE)</f>
        <v>PostFinance</v>
      </c>
      <c r="D321" s="18" t="str">
        <f>VLOOKUP(38,Textbausteine_102[],Hilfsgrössen!$D$2,FALSE)</f>
        <v>Indice</v>
      </c>
      <c r="E321" s="293" t="s">
        <v>79</v>
      </c>
      <c r="F321" s="37" t="s">
        <v>1527</v>
      </c>
      <c r="H321" s="20">
        <v>82</v>
      </c>
      <c r="I321" s="20">
        <v>84</v>
      </c>
      <c r="J321" s="20">
        <v>84</v>
      </c>
      <c r="K321" s="20">
        <v>84</v>
      </c>
      <c r="L321" s="20">
        <v>85</v>
      </c>
      <c r="M321" s="20">
        <v>84</v>
      </c>
      <c r="N321" s="20">
        <v>85</v>
      </c>
      <c r="O321" s="100">
        <v>86</v>
      </c>
      <c r="P321" s="100">
        <v>85</v>
      </c>
      <c r="Q321" s="100">
        <v>85</v>
      </c>
      <c r="R321" s="100">
        <v>84</v>
      </c>
      <c r="S321" s="100">
        <v>80</v>
      </c>
      <c r="T321" s="119">
        <v>80</v>
      </c>
      <c r="U321" s="253">
        <v>80</v>
      </c>
      <c r="V321" s="11"/>
    </row>
    <row r="322" spans="2:22" ht="12.65" customHeight="1" x14ac:dyDescent="0.3">
      <c r="C322" s="9" t="str">
        <f>VLOOKUP(50,Textbausteine_Menu[],Hilfsgrössen!$D$2,FALSE)</f>
        <v>CarPostal</v>
      </c>
      <c r="D322" s="18"/>
      <c r="E322" s="293"/>
      <c r="H322" s="20"/>
      <c r="I322" s="20"/>
      <c r="J322" s="20"/>
      <c r="K322" s="20"/>
      <c r="L322" s="20"/>
      <c r="M322" s="20"/>
      <c r="N322" s="20"/>
      <c r="T322" s="119"/>
      <c r="U322" s="253"/>
      <c r="V322" s="11"/>
    </row>
    <row r="323" spans="2:22" ht="12.65" customHeight="1" x14ac:dyDescent="0.3">
      <c r="C323" s="70" t="str">
        <f>VLOOKUP(233,Textbausteine_102[],Hilfsgrössen!$D$2,FALSE)</f>
        <v>Voyageurs de loisirs</v>
      </c>
      <c r="D323" s="18" t="str">
        <f>VLOOKUP(38,Textbausteine_102[],Hilfsgrössen!$D$2,FALSE)</f>
        <v>Indice</v>
      </c>
      <c r="E323" s="293">
        <v>1</v>
      </c>
      <c r="F323" s="37" t="s">
        <v>1527</v>
      </c>
      <c r="H323" s="20">
        <v>83</v>
      </c>
      <c r="I323" s="20">
        <v>81</v>
      </c>
      <c r="J323" s="20">
        <v>81</v>
      </c>
      <c r="K323" s="20">
        <v>82</v>
      </c>
      <c r="L323" s="20">
        <v>82</v>
      </c>
      <c r="M323" s="20">
        <v>81</v>
      </c>
      <c r="N323" s="20">
        <v>83</v>
      </c>
      <c r="O323" s="100">
        <v>83</v>
      </c>
      <c r="P323" s="100">
        <v>83</v>
      </c>
      <c r="Q323" s="100">
        <v>83</v>
      </c>
      <c r="R323" s="100">
        <v>84</v>
      </c>
      <c r="S323" s="100">
        <v>83</v>
      </c>
      <c r="T323" s="119">
        <v>81</v>
      </c>
      <c r="U323" s="253">
        <v>83</v>
      </c>
      <c r="V323" s="11"/>
    </row>
    <row r="324" spans="2:22" ht="12.65" customHeight="1" x14ac:dyDescent="0.3">
      <c r="C324" s="15" t="str">
        <f>VLOOKUP(234,Textbausteine_102[],Hilfsgrössen!$D$2,FALSE)</f>
        <v>Clients pendulaires</v>
      </c>
      <c r="D324" s="1" t="str">
        <f>VLOOKUP(38,Textbausteine_102[],Hilfsgrössen!$D$2,FALSE)</f>
        <v>Indice</v>
      </c>
      <c r="E324" s="293">
        <v>1</v>
      </c>
      <c r="F324" s="37" t="s">
        <v>1527</v>
      </c>
      <c r="H324" s="162">
        <v>75</v>
      </c>
      <c r="I324" s="162">
        <v>73</v>
      </c>
      <c r="J324" s="162">
        <v>73</v>
      </c>
      <c r="K324" s="162">
        <v>73</v>
      </c>
      <c r="L324" s="162">
        <v>75</v>
      </c>
      <c r="M324" s="162">
        <v>73</v>
      </c>
      <c r="N324" s="20">
        <v>75</v>
      </c>
      <c r="O324" s="20">
        <v>75</v>
      </c>
      <c r="P324" s="107">
        <v>74</v>
      </c>
      <c r="Q324" s="163">
        <v>74</v>
      </c>
      <c r="R324" s="162">
        <v>76</v>
      </c>
      <c r="S324" s="162">
        <v>74</v>
      </c>
      <c r="T324" s="119">
        <v>74</v>
      </c>
      <c r="U324" s="253">
        <v>74</v>
      </c>
      <c r="V324" s="11"/>
    </row>
    <row r="325" spans="2:22" ht="12.65" customHeight="1" x14ac:dyDescent="0.3">
      <c r="C325" s="15"/>
      <c r="H325" s="162"/>
      <c r="I325" s="162"/>
      <c r="J325" s="162"/>
      <c r="K325" s="162"/>
      <c r="L325" s="162"/>
      <c r="M325" s="162"/>
      <c r="N325" s="20"/>
      <c r="O325" s="20"/>
      <c r="P325" s="107"/>
      <c r="Q325" s="163"/>
      <c r="R325" s="162"/>
      <c r="S325" s="162"/>
      <c r="T325" s="119"/>
      <c r="U325" s="253"/>
      <c r="V325" s="11"/>
    </row>
    <row r="326" spans="2:22" ht="12.65" customHeight="1" x14ac:dyDescent="0.3">
      <c r="B326" s="8" t="str">
        <f>VLOOKUP(235,Textbausteine_102[],Hilfsgrössen!$D$2,FALSE)</f>
        <v>Clients commerciaux</v>
      </c>
      <c r="C326" s="15"/>
      <c r="H326" s="162"/>
      <c r="I326" s="162"/>
      <c r="J326" s="162"/>
      <c r="K326" s="162"/>
      <c r="L326" s="162"/>
      <c r="M326" s="162"/>
      <c r="N326" s="20"/>
      <c r="O326" s="20"/>
      <c r="P326" s="107"/>
      <c r="Q326" s="163"/>
      <c r="R326" s="162"/>
      <c r="S326" s="162"/>
      <c r="T326" s="119"/>
      <c r="U326" s="253"/>
      <c r="V326" s="11"/>
    </row>
    <row r="327" spans="2:22" ht="12.65" customHeight="1" x14ac:dyDescent="0.3">
      <c r="C327" s="9" t="str">
        <f>VLOOKUP(45,Textbausteine_Menu[],Hilfsgrössen!$D$2,FALSE)</f>
        <v>PostMail</v>
      </c>
      <c r="D327" s="30" t="str">
        <f>VLOOKUP(38,Textbausteine_102[],Hilfsgrössen!$D$2,FALSE)</f>
        <v>Indice</v>
      </c>
      <c r="E327" s="289" t="s">
        <v>802</v>
      </c>
      <c r="F327" s="37" t="s">
        <v>1527</v>
      </c>
      <c r="H327" s="162">
        <v>72</v>
      </c>
      <c r="I327" s="162">
        <v>74</v>
      </c>
      <c r="J327" s="162">
        <v>76</v>
      </c>
      <c r="K327" s="162">
        <v>78</v>
      </c>
      <c r="L327" s="162">
        <v>77</v>
      </c>
      <c r="M327" s="162">
        <v>76</v>
      </c>
      <c r="N327" s="20">
        <v>78</v>
      </c>
      <c r="O327" s="20">
        <v>78</v>
      </c>
      <c r="P327" s="107">
        <v>78</v>
      </c>
      <c r="Q327" s="163">
        <v>78</v>
      </c>
      <c r="R327" s="162">
        <v>79</v>
      </c>
      <c r="S327" s="162">
        <v>79</v>
      </c>
      <c r="T327" s="119">
        <v>79</v>
      </c>
      <c r="U327" s="253">
        <v>77</v>
      </c>
      <c r="V327" s="11"/>
    </row>
    <row r="328" spans="2:22" ht="12.65" customHeight="1" x14ac:dyDescent="0.3">
      <c r="C328" s="9" t="str">
        <f>VLOOKUP(48,Textbausteine_Menu[],Hilfsgrössen!$D$2,FALSE)</f>
        <v>PostLogistics</v>
      </c>
      <c r="D328" s="75" t="str">
        <f>VLOOKUP(38,Textbausteine_102[],Hilfsgrössen!$D$2,FALSE)</f>
        <v>Indice</v>
      </c>
      <c r="E328" s="293" t="s">
        <v>1524</v>
      </c>
      <c r="F328" s="37" t="s">
        <v>1527</v>
      </c>
      <c r="H328" s="100">
        <v>78</v>
      </c>
      <c r="I328" s="100">
        <v>79</v>
      </c>
      <c r="J328" s="100">
        <v>80</v>
      </c>
      <c r="K328" s="100">
        <v>79</v>
      </c>
      <c r="L328" s="100">
        <v>79</v>
      </c>
      <c r="M328" s="100">
        <v>79</v>
      </c>
      <c r="N328" s="100">
        <v>79</v>
      </c>
      <c r="O328" s="100">
        <v>78</v>
      </c>
      <c r="P328" s="100">
        <v>78</v>
      </c>
      <c r="Q328" s="100">
        <v>78</v>
      </c>
      <c r="R328" s="100">
        <v>77</v>
      </c>
      <c r="S328" s="100">
        <v>77</v>
      </c>
      <c r="T328" s="119">
        <v>78</v>
      </c>
      <c r="U328" s="253">
        <v>77</v>
      </c>
      <c r="V328" s="11"/>
    </row>
    <row r="329" spans="2:22" ht="12.65" customHeight="1" x14ac:dyDescent="0.3">
      <c r="C329" s="9" t="str">
        <f>VLOOKUP(46,Textbausteine_Menu[],Hilfsgrössen!$D$2,FALSE)</f>
        <v>Swiss Post Solutions</v>
      </c>
      <c r="D329" s="30" t="str">
        <f>VLOOKUP(38,Textbausteine_102[],Hilfsgrössen!$D$2,FALSE)</f>
        <v>Indice</v>
      </c>
      <c r="E329" s="289" t="s">
        <v>790</v>
      </c>
      <c r="F329" s="37" t="s">
        <v>1527</v>
      </c>
      <c r="H329" s="162">
        <v>72</v>
      </c>
      <c r="I329" s="162">
        <v>76</v>
      </c>
      <c r="J329" s="162">
        <v>76</v>
      </c>
      <c r="K329" s="162">
        <v>75</v>
      </c>
      <c r="L329" s="162">
        <v>77</v>
      </c>
      <c r="M329" s="162">
        <v>78</v>
      </c>
      <c r="N329" s="20">
        <v>81</v>
      </c>
      <c r="O329" s="20">
        <v>82</v>
      </c>
      <c r="P329" s="107">
        <v>83</v>
      </c>
      <c r="Q329" s="163">
        <v>80</v>
      </c>
      <c r="R329" s="162">
        <v>82</v>
      </c>
      <c r="S329" s="162">
        <v>79</v>
      </c>
      <c r="T329" s="119">
        <v>83</v>
      </c>
      <c r="U329" s="253">
        <v>85</v>
      </c>
      <c r="V329" s="11"/>
    </row>
    <row r="330" spans="2:22" ht="12.65" customHeight="1" x14ac:dyDescent="0.3">
      <c r="C330" s="9" t="str">
        <f>VLOOKUP(49,Textbausteine_Menu[],Hilfsgrössen!$D$2,FALSE)</f>
        <v>PostFinance</v>
      </c>
      <c r="D330" s="30" t="str">
        <f>VLOOKUP(38,Textbausteine_102[],Hilfsgrössen!$D$2,FALSE)</f>
        <v>Indice</v>
      </c>
      <c r="E330" s="289">
        <v>1</v>
      </c>
      <c r="F330" s="37" t="s">
        <v>1527</v>
      </c>
      <c r="H330" s="162">
        <v>80</v>
      </c>
      <c r="I330" s="162">
        <v>81</v>
      </c>
      <c r="J330" s="162">
        <v>82</v>
      </c>
      <c r="K330" s="162">
        <v>82</v>
      </c>
      <c r="L330" s="162">
        <v>82</v>
      </c>
      <c r="M330" s="162">
        <v>83</v>
      </c>
      <c r="N330" s="20">
        <v>83</v>
      </c>
      <c r="O330" s="20">
        <v>83</v>
      </c>
      <c r="P330" s="107">
        <v>84</v>
      </c>
      <c r="Q330" s="163">
        <v>83</v>
      </c>
      <c r="R330" s="162">
        <v>82</v>
      </c>
      <c r="S330" s="162">
        <v>79</v>
      </c>
      <c r="T330" s="119">
        <v>78</v>
      </c>
      <c r="U330" s="253">
        <v>76</v>
      </c>
      <c r="V330" s="11"/>
    </row>
    <row r="331" spans="2:22" ht="12.65" customHeight="1" x14ac:dyDescent="0.3">
      <c r="C331" s="15"/>
      <c r="H331" s="162"/>
      <c r="I331" s="162"/>
      <c r="J331" s="162"/>
      <c r="K331" s="162"/>
      <c r="L331" s="162"/>
      <c r="M331" s="162"/>
      <c r="N331" s="20"/>
      <c r="O331" s="20"/>
      <c r="P331" s="107"/>
      <c r="Q331" s="163"/>
      <c r="R331" s="162"/>
      <c r="S331" s="162"/>
      <c r="T331" s="163"/>
      <c r="U331" s="163"/>
    </row>
    <row r="332" spans="2:22" ht="12.65" customHeight="1" x14ac:dyDescent="0.3">
      <c r="B332" s="26" t="str">
        <f>VLOOKUP(311,Textbausteine_102[],Hilfsgrössen!$D$2,FALSE)</f>
        <v>1) La satisfaction des clients vis-à-vis des prestations de la Poste est mesurée chaque année au moyen d'une enquête ad hoc, dont les résultats sont présentés sous la forme d'indices.</v>
      </c>
    </row>
    <row r="333" spans="2:22" ht="12.65" customHeight="1" x14ac:dyDescent="0.3">
      <c r="B333" s="26" t="str">
        <f>VLOOKUP(312,Textbausteine_102[],Hilfsgrössen!$D$2,FALSE)</f>
        <v>2) Le tirage au sort de l'échantillon ayant été modifié; les résultats de 2015 ne peuvent donc pas être comparés avec ceux des années précédentes.</v>
      </c>
    </row>
    <row r="334" spans="2:22" ht="12.65" customHeight="1" x14ac:dyDescent="0.3">
      <c r="B334" s="26" t="str">
        <f>VLOOKUP(313,Textbausteine_102[],Hilfsgrössen!$D$2,FALSE)</f>
        <v>3) Poste CH SA sans les sociétés du groupe en Suisse et à l'étranger.</v>
      </c>
    </row>
    <row r="335" spans="2:22" ht="12.65" customHeight="1" x14ac:dyDescent="0.3">
      <c r="B335" s="26" t="str">
        <f>VLOOKUP(314,Textbausteine_102[],Hilfsgrössen!$D$2,FALSE)</f>
        <v>4) La satisfaction des clients de l'unité du groupe PostLogistics a été mesurée pour la première fois en 2007; les valeurs des années précédentes sont celles de l'ancienne unité PosteColis.</v>
      </c>
    </row>
    <row r="336" spans="2:22" ht="12.65" customHeight="1" x14ac:dyDescent="0.3">
      <c r="B336" s="26" t="str">
        <f>VLOOKUP(315,Textbausteine_102[],Hilfsgrössen!$D$2,FALSE)</f>
        <v>5)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v>
      </c>
    </row>
    <row r="337" spans="3:21" ht="12.65" customHeight="1" x14ac:dyDescent="0.3">
      <c r="C337" s="15"/>
      <c r="H337" s="162"/>
      <c r="I337" s="162"/>
      <c r="J337" s="162"/>
      <c r="K337" s="162"/>
      <c r="L337" s="162"/>
      <c r="M337" s="162"/>
      <c r="N337" s="20"/>
      <c r="O337" s="20"/>
      <c r="P337" s="107"/>
      <c r="Q337" s="163"/>
      <c r="R337" s="162"/>
      <c r="S337" s="162"/>
      <c r="T337" s="163"/>
      <c r="U337" s="163"/>
    </row>
  </sheetData>
  <sheetProtection algorithmName="SHA-512" hashValue="Dc7RL+S2kFfk/OP3LQkG4njxl1gm5ApxdGuCaIaWAsL11LF0+bgMkWTllcyfBwneciO5/COVPeJvhacywoz59w==" saltValue="wtq3wwhGrJPuETnJMUwEQA==" spinCount="100000" sheet="1" objects="1" scenarios="1"/>
  <mergeCells count="14">
    <mergeCell ref="B314:C315"/>
    <mergeCell ref="D2:E2"/>
    <mergeCell ref="B251:C252"/>
    <mergeCell ref="B280:C281"/>
    <mergeCell ref="B2:C2"/>
    <mergeCell ref="B3:C3"/>
    <mergeCell ref="B183:C184"/>
    <mergeCell ref="B240:C241"/>
    <mergeCell ref="B20:C21"/>
    <mergeCell ref="B302:C303"/>
    <mergeCell ref="B48:C49"/>
    <mergeCell ref="B59:C60"/>
    <mergeCell ref="B75:C76"/>
    <mergeCell ref="B161:C162"/>
  </mergeCells>
  <conditionalFormatting sqref="H6:CA23 H25:CA30 H24:I24 V24:CA24 H55:CA65 H54 V54:CA54 H69:CA83 H66:H68 V66:CA68 H87:CA89 H86:M86 H99:I99 H105:CA123 H138:CA138 H137:J137 V137:CA137 H140:CA146 H139:J139 V139:CA139 H147:J147 V147:CA147 H293:CA318 H331:CA9997 V319:CA330 H148:CA255 H32:CA53 V31:CA31 V84:CA86 H91:CA92 V90:CA90 H97:CA98 V93:CA96 V99:CA104 H125:CA131 V124:CA124 H134:CA136 V132:CA133 H274:CA284 V256:CA273 V285:CA292">
    <cfRule type="expression" dxfId="156" priority="21">
      <formula>AND($D6&lt;&gt;"",H$20&lt;&gt;"",H6="")</formula>
    </cfRule>
  </conditionalFormatting>
  <conditionalFormatting sqref="H1:CA23 H25:CA30 H24:I24 V24:CA24 H55:CA65 H54 V54:CA54 H69:CA83 H66:H68 V66:CA68 H87:CA89 H86:M86 H99:I99 H105:CA123 H138:CA138 H137:J137 V137:CA137 H140:CA146 H139:J139 V139:CA139 H147:J147 V147:CA147 H293:CA318 H331:CA1048576 V319:CA330 H148:CA255 H32:CA53 V31:CA31 V84:CA86 H91:CA92 V90:CA90 H97:CA98 V93:CA96 V99:CA104 H125:CA131 V124:CA124 H134:CA136 V132:CA133 H274:CA284 V256:CA273 V285:CA292">
    <cfRule type="expression" dxfId="155" priority="22">
      <formula>AND($A1="",ABS(H1)=0)</formula>
    </cfRule>
    <cfRule type="expression" dxfId="154" priority="23">
      <formula>AND($A1="",ABS(H1)&lt;10)</formula>
    </cfRule>
    <cfRule type="expression" dxfId="153" priority="24">
      <formula>AND($A1="",ABS(H1)&lt;100)</formula>
    </cfRule>
    <cfRule type="expression" dxfId="152" priority="25">
      <formula>AND($A1="",ABS(H1)&gt;=100)</formula>
    </cfRule>
  </conditionalFormatting>
  <conditionalFormatting sqref="B1:D1048576">
    <cfRule type="expression" dxfId="151" priority="20">
      <formula>AND(B1&lt;&gt;"",NOT(_xlfn.ISFORMULA(B1)))</formula>
    </cfRule>
  </conditionalFormatting>
  <conditionalFormatting sqref="H31:U31">
    <cfRule type="expression" dxfId="150" priority="17">
      <formula>AND($A1="",ABS(XEY1)&gt;=100)</formula>
    </cfRule>
    <cfRule type="expression" dxfId="149" priority="19">
      <formula>AND($A1="",ABS(XEY1)&lt;100)</formula>
    </cfRule>
  </conditionalFormatting>
  <conditionalFormatting sqref="H84:U85">
    <cfRule type="expression" dxfId="148" priority="15">
      <formula>AND($A1="",ABS(H1)&lt;1000)</formula>
    </cfRule>
    <cfRule type="expression" dxfId="147" priority="16">
      <formula>AND($A1="",ABS(H1)=0)</formula>
    </cfRule>
  </conditionalFormatting>
  <conditionalFormatting sqref="H90:U90">
    <cfRule type="expression" dxfId="146" priority="12">
      <formula>AND($A1="",ABS(XEY1)&lt;1000)</formula>
    </cfRule>
    <cfRule type="expression" dxfId="145" priority="13">
      <formula>AND($A1="",ABS(XEY1)&gt;=100)</formula>
    </cfRule>
    <cfRule type="expression" dxfId="144" priority="14">
      <formula>AND($A1="",ABS(H1)=0)</formula>
    </cfRule>
  </conditionalFormatting>
  <conditionalFormatting sqref="H93:U96">
    <cfRule type="expression" dxfId="143" priority="11">
      <formula>AND($A1048574="",ABS(XEY1048574)&lt;100)</formula>
    </cfRule>
  </conditionalFormatting>
  <conditionalFormatting sqref="H100:U100">
    <cfRule type="expression" dxfId="142" priority="9">
      <formula>AND($A1="",ABS(XEY1)&lt;1000)</formula>
    </cfRule>
  </conditionalFormatting>
  <conditionalFormatting sqref="H101:U101">
    <cfRule type="expression" dxfId="141" priority="8">
      <formula>AND($A1="",ABS(XEL1)&lt;1000)</formula>
    </cfRule>
  </conditionalFormatting>
  <conditionalFormatting sqref="H102:U102">
    <cfRule type="expression" dxfId="140" priority="7">
      <formula>AND($A1="",ABS(XEY1)&lt;1000)</formula>
    </cfRule>
  </conditionalFormatting>
  <conditionalFormatting sqref="H103:U104">
    <cfRule type="expression" dxfId="139" priority="6">
      <formula>AND($A1="",ABS(XEY1)&lt;1000)</formula>
    </cfRule>
  </conditionalFormatting>
  <conditionalFormatting sqref="H124:U124">
    <cfRule type="expression" dxfId="138" priority="4">
      <formula>AND($A1="",ABS(H1)&gt;=100)</formula>
    </cfRule>
    <cfRule type="expression" dxfId="137" priority="5">
      <formula>AND($A1="",ABS(H1)=0)</formula>
    </cfRule>
  </conditionalFormatting>
  <conditionalFormatting sqref="H132:U133">
    <cfRule type="expression" dxfId="136" priority="3">
      <formula>AND($A1="",ABS(H1)&lt;100)</formula>
    </cfRule>
  </conditionalFormatting>
  <conditionalFormatting sqref="H256:U273">
    <cfRule type="expression" dxfId="135" priority="2">
      <formula>AND($A1="",ABS(H1)&lt;100)</formula>
    </cfRule>
  </conditionalFormatting>
  <conditionalFormatting sqref="H285:U292">
    <cfRule type="expression" dxfId="134" priority="1">
      <formula>AND($A1048570="",ABS(XEY1048570)&lt;100)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D2" location="Home" display="Home"/>
    <hyperlink ref="A183" location="GRI_102" display="Ó"/>
    <hyperlink ref="A240" location="GRI_102" display="Ó"/>
    <hyperlink ref="A280" location="GRI_102" display="Ó"/>
    <hyperlink ref="A251" location="GRI_102" display="Ó"/>
    <hyperlink ref="C12" location="GRI_102_8a" display="GRI_102_8a"/>
    <hyperlink ref="C13" location="GRI_102_8b" display="GRI_102_8b"/>
    <hyperlink ref="C14" location="GRI_102_8c" display="GRI_102_8c"/>
    <hyperlink ref="C15" location="GRI_102_8d" display="GRI_102_8d"/>
    <hyperlink ref="A302" location="GRI_102" display="Ó"/>
    <hyperlink ref="A48" location="GRI_102" display="Ó"/>
    <hyperlink ref="A59" location="GRI_102" display="Ó"/>
    <hyperlink ref="A75" location="GRI_102" display="Ó"/>
    <hyperlink ref="A161" location="GRI_102" display="Ó"/>
    <hyperlink ref="A314" location="GRI_102" display="Ó"/>
    <hyperlink ref="C8" location="GRI_102_7a" display="Finanzierung"/>
    <hyperlink ref="C9" location="GRI_102_7b" display="Cashflow und Investitionen"/>
    <hyperlink ref="C10" location="GRI_102_7c" display="Mengenentwicklung Konzern, in den Segmenten und Bereichen"/>
    <hyperlink ref="C11" location="GRI_102_7d" display="Volumen Zahlungsverkehr"/>
    <hyperlink ref="A20" location="GRI_102" display="Ó"/>
    <hyperlink ref="C7" location="GRI_102_6a" display="GRI_102_6a"/>
    <hyperlink ref="C16" location="GRI_102_9a" display="Lieferkette"/>
    <hyperlink ref="C17" location="GRI_102_43a" display="Kundenzufriedenhei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523178"/>
  </sheetPr>
  <dimension ref="A2:AB163"/>
  <sheetViews>
    <sheetView showGridLines="0" showRowColHeaders="0" zoomScale="90" zoomScaleNormal="90" workbookViewId="0">
      <pane xSplit="7" topLeftCell="K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86"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21" width="11.81640625" style="101" customWidth="1"/>
    <col min="22" max="23" width="12" style="20" customWidth="1"/>
    <col min="24" max="38" width="11.81640625" style="1" customWidth="1"/>
    <col min="39" max="16384" width="10.81640625" style="1"/>
  </cols>
  <sheetData>
    <row r="2" spans="1:24" s="153" customFormat="1" ht="26.15" customHeight="1" x14ac:dyDescent="0.3">
      <c r="A2" s="83"/>
      <c r="B2" s="390" t="str">
        <f>UPPER(RIGHT('Table des matières'!$C$12,LEN('Table des matières'!$C$12)-FIND(" – ",'Table des matières'!$C$12,1)-2))</f>
        <v>PERFORMANCE ÉCONOMIQUE</v>
      </c>
      <c r="C2" s="390"/>
      <c r="D2" s="386" t="str">
        <f>VLOOKUP(35,Textbausteine_Menu[],Hilfsgrössen!$D$2,FALSE)</f>
        <v>retour à la table des matières</v>
      </c>
      <c r="E2" s="387"/>
      <c r="F2" s="145" t="s">
        <v>88</v>
      </c>
      <c r="G2" s="171"/>
      <c r="H2" s="155"/>
      <c r="I2" s="155"/>
      <c r="J2" s="155"/>
      <c r="K2" s="155"/>
      <c r="L2" s="155"/>
      <c r="M2" s="155"/>
      <c r="N2" s="155"/>
      <c r="O2" s="155"/>
      <c r="P2" s="155"/>
      <c r="Q2" s="155"/>
      <c r="R2" s="155"/>
      <c r="S2" s="155"/>
      <c r="T2" s="155"/>
      <c r="U2" s="155"/>
      <c r="V2" s="116"/>
      <c r="W2" s="116"/>
    </row>
    <row r="3" spans="1:24" s="154" customFormat="1" ht="26.15" customHeight="1" x14ac:dyDescent="0.3">
      <c r="A3" s="84"/>
      <c r="B3" s="391" t="str">
        <f>UPPER("GRI "&amp;LEFT('Table des matières'!$C$12,3))</f>
        <v>GRI 201</v>
      </c>
      <c r="C3" s="391"/>
      <c r="E3" s="38"/>
      <c r="F3" s="38"/>
      <c r="G3" s="45"/>
      <c r="H3" s="156"/>
      <c r="I3" s="156"/>
      <c r="J3" s="156"/>
      <c r="K3" s="156"/>
      <c r="L3" s="156"/>
      <c r="M3" s="156"/>
      <c r="N3" s="156"/>
      <c r="O3" s="156"/>
      <c r="P3" s="156"/>
      <c r="Q3" s="156"/>
      <c r="R3" s="156"/>
      <c r="S3" s="156"/>
      <c r="T3" s="156"/>
      <c r="U3" s="156"/>
      <c r="V3" s="116"/>
      <c r="W3" s="116"/>
    </row>
    <row r="6" spans="1:24" s="31" customFormat="1" ht="13" customHeight="1" x14ac:dyDescent="0.3">
      <c r="A6" s="85"/>
      <c r="B6" s="31" t="str">
        <f>VLOOKUP(31,Textbausteine_Menu[],Hilfsgrössen!$D$2,FALSE)</f>
        <v>Divulgations</v>
      </c>
      <c r="E6" s="39"/>
      <c r="F6" s="39"/>
      <c r="G6" s="46"/>
      <c r="H6" s="95"/>
      <c r="I6" s="95"/>
      <c r="J6" s="95"/>
      <c r="K6" s="95"/>
      <c r="L6" s="95"/>
      <c r="M6" s="95"/>
      <c r="N6" s="95"/>
      <c r="O6" s="95"/>
      <c r="P6" s="95"/>
      <c r="Q6" s="95"/>
      <c r="R6" s="95"/>
      <c r="S6" s="95"/>
      <c r="T6" s="95"/>
      <c r="U6" s="95"/>
      <c r="V6" s="20"/>
      <c r="W6" s="20"/>
    </row>
    <row r="7" spans="1:24" ht="13" customHeight="1" x14ac:dyDescent="0.3">
      <c r="B7" s="2"/>
      <c r="C7" s="3" t="str">
        <f>VLOOKUP(1,Textbausteine_201[],Hilfsgrössen!$D$2,FALSE)</f>
        <v>Résultat financier</v>
      </c>
      <c r="D7" s="4"/>
    </row>
    <row r="8" spans="1:24" ht="13" customHeight="1" x14ac:dyDescent="0.3">
      <c r="B8" s="2"/>
      <c r="C8" s="3" t="str">
        <f>VLOOKUP(3,Textbausteine_201[],Hilfsgrössen!$D$2,FALSE)</f>
        <v>Répartition de la valeur ajoutée</v>
      </c>
      <c r="D8" s="4"/>
    </row>
    <row r="9" spans="1:24" ht="13" customHeight="1" x14ac:dyDescent="0.3">
      <c r="B9" s="2"/>
      <c r="C9" s="5" t="str">
        <f>VLOOKUP(2,Textbausteine_201[],Hilfsgrössen!$D$2,FALSE)</f>
        <v>Caisse de pensions</v>
      </c>
    </row>
    <row r="10" spans="1:24" ht="13" customHeight="1" x14ac:dyDescent="0.3">
      <c r="B10" s="2"/>
    </row>
    <row r="11" spans="1:24" ht="13" customHeight="1" x14ac:dyDescent="0.3">
      <c r="B11" s="2"/>
    </row>
    <row r="12" spans="1:24" s="31" customFormat="1" ht="13" customHeight="1" x14ac:dyDescent="0.3">
      <c r="A12" s="81" t="s">
        <v>900</v>
      </c>
      <c r="B12" s="385" t="str">
        <f>$C$7</f>
        <v>Résultat financier</v>
      </c>
      <c r="C12" s="385"/>
      <c r="D12" s="6" t="str">
        <f>VLOOKUP(32,Textbausteine_Menu[],Hilfsgrössen!$D$2,FALSE)</f>
        <v>Unité</v>
      </c>
      <c r="E12" s="40" t="str">
        <f>VLOOKUP(33,Textbausteine_Menu[],Hilfsgrössen!$D$2,FALSE)</f>
        <v>Notes</v>
      </c>
      <c r="F12" s="40" t="str">
        <f>VLOOKUP(34,Textbausteine_Menu[],Hilfsgrössen!$D$2,FALSE)</f>
        <v>GRI</v>
      </c>
      <c r="G12" s="48"/>
      <c r="H12" s="104">
        <v>2004</v>
      </c>
      <c r="I12" s="104">
        <v>2005</v>
      </c>
      <c r="J12" s="104">
        <v>2006</v>
      </c>
      <c r="K12" s="104">
        <v>2007</v>
      </c>
      <c r="L12" s="104">
        <v>2008</v>
      </c>
      <c r="M12" s="104">
        <v>2009</v>
      </c>
      <c r="N12" s="104">
        <v>2010</v>
      </c>
      <c r="O12" s="104">
        <v>2011</v>
      </c>
      <c r="P12" s="117">
        <v>2012</v>
      </c>
      <c r="Q12" s="104">
        <v>2013</v>
      </c>
      <c r="R12" s="117" t="s">
        <v>58</v>
      </c>
      <c r="S12" s="104">
        <v>2014</v>
      </c>
      <c r="T12" s="104">
        <v>2015</v>
      </c>
      <c r="U12" s="117" t="s">
        <v>59</v>
      </c>
      <c r="V12" s="117">
        <v>2016</v>
      </c>
      <c r="W12" s="261">
        <v>2017</v>
      </c>
      <c r="X12" s="261" t="s">
        <v>2554</v>
      </c>
    </row>
    <row r="13" spans="1:24" s="31" customFormat="1" ht="13" customHeight="1" x14ac:dyDescent="0.3">
      <c r="A13" s="86"/>
      <c r="B13" s="385"/>
      <c r="C13" s="385"/>
      <c r="D13" s="6"/>
      <c r="E13" s="40"/>
      <c r="F13" s="40"/>
      <c r="G13" s="48"/>
      <c r="H13" s="104"/>
      <c r="I13" s="104"/>
      <c r="J13" s="104"/>
      <c r="K13" s="104"/>
      <c r="L13" s="104"/>
      <c r="M13" s="104"/>
      <c r="N13" s="104"/>
      <c r="O13" s="104"/>
      <c r="P13" s="117"/>
      <c r="Q13" s="104"/>
      <c r="R13" s="117"/>
      <c r="S13" s="104"/>
      <c r="T13" s="104"/>
      <c r="U13" s="117"/>
      <c r="V13" s="20"/>
      <c r="W13" s="262"/>
      <c r="X13" s="262"/>
    </row>
    <row r="14" spans="1:24" ht="13" customHeight="1" x14ac:dyDescent="0.3">
      <c r="B14" s="8"/>
      <c r="C14" s="9"/>
      <c r="D14" s="9"/>
      <c r="E14" s="12"/>
      <c r="F14" s="11"/>
      <c r="G14" s="49"/>
      <c r="H14" s="104"/>
      <c r="I14" s="104"/>
      <c r="J14" s="104"/>
      <c r="K14" s="104"/>
      <c r="L14" s="104"/>
      <c r="M14" s="104"/>
      <c r="N14" s="106"/>
      <c r="O14" s="106"/>
      <c r="P14" s="107"/>
      <c r="Q14" s="107"/>
      <c r="R14" s="107"/>
      <c r="S14" s="107"/>
      <c r="T14" s="107"/>
      <c r="U14" s="107"/>
      <c r="W14" s="262"/>
      <c r="X14" s="262"/>
    </row>
    <row r="15" spans="1:24" ht="13" customHeight="1" x14ac:dyDescent="0.3">
      <c r="B15" s="8" t="str">
        <f>VLOOKUP(36,Textbausteine_Menu[],Hilfsgrössen!$D$2,FALSE)</f>
        <v>Groupe</v>
      </c>
      <c r="D15" s="9"/>
      <c r="E15" s="11"/>
      <c r="F15" s="11"/>
      <c r="G15" s="49"/>
      <c r="H15" s="105"/>
      <c r="I15" s="105"/>
      <c r="J15" s="105"/>
      <c r="K15" s="105"/>
      <c r="L15" s="105"/>
      <c r="M15" s="105"/>
      <c r="N15" s="107"/>
      <c r="O15" s="107"/>
      <c r="P15" s="107"/>
      <c r="Q15" s="107"/>
      <c r="R15" s="107"/>
      <c r="S15" s="107"/>
      <c r="T15" s="107"/>
      <c r="U15" s="107"/>
      <c r="W15" s="262"/>
      <c r="X15" s="262"/>
    </row>
    <row r="16" spans="1:24" ht="13" customHeight="1" x14ac:dyDescent="0.3">
      <c r="C16" s="9" t="str">
        <f>VLOOKUP(31,Textbausteine_201[],Hilfsgrössen!$D$2,FALSE)</f>
        <v>Produits d'exploitation</v>
      </c>
      <c r="D16" s="9" t="str">
        <f>VLOOKUP(11,Textbausteine_201[],Hilfsgrössen!$D$2,FALSE)</f>
        <v>Millions de CHF</v>
      </c>
      <c r="E16" s="11"/>
      <c r="F16" s="11" t="s">
        <v>66</v>
      </c>
      <c r="G16" s="49"/>
      <c r="H16" s="181" t="s">
        <v>1595</v>
      </c>
      <c r="I16" s="105">
        <v>7499</v>
      </c>
      <c r="J16" s="105">
        <v>7895</v>
      </c>
      <c r="K16" s="105">
        <v>8712</v>
      </c>
      <c r="L16" s="105">
        <v>8980</v>
      </c>
      <c r="M16" s="20">
        <v>8558</v>
      </c>
      <c r="N16" s="20">
        <v>8736</v>
      </c>
      <c r="O16" s="20">
        <v>8599</v>
      </c>
      <c r="P16" s="137">
        <v>8576</v>
      </c>
      <c r="Q16" s="137">
        <v>8470</v>
      </c>
      <c r="R16" s="137">
        <v>8575</v>
      </c>
      <c r="S16" s="20" t="s">
        <v>75</v>
      </c>
      <c r="T16" s="137">
        <v>8224</v>
      </c>
      <c r="U16" s="137">
        <v>8224</v>
      </c>
      <c r="V16" s="20">
        <v>8188</v>
      </c>
      <c r="W16" s="262">
        <v>7930</v>
      </c>
      <c r="X16" s="262">
        <v>7987</v>
      </c>
    </row>
    <row r="17" spans="1:25" ht="13" customHeight="1" x14ac:dyDescent="0.3">
      <c r="A17" s="63"/>
      <c r="C17" s="15" t="str">
        <f>VLOOKUP(32,Textbausteine_201[],Hilfsgrössen!$D$2,FALSE)</f>
        <v>réalisés à l’étranger et transfrontalier</v>
      </c>
      <c r="D17" s="9" t="str">
        <f>VLOOKUP(11,Textbausteine_201[],Hilfsgrössen!$D$2,FALSE)</f>
        <v>Millions de CHF</v>
      </c>
      <c r="E17" s="11">
        <v>1</v>
      </c>
      <c r="F17" s="11" t="s">
        <v>66</v>
      </c>
      <c r="G17" s="49"/>
      <c r="H17" s="181" t="s">
        <v>1595</v>
      </c>
      <c r="I17" s="105">
        <v>1089</v>
      </c>
      <c r="J17" s="105">
        <v>1391</v>
      </c>
      <c r="K17" s="105">
        <v>1741</v>
      </c>
      <c r="L17" s="105">
        <v>1608</v>
      </c>
      <c r="M17" s="20">
        <v>1391</v>
      </c>
      <c r="N17" s="20">
        <v>1218</v>
      </c>
      <c r="O17" s="20">
        <v>1095</v>
      </c>
      <c r="P17" s="137">
        <v>1025</v>
      </c>
      <c r="Q17" s="20" t="s">
        <v>60</v>
      </c>
      <c r="R17" s="20" t="s">
        <v>60</v>
      </c>
      <c r="S17" s="137">
        <v>1233</v>
      </c>
      <c r="T17" s="137">
        <v>1149</v>
      </c>
      <c r="U17" s="137">
        <v>1149</v>
      </c>
      <c r="V17" s="119">
        <v>1124</v>
      </c>
      <c r="W17" s="263">
        <v>1153</v>
      </c>
      <c r="X17" s="263">
        <v>1153</v>
      </c>
    </row>
    <row r="18" spans="1:25" ht="13" customHeight="1" x14ac:dyDescent="0.3">
      <c r="A18" s="87"/>
      <c r="C18" s="35" t="str">
        <f>VLOOKUP(37,Textbausteine_201[],Hilfsgrössen!$D$2,FALSE)</f>
        <v>en proportion des produits d'exploitation</v>
      </c>
      <c r="D18" s="9" t="str">
        <f>VLOOKUP(12,Textbausteine_201[],Hilfsgrössen!$D$2,FALSE)</f>
        <v>%</v>
      </c>
      <c r="E18" s="11"/>
      <c r="F18" s="11" t="s">
        <v>66</v>
      </c>
      <c r="G18" s="49"/>
      <c r="H18" s="181" t="s">
        <v>1595</v>
      </c>
      <c r="I18" s="105">
        <v>14.1</v>
      </c>
      <c r="J18" s="105">
        <v>17.600000000000001</v>
      </c>
      <c r="K18" s="105">
        <v>20</v>
      </c>
      <c r="L18" s="105">
        <v>17.899999999999999</v>
      </c>
      <c r="M18" s="20">
        <v>16.3</v>
      </c>
      <c r="N18" s="20">
        <v>13.9</v>
      </c>
      <c r="O18" s="20">
        <v>12.7</v>
      </c>
      <c r="P18" s="137">
        <f>P17/P16*100</f>
        <v>11.95195895522388</v>
      </c>
      <c r="Q18" s="137">
        <v>13.4</v>
      </c>
      <c r="R18" s="137">
        <v>13.2</v>
      </c>
      <c r="S18" s="137">
        <v>14.7</v>
      </c>
      <c r="T18" s="137">
        <v>14</v>
      </c>
      <c r="U18" s="137">
        <v>14</v>
      </c>
      <c r="V18" s="119">
        <v>13.9</v>
      </c>
      <c r="W18" s="263">
        <v>14.5</v>
      </c>
      <c r="X18" s="263">
        <v>14.4</v>
      </c>
    </row>
    <row r="19" spans="1:25" ht="13" customHeight="1" x14ac:dyDescent="0.3">
      <c r="C19" s="15" t="str">
        <f>VLOOKUP(33,Textbausteine_201[],Hilfsgrössen!$D$2,FALSE)</f>
        <v>Services réservés</v>
      </c>
      <c r="D19" s="9" t="str">
        <f>VLOOKUP(11,Textbausteine_201[],Hilfsgrössen!$D$2,FALSE)</f>
        <v>Millions de CHF</v>
      </c>
      <c r="E19" s="11">
        <v>2</v>
      </c>
      <c r="F19" s="11" t="s">
        <v>66</v>
      </c>
      <c r="G19" s="49"/>
      <c r="H19" s="181" t="s">
        <v>1595</v>
      </c>
      <c r="I19" s="105">
        <v>2395</v>
      </c>
      <c r="J19" s="105">
        <v>2028</v>
      </c>
      <c r="K19" s="105">
        <v>1893</v>
      </c>
      <c r="L19" s="105">
        <v>1835</v>
      </c>
      <c r="M19" s="20">
        <v>1641</v>
      </c>
      <c r="N19" s="20">
        <v>1469</v>
      </c>
      <c r="O19" s="20">
        <v>1378</v>
      </c>
      <c r="P19" s="137">
        <v>1360</v>
      </c>
      <c r="Q19" s="137">
        <v>1237</v>
      </c>
      <c r="R19" s="137">
        <v>1237</v>
      </c>
      <c r="S19" s="137">
        <v>1213</v>
      </c>
      <c r="T19" s="137">
        <v>1225</v>
      </c>
      <c r="U19" s="137">
        <v>1225</v>
      </c>
      <c r="V19" s="20">
        <v>1161</v>
      </c>
      <c r="W19" s="262">
        <v>1153</v>
      </c>
      <c r="X19" s="262">
        <v>1153</v>
      </c>
    </row>
    <row r="20" spans="1:25" ht="13" customHeight="1" x14ac:dyDescent="0.3">
      <c r="C20" s="35" t="str">
        <f>VLOOKUP(37,Textbausteine_201[],Hilfsgrössen!$D$2,FALSE)</f>
        <v>en proportion des produits d'exploitation</v>
      </c>
      <c r="D20" s="9" t="str">
        <f>VLOOKUP(12,Textbausteine_201[],Hilfsgrössen!$D$2,FALSE)</f>
        <v>%</v>
      </c>
      <c r="E20" s="11"/>
      <c r="F20" s="11" t="s">
        <v>66</v>
      </c>
      <c r="G20" s="49"/>
      <c r="H20" s="181" t="s">
        <v>1595</v>
      </c>
      <c r="I20" s="105">
        <v>31.9</v>
      </c>
      <c r="J20" s="105">
        <v>25.7</v>
      </c>
      <c r="K20" s="105">
        <v>21.728650137741045</v>
      </c>
      <c r="L20" s="105">
        <v>20.399999999999999</v>
      </c>
      <c r="M20" s="20">
        <v>19.2</v>
      </c>
      <c r="N20" s="20">
        <v>16.8</v>
      </c>
      <c r="O20" s="20">
        <v>16</v>
      </c>
      <c r="P20" s="137">
        <f>P19/P16*100</f>
        <v>15.858208955223882</v>
      </c>
      <c r="Q20" s="137">
        <f>Q19/Q16*100</f>
        <v>14.604486422668241</v>
      </c>
      <c r="R20" s="137">
        <f>R19/R16*100</f>
        <v>14.425655976676385</v>
      </c>
      <c r="S20" s="137">
        <f>S19/8371*100</f>
        <v>14.490502926770995</v>
      </c>
      <c r="T20" s="137">
        <v>14.9</v>
      </c>
      <c r="U20" s="137">
        <v>14.9</v>
      </c>
      <c r="V20" s="107">
        <v>14.2</v>
      </c>
      <c r="W20" s="264">
        <v>14.5</v>
      </c>
      <c r="X20" s="264">
        <v>14.4</v>
      </c>
    </row>
    <row r="21" spans="1:25" ht="13" customHeight="1" x14ac:dyDescent="0.3">
      <c r="C21" s="10" t="str">
        <f>VLOOKUP(34,Textbausteine_201[],Hilfsgrössen!$D$2,FALSE)</f>
        <v>Charges d'exploitation</v>
      </c>
      <c r="D21" s="9" t="str">
        <f>VLOOKUP(11,Textbausteine_201[],Hilfsgrössen!$D$2,FALSE)</f>
        <v>Millions de CHF</v>
      </c>
      <c r="E21" s="11"/>
      <c r="F21" s="11" t="s">
        <v>66</v>
      </c>
      <c r="G21" s="49"/>
      <c r="H21" s="181" t="s">
        <v>1595</v>
      </c>
      <c r="I21" s="105">
        <v>6694</v>
      </c>
      <c r="J21" s="20">
        <v>7072</v>
      </c>
      <c r="K21" s="20">
        <v>7846</v>
      </c>
      <c r="L21" s="20">
        <v>8168</v>
      </c>
      <c r="M21" s="20">
        <v>7837</v>
      </c>
      <c r="N21" s="20">
        <v>7806</v>
      </c>
      <c r="O21" s="20">
        <v>7691</v>
      </c>
      <c r="P21" s="137">
        <v>7717</v>
      </c>
      <c r="Q21" s="137">
        <v>7229</v>
      </c>
      <c r="R21" s="137">
        <v>7664</v>
      </c>
      <c r="S21" s="137">
        <v>7654</v>
      </c>
      <c r="T21" s="107">
        <v>7348</v>
      </c>
      <c r="U21" s="107">
        <v>7401</v>
      </c>
      <c r="V21" s="107">
        <v>7484</v>
      </c>
      <c r="W21" s="264">
        <v>7357</v>
      </c>
      <c r="X21" s="264">
        <v>7357</v>
      </c>
    </row>
    <row r="22" spans="1:25" ht="13" customHeight="1" x14ac:dyDescent="0.3">
      <c r="C22" s="15" t="str">
        <f>VLOOKUP(35,Textbausteine_201[],Hilfsgrössen!$D$2,FALSE)</f>
        <v>Charges de personnel</v>
      </c>
      <c r="D22" s="9" t="str">
        <f>VLOOKUP(11,Textbausteine_201[],Hilfsgrössen!$D$2,FALSE)</f>
        <v>Millions de CHF</v>
      </c>
      <c r="E22" s="11"/>
      <c r="F22" s="11" t="s">
        <v>66</v>
      </c>
      <c r="G22" s="49"/>
      <c r="H22" s="181" t="s">
        <v>1595</v>
      </c>
      <c r="I22" s="105">
        <v>3704</v>
      </c>
      <c r="J22" s="20">
        <v>3711</v>
      </c>
      <c r="K22" s="20">
        <v>3851</v>
      </c>
      <c r="L22" s="20">
        <v>3873</v>
      </c>
      <c r="M22" s="20">
        <v>4032</v>
      </c>
      <c r="N22" s="20">
        <v>4076</v>
      </c>
      <c r="O22" s="20">
        <v>4026</v>
      </c>
      <c r="P22" s="137">
        <v>4161</v>
      </c>
      <c r="Q22" s="137">
        <v>3701</v>
      </c>
      <c r="R22" s="137">
        <v>4131</v>
      </c>
      <c r="S22" s="137">
        <v>4108</v>
      </c>
      <c r="T22" s="107">
        <v>4022</v>
      </c>
      <c r="U22" s="107">
        <v>4074</v>
      </c>
      <c r="V22" s="107">
        <v>4034</v>
      </c>
      <c r="W22" s="264">
        <v>3989</v>
      </c>
      <c r="X22" s="264">
        <v>3989</v>
      </c>
    </row>
    <row r="23" spans="1:25" ht="13" customHeight="1" x14ac:dyDescent="0.3">
      <c r="C23" s="10" t="str">
        <f>VLOOKUP(36,Textbausteine_201[],Hilfsgrössen!$D$2,FALSE)</f>
        <v>Résultat d'exploitation</v>
      </c>
      <c r="D23" s="9" t="str">
        <f>VLOOKUP(11,Textbausteine_201[],Hilfsgrössen!$D$2,FALSE)</f>
        <v>Millions de CHF</v>
      </c>
      <c r="E23" s="11"/>
      <c r="F23" s="11" t="s">
        <v>66</v>
      </c>
      <c r="G23" s="49"/>
      <c r="H23" s="181" t="s">
        <v>1595</v>
      </c>
      <c r="I23" s="105">
        <v>805</v>
      </c>
      <c r="J23" s="105">
        <v>823</v>
      </c>
      <c r="K23" s="105">
        <v>866</v>
      </c>
      <c r="L23" s="105">
        <v>812</v>
      </c>
      <c r="M23" s="20">
        <v>721</v>
      </c>
      <c r="N23" s="20">
        <v>930</v>
      </c>
      <c r="O23" s="20">
        <v>908</v>
      </c>
      <c r="P23" s="137">
        <v>860</v>
      </c>
      <c r="Q23" s="137">
        <v>1241</v>
      </c>
      <c r="R23" s="137">
        <v>911</v>
      </c>
      <c r="S23" s="137">
        <v>803</v>
      </c>
      <c r="T23" s="107">
        <v>876</v>
      </c>
      <c r="U23" s="107">
        <v>823</v>
      </c>
      <c r="V23" s="107">
        <v>704</v>
      </c>
      <c r="W23" s="264">
        <v>573</v>
      </c>
      <c r="X23" s="264">
        <v>630</v>
      </c>
      <c r="Y23" s="9"/>
    </row>
    <row r="24" spans="1:25" ht="13" customHeight="1" x14ac:dyDescent="0.3">
      <c r="C24" s="15" t="str">
        <f>VLOOKUP(37,Textbausteine_201[],Hilfsgrössen!$D$2,FALSE)</f>
        <v>en proportion des produits d'exploitation</v>
      </c>
      <c r="D24" s="9" t="str">
        <f>VLOOKUP(12,Textbausteine_201[],Hilfsgrössen!$D$2,FALSE)</f>
        <v>%</v>
      </c>
      <c r="E24" s="11"/>
      <c r="F24" s="11" t="s">
        <v>66</v>
      </c>
      <c r="G24" s="49"/>
      <c r="H24" s="181" t="s">
        <v>1595</v>
      </c>
      <c r="I24" s="105">
        <v>10.7</v>
      </c>
      <c r="J24" s="105">
        <v>10.4</v>
      </c>
      <c r="K24" s="105">
        <v>9.9</v>
      </c>
      <c r="L24" s="105">
        <v>9</v>
      </c>
      <c r="M24" s="20">
        <v>8.3000000000000007</v>
      </c>
      <c r="N24" s="20">
        <v>10.7</v>
      </c>
      <c r="O24" s="20">
        <v>10.6</v>
      </c>
      <c r="P24" s="137">
        <f>P23/P16*100</f>
        <v>10.027985074626866</v>
      </c>
      <c r="Q24" s="137">
        <v>14.651711924439201</v>
      </c>
      <c r="R24" s="137">
        <f>R23/R16*100</f>
        <v>10.623906705539358</v>
      </c>
      <c r="S24" s="107">
        <v>9.6</v>
      </c>
      <c r="T24" s="107">
        <v>10.7</v>
      </c>
      <c r="U24" s="107">
        <v>10</v>
      </c>
      <c r="V24" s="107">
        <v>8.6</v>
      </c>
      <c r="W24" s="264">
        <v>7.2</v>
      </c>
      <c r="X24" s="264">
        <v>7.9</v>
      </c>
      <c r="Y24" s="9"/>
    </row>
    <row r="25" spans="1:25" ht="13" customHeight="1" x14ac:dyDescent="0.3">
      <c r="C25" s="15" t="str">
        <f>VLOOKUP(39,Textbausteine_201[],Hilfsgrössen!$D$2,FALSE)</f>
        <v>réalisés à l’étranger et transfrontalier</v>
      </c>
      <c r="D25" s="9" t="str">
        <f>VLOOKUP(11,Textbausteine_201[],Hilfsgrössen!$D$2,FALSE)</f>
        <v>Millions de CHF</v>
      </c>
      <c r="E25" s="11">
        <v>1</v>
      </c>
      <c r="F25" s="11" t="s">
        <v>66</v>
      </c>
      <c r="G25" s="49"/>
      <c r="H25" s="181" t="s">
        <v>1595</v>
      </c>
      <c r="I25" s="105">
        <v>38</v>
      </c>
      <c r="J25" s="105">
        <v>54.2</v>
      </c>
      <c r="K25" s="105">
        <v>60.6</v>
      </c>
      <c r="L25" s="105">
        <v>32.700000000000003</v>
      </c>
      <c r="M25" s="105">
        <v>35</v>
      </c>
      <c r="N25" s="20">
        <v>24.4</v>
      </c>
      <c r="O25" s="20">
        <v>52</v>
      </c>
      <c r="P25" s="137">
        <v>35</v>
      </c>
      <c r="Q25" s="20" t="s">
        <v>61</v>
      </c>
      <c r="R25" s="20" t="s">
        <v>61</v>
      </c>
      <c r="S25" s="137">
        <v>72</v>
      </c>
      <c r="T25" s="107">
        <v>57</v>
      </c>
      <c r="U25" s="107">
        <v>57</v>
      </c>
      <c r="V25" s="107">
        <v>64</v>
      </c>
      <c r="W25" s="264">
        <v>82</v>
      </c>
      <c r="X25" s="264">
        <v>82</v>
      </c>
      <c r="Y25" s="9"/>
    </row>
    <row r="26" spans="1:25" ht="13" customHeight="1" x14ac:dyDescent="0.3">
      <c r="C26" s="35" t="str">
        <f>VLOOKUP(38,Textbausteine_201[],Hilfsgrössen!$D$2,FALSE)</f>
        <v>en proportion des produits d'exploitation</v>
      </c>
      <c r="D26" s="9" t="str">
        <f>VLOOKUP(12,Textbausteine_201[],Hilfsgrössen!$D$2,FALSE)</f>
        <v>%</v>
      </c>
      <c r="E26" s="11"/>
      <c r="F26" s="11" t="s">
        <v>66</v>
      </c>
      <c r="G26" s="49"/>
      <c r="H26" s="181" t="s">
        <v>1595</v>
      </c>
      <c r="I26" s="105">
        <v>4.7</v>
      </c>
      <c r="J26" s="105">
        <v>6.6</v>
      </c>
      <c r="K26" s="105">
        <v>7</v>
      </c>
      <c r="L26" s="105">
        <v>4</v>
      </c>
      <c r="M26" s="20">
        <v>4.9000000000000004</v>
      </c>
      <c r="N26" s="20">
        <v>2.6</v>
      </c>
      <c r="O26" s="20">
        <v>5.7</v>
      </c>
      <c r="P26" s="137">
        <f>P25/P23*100</f>
        <v>4.0697674418604652</v>
      </c>
      <c r="Q26" s="137">
        <v>4.8</v>
      </c>
      <c r="R26" s="137">
        <v>6.6</v>
      </c>
      <c r="S26" s="137">
        <v>9</v>
      </c>
      <c r="T26" s="107">
        <v>6.5</v>
      </c>
      <c r="U26" s="107">
        <v>6.9</v>
      </c>
      <c r="V26" s="107">
        <v>9.1</v>
      </c>
      <c r="W26" s="264">
        <v>14.3</v>
      </c>
      <c r="X26" s="264">
        <v>13</v>
      </c>
      <c r="Y26" s="9"/>
    </row>
    <row r="27" spans="1:25" ht="13" customHeight="1" x14ac:dyDescent="0.3">
      <c r="C27" s="9" t="str">
        <f>VLOOKUP(40,Textbausteine_201[],Hilfsgrössen!$D$2,FALSE)</f>
        <v>Bénéfice consolidé</v>
      </c>
      <c r="D27" s="9" t="str">
        <f>VLOOKUP(11,Textbausteine_201[],Hilfsgrössen!$D$2,FALSE)</f>
        <v>Millions de CHF</v>
      </c>
      <c r="E27" s="11"/>
      <c r="F27" s="11" t="s">
        <v>66</v>
      </c>
      <c r="G27" s="49"/>
      <c r="H27" s="181" t="s">
        <v>1595</v>
      </c>
      <c r="I27" s="105">
        <v>811</v>
      </c>
      <c r="J27" s="105">
        <v>837</v>
      </c>
      <c r="K27" s="105">
        <v>909</v>
      </c>
      <c r="L27" s="105">
        <v>825</v>
      </c>
      <c r="M27" s="20">
        <v>728</v>
      </c>
      <c r="N27" s="20">
        <v>910</v>
      </c>
      <c r="O27" s="20">
        <v>904</v>
      </c>
      <c r="P27" s="137">
        <v>772</v>
      </c>
      <c r="Q27" s="137">
        <v>1751</v>
      </c>
      <c r="R27" s="137">
        <v>626</v>
      </c>
      <c r="S27" s="137">
        <v>638</v>
      </c>
      <c r="T27" s="107">
        <v>631</v>
      </c>
      <c r="U27" s="107">
        <v>645</v>
      </c>
      <c r="V27" s="107">
        <v>558</v>
      </c>
      <c r="W27" s="264">
        <v>375</v>
      </c>
      <c r="X27" s="264">
        <v>420</v>
      </c>
      <c r="Y27" s="9"/>
    </row>
    <row r="28" spans="1:25" ht="13" customHeight="1" x14ac:dyDescent="0.3">
      <c r="C28" s="9" t="str">
        <f>VLOOKUP(41,Textbausteine_201[],Hilfsgrössen!$D$2,FALSE)</f>
        <v>Flux de trésorerie des activités opérationnelles</v>
      </c>
      <c r="D28" s="9" t="str">
        <f>VLOOKUP(11,Textbausteine_201[],Hilfsgrössen!$D$2,FALSE)</f>
        <v>Millions de CHF</v>
      </c>
      <c r="E28" s="11"/>
      <c r="F28" s="11" t="s">
        <v>66</v>
      </c>
      <c r="G28" s="49"/>
      <c r="H28" s="181" t="s">
        <v>1595</v>
      </c>
      <c r="I28" s="105">
        <v>3603</v>
      </c>
      <c r="J28" s="105">
        <v>3247</v>
      </c>
      <c r="K28" s="105">
        <v>-3312</v>
      </c>
      <c r="L28" s="105">
        <v>8281</v>
      </c>
      <c r="M28" s="20">
        <v>-357</v>
      </c>
      <c r="N28" s="20">
        <v>-2271</v>
      </c>
      <c r="O28" s="20">
        <v>19703</v>
      </c>
      <c r="P28" s="137">
        <v>13424</v>
      </c>
      <c r="Q28" s="137">
        <v>-367</v>
      </c>
      <c r="R28" s="137">
        <v>-367</v>
      </c>
      <c r="S28" s="137">
        <v>-1925</v>
      </c>
      <c r="T28" s="107">
        <v>-2990</v>
      </c>
      <c r="U28" s="107">
        <v>-2990</v>
      </c>
      <c r="V28" s="107">
        <v>-354</v>
      </c>
      <c r="W28" s="264">
        <v>1941</v>
      </c>
      <c r="X28" s="264">
        <v>1941</v>
      </c>
      <c r="Y28" s="9"/>
    </row>
    <row r="29" spans="1:25" ht="13" customHeight="1" x14ac:dyDescent="0.3">
      <c r="A29" s="58"/>
      <c r="C29" s="9" t="str">
        <f>VLOOKUP(42,Textbausteine_201[],Hilfsgrössen!$D$2,FALSE)</f>
        <v>Valeur ajoutée de l'entreprise</v>
      </c>
      <c r="D29" s="9" t="str">
        <f>VLOOKUP(11,Textbausteine_201[],Hilfsgrössen!$D$2,FALSE)</f>
        <v>Millions de CHF</v>
      </c>
      <c r="E29" s="11">
        <v>3</v>
      </c>
      <c r="F29" s="11" t="s">
        <v>66</v>
      </c>
      <c r="G29" s="49"/>
      <c r="H29" s="181" t="s">
        <v>1595</v>
      </c>
      <c r="I29" s="105">
        <v>532</v>
      </c>
      <c r="J29" s="105">
        <v>532</v>
      </c>
      <c r="K29" s="105">
        <v>559</v>
      </c>
      <c r="L29" s="105">
        <v>416</v>
      </c>
      <c r="M29" s="20">
        <v>272</v>
      </c>
      <c r="N29" s="20">
        <v>452</v>
      </c>
      <c r="O29" s="20">
        <v>390</v>
      </c>
      <c r="P29" s="137">
        <v>269</v>
      </c>
      <c r="Q29" s="20" t="s">
        <v>62</v>
      </c>
      <c r="R29" s="20" t="s">
        <v>62</v>
      </c>
      <c r="S29" s="107">
        <v>207</v>
      </c>
      <c r="T29" s="107">
        <v>169</v>
      </c>
      <c r="U29" s="107">
        <v>169</v>
      </c>
      <c r="V29" s="107">
        <v>121</v>
      </c>
      <c r="W29" s="264">
        <v>9</v>
      </c>
      <c r="X29" s="264">
        <v>9</v>
      </c>
      <c r="Y29" s="9"/>
    </row>
    <row r="30" spans="1:25" ht="13" customHeight="1" x14ac:dyDescent="0.3">
      <c r="C30" s="9"/>
      <c r="D30" s="9"/>
      <c r="E30" s="11"/>
      <c r="F30" s="11"/>
      <c r="G30" s="49"/>
      <c r="H30" s="105"/>
      <c r="I30" s="105"/>
      <c r="J30" s="105"/>
      <c r="K30" s="105"/>
      <c r="L30" s="105"/>
      <c r="M30" s="20"/>
      <c r="N30" s="107"/>
      <c r="O30" s="107"/>
      <c r="P30" s="107"/>
      <c r="Q30" s="107"/>
      <c r="R30" s="107"/>
      <c r="S30" s="107"/>
      <c r="T30" s="107"/>
      <c r="U30" s="107"/>
      <c r="V30" s="107"/>
      <c r="W30" s="264"/>
      <c r="X30" s="264"/>
      <c r="Y30" s="9"/>
    </row>
    <row r="31" spans="1:25" ht="13" customHeight="1" x14ac:dyDescent="0.3">
      <c r="B31" s="8" t="str">
        <f>VLOOKUP(45,Textbausteine_Menu[],Hilfsgrössen!$D$2,FALSE)</f>
        <v>PostMail</v>
      </c>
      <c r="D31" s="9"/>
      <c r="E31" s="11"/>
      <c r="F31" s="13"/>
      <c r="G31" s="50"/>
      <c r="H31" s="105"/>
      <c r="I31" s="105"/>
      <c r="J31" s="105"/>
      <c r="K31" s="105"/>
      <c r="L31" s="107"/>
      <c r="M31" s="20"/>
      <c r="N31" s="107"/>
      <c r="O31" s="107"/>
      <c r="P31" s="20"/>
      <c r="Q31" s="20"/>
      <c r="R31" s="20"/>
      <c r="S31" s="20"/>
      <c r="T31" s="20"/>
      <c r="U31" s="20"/>
      <c r="V31" s="107"/>
      <c r="W31" s="264"/>
      <c r="X31" s="264"/>
      <c r="Y31" s="9"/>
    </row>
    <row r="32" spans="1:25" ht="13" customHeight="1" x14ac:dyDescent="0.3">
      <c r="C32" s="9" t="str">
        <f>VLOOKUP(31,Textbausteine_201[],Hilfsgrössen!$D$2,FALSE)</f>
        <v>Produits d'exploitation</v>
      </c>
      <c r="D32" s="9" t="str">
        <f>VLOOKUP(11,Textbausteine_201[],Hilfsgrössen!$D$2,FALSE)</f>
        <v>Millions de CHF</v>
      </c>
      <c r="E32" s="11"/>
      <c r="F32" s="11" t="s">
        <v>66</v>
      </c>
      <c r="G32" s="49"/>
      <c r="H32" s="181" t="s">
        <v>1595</v>
      </c>
      <c r="I32" s="107">
        <v>3178</v>
      </c>
      <c r="J32" s="107">
        <v>3028</v>
      </c>
      <c r="K32" s="107">
        <v>3008</v>
      </c>
      <c r="L32" s="107">
        <v>2916</v>
      </c>
      <c r="M32" s="20">
        <v>2808</v>
      </c>
      <c r="N32" s="20">
        <v>2619</v>
      </c>
      <c r="O32" s="20">
        <v>3141</v>
      </c>
      <c r="P32" s="107">
        <v>3102</v>
      </c>
      <c r="Q32" s="137">
        <v>2959</v>
      </c>
      <c r="R32" s="137">
        <v>2959</v>
      </c>
      <c r="S32" s="107">
        <v>2887</v>
      </c>
      <c r="T32" s="107">
        <v>2820</v>
      </c>
      <c r="U32" s="107">
        <v>2820</v>
      </c>
      <c r="V32" s="107">
        <v>2906</v>
      </c>
      <c r="W32" s="264">
        <v>2779</v>
      </c>
      <c r="X32" s="264">
        <v>2835</v>
      </c>
      <c r="Y32" s="9"/>
    </row>
    <row r="33" spans="2:25" ht="13" customHeight="1" x14ac:dyDescent="0.3">
      <c r="C33" s="15" t="str">
        <f>VLOOKUP(33,Textbausteine_201[],Hilfsgrössen!$D$2,FALSE)</f>
        <v>Services réservés</v>
      </c>
      <c r="D33" s="9" t="str">
        <f>VLOOKUP(12,Textbausteine_201[],Hilfsgrössen!$D$2,FALSE)</f>
        <v>%</v>
      </c>
      <c r="E33" s="11" t="s">
        <v>1714</v>
      </c>
      <c r="F33" s="11" t="s">
        <v>66</v>
      </c>
      <c r="G33" s="49"/>
      <c r="H33" s="181" t="s">
        <v>1595</v>
      </c>
      <c r="I33" s="107">
        <v>68.3</v>
      </c>
      <c r="J33" s="107">
        <v>59.5</v>
      </c>
      <c r="K33" s="107">
        <v>56.800000000000004</v>
      </c>
      <c r="L33" s="107">
        <v>58.1</v>
      </c>
      <c r="M33" s="20">
        <v>53.5</v>
      </c>
      <c r="N33" s="20">
        <v>39.1</v>
      </c>
      <c r="O33" s="20">
        <v>34</v>
      </c>
      <c r="P33" s="107">
        <v>34.4</v>
      </c>
      <c r="Q33" s="137">
        <v>33</v>
      </c>
      <c r="R33" s="137">
        <v>33</v>
      </c>
      <c r="S33" s="107">
        <v>33.4</v>
      </c>
      <c r="T33" s="107">
        <v>34.799999999999997</v>
      </c>
      <c r="U33" s="107">
        <v>34.799999999999997</v>
      </c>
      <c r="V33" s="107">
        <v>40</v>
      </c>
      <c r="W33" s="264">
        <v>41.5</v>
      </c>
      <c r="X33" s="264">
        <v>41.5</v>
      </c>
      <c r="Y33" s="9"/>
    </row>
    <row r="34" spans="2:25" ht="13" customHeight="1" x14ac:dyDescent="0.3">
      <c r="C34" s="9" t="str">
        <f>VLOOKUP(36,Textbausteine_201[],Hilfsgrössen!$D$2,FALSE)</f>
        <v>Résultat d'exploitation</v>
      </c>
      <c r="D34" s="9" t="str">
        <f>VLOOKUP(11,Textbausteine_201[],Hilfsgrössen!$D$2,FALSE)</f>
        <v>Millions de CHF</v>
      </c>
      <c r="E34" s="11"/>
      <c r="F34" s="11" t="s">
        <v>66</v>
      </c>
      <c r="G34" s="49"/>
      <c r="H34" s="181" t="s">
        <v>1595</v>
      </c>
      <c r="I34" s="107">
        <v>218</v>
      </c>
      <c r="J34" s="107">
        <v>383</v>
      </c>
      <c r="K34" s="107">
        <v>236</v>
      </c>
      <c r="L34" s="107">
        <v>249</v>
      </c>
      <c r="M34" s="20">
        <v>198</v>
      </c>
      <c r="N34" s="20">
        <v>199</v>
      </c>
      <c r="O34" s="20">
        <v>251</v>
      </c>
      <c r="P34" s="107">
        <v>346</v>
      </c>
      <c r="Q34" s="137">
        <v>491</v>
      </c>
      <c r="R34" s="137">
        <v>324</v>
      </c>
      <c r="S34" s="107">
        <v>334</v>
      </c>
      <c r="T34" s="107">
        <v>383</v>
      </c>
      <c r="U34" s="107">
        <v>358</v>
      </c>
      <c r="V34" s="107">
        <v>317</v>
      </c>
      <c r="W34" s="264">
        <v>315</v>
      </c>
      <c r="X34" s="264">
        <v>370</v>
      </c>
      <c r="Y34" s="9"/>
    </row>
    <row r="35" spans="2:25" ht="13" customHeight="1" x14ac:dyDescent="0.3">
      <c r="C35" s="9"/>
      <c r="D35" s="9"/>
      <c r="E35" s="11"/>
      <c r="F35" s="13"/>
      <c r="G35" s="50"/>
      <c r="H35" s="105"/>
      <c r="I35" s="105"/>
      <c r="J35" s="105"/>
      <c r="K35" s="105"/>
      <c r="L35" s="107"/>
      <c r="M35" s="107"/>
      <c r="N35" s="107"/>
      <c r="O35" s="107"/>
      <c r="P35" s="20"/>
      <c r="Q35" s="140"/>
      <c r="R35" s="140"/>
      <c r="S35" s="20"/>
      <c r="T35" s="20"/>
      <c r="U35" s="20"/>
      <c r="V35" s="107"/>
      <c r="W35" s="264"/>
      <c r="X35" s="264"/>
      <c r="Y35" s="9"/>
    </row>
    <row r="36" spans="2:25" ht="13" customHeight="1" x14ac:dyDescent="0.3">
      <c r="B36" s="8" t="str">
        <f>VLOOKUP(46,Textbausteine_Menu[],Hilfsgrössen!$D$2,FALSE)</f>
        <v>Swiss Post Solutions</v>
      </c>
      <c r="D36" s="8"/>
      <c r="E36" s="13"/>
      <c r="F36" s="13"/>
      <c r="G36" s="50"/>
      <c r="H36" s="105"/>
      <c r="I36" s="105"/>
      <c r="J36" s="105"/>
      <c r="K36" s="105"/>
      <c r="L36" s="107"/>
      <c r="M36" s="20"/>
      <c r="N36" s="20"/>
      <c r="O36" s="20"/>
      <c r="P36" s="20"/>
      <c r="Q36" s="140"/>
      <c r="R36" s="140"/>
      <c r="S36" s="20"/>
      <c r="T36" s="20"/>
      <c r="U36" s="20"/>
      <c r="V36" s="107"/>
      <c r="W36" s="264"/>
      <c r="X36" s="264"/>
      <c r="Y36" s="9"/>
    </row>
    <row r="37" spans="2:25" ht="13" customHeight="1" x14ac:dyDescent="0.3">
      <c r="C37" s="9" t="str">
        <f>VLOOKUP(31,Textbausteine_201[],Hilfsgrössen!$D$2,FALSE)</f>
        <v>Produits d'exploitation</v>
      </c>
      <c r="D37" s="18" t="str">
        <f>VLOOKUP(11,Textbausteine_201[],Hilfsgrössen!$D$2,FALSE)</f>
        <v>Millions de CHF</v>
      </c>
      <c r="E37" s="13">
        <v>5</v>
      </c>
      <c r="F37" s="11" t="s">
        <v>66</v>
      </c>
      <c r="G37" s="49"/>
      <c r="H37" s="181" t="s">
        <v>1595</v>
      </c>
      <c r="I37" s="181" t="s">
        <v>1595</v>
      </c>
      <c r="J37" s="181" t="s">
        <v>1595</v>
      </c>
      <c r="K37" s="105">
        <v>692</v>
      </c>
      <c r="L37" s="107">
        <v>708</v>
      </c>
      <c r="M37" s="20">
        <v>696</v>
      </c>
      <c r="N37" s="20">
        <v>665</v>
      </c>
      <c r="O37" s="20">
        <v>549</v>
      </c>
      <c r="P37" s="107">
        <v>549</v>
      </c>
      <c r="Q37" s="137">
        <v>616</v>
      </c>
      <c r="R37" s="137">
        <v>616</v>
      </c>
      <c r="S37" s="107">
        <v>659</v>
      </c>
      <c r="T37" s="107">
        <v>609</v>
      </c>
      <c r="U37" s="107">
        <v>609</v>
      </c>
      <c r="V37" s="107">
        <v>558</v>
      </c>
      <c r="W37" s="264">
        <v>551</v>
      </c>
      <c r="X37" s="264">
        <v>551</v>
      </c>
      <c r="Y37" s="9"/>
    </row>
    <row r="38" spans="2:25" ht="13" customHeight="1" x14ac:dyDescent="0.3">
      <c r="C38" s="9" t="str">
        <f>VLOOKUP(36,Textbausteine_201[],Hilfsgrössen!$D$2,FALSE)</f>
        <v>Résultat d'exploitation</v>
      </c>
      <c r="D38" s="18" t="str">
        <f>VLOOKUP(11,Textbausteine_201[],Hilfsgrössen!$D$2,FALSE)</f>
        <v>Millions de CHF</v>
      </c>
      <c r="E38" s="13">
        <v>5</v>
      </c>
      <c r="F38" s="11" t="s">
        <v>66</v>
      </c>
      <c r="G38" s="49"/>
      <c r="H38" s="181" t="s">
        <v>1595</v>
      </c>
      <c r="I38" s="181" t="s">
        <v>1595</v>
      </c>
      <c r="J38" s="181" t="s">
        <v>1595</v>
      </c>
      <c r="K38" s="105">
        <v>-1</v>
      </c>
      <c r="L38" s="107">
        <v>9</v>
      </c>
      <c r="M38" s="20">
        <v>-25</v>
      </c>
      <c r="N38" s="20">
        <v>7</v>
      </c>
      <c r="O38" s="20">
        <v>11</v>
      </c>
      <c r="P38" s="107">
        <v>3</v>
      </c>
      <c r="Q38" s="137">
        <v>15</v>
      </c>
      <c r="R38" s="137">
        <v>5</v>
      </c>
      <c r="S38" s="107">
        <v>12</v>
      </c>
      <c r="T38" s="107">
        <v>16</v>
      </c>
      <c r="U38" s="107">
        <v>15</v>
      </c>
      <c r="V38" s="107">
        <v>20</v>
      </c>
      <c r="W38" s="264">
        <v>25</v>
      </c>
      <c r="X38" s="264">
        <v>25</v>
      </c>
      <c r="Y38" s="9"/>
    </row>
    <row r="39" spans="2:25" ht="13" customHeight="1" x14ac:dyDescent="0.3">
      <c r="C39" s="9"/>
      <c r="D39" s="9"/>
      <c r="E39" s="11"/>
      <c r="F39" s="13"/>
      <c r="G39" s="50"/>
      <c r="H39" s="105"/>
      <c r="I39" s="105"/>
      <c r="J39" s="105"/>
      <c r="K39" s="105"/>
      <c r="L39" s="107"/>
      <c r="M39" s="107"/>
      <c r="N39" s="107"/>
      <c r="O39" s="107"/>
      <c r="P39" s="20"/>
      <c r="Q39" s="140"/>
      <c r="R39" s="140"/>
      <c r="S39" s="20"/>
      <c r="T39" s="20"/>
      <c r="U39" s="20"/>
      <c r="V39" s="107"/>
      <c r="W39" s="264"/>
      <c r="X39" s="264"/>
      <c r="Y39" s="9"/>
    </row>
    <row r="40" spans="2:25" ht="13" customHeight="1" x14ac:dyDescent="0.3">
      <c r="B40" s="8" t="str">
        <f>VLOOKUP(47,Textbausteine_Menu[],Hilfsgrössen!$D$2,FALSE)</f>
        <v>RéseauPostal</v>
      </c>
      <c r="D40" s="9"/>
      <c r="E40" s="13"/>
      <c r="F40" s="13"/>
      <c r="G40" s="50"/>
      <c r="H40" s="105"/>
      <c r="I40" s="105"/>
      <c r="J40" s="105"/>
      <c r="K40" s="105"/>
      <c r="L40" s="107"/>
      <c r="M40" s="20"/>
      <c r="N40" s="20"/>
      <c r="O40" s="20"/>
      <c r="P40" s="20"/>
      <c r="Q40" s="140"/>
      <c r="R40" s="140"/>
      <c r="S40" s="20"/>
      <c r="T40" s="20"/>
      <c r="U40" s="20"/>
      <c r="V40" s="107"/>
      <c r="W40" s="264"/>
      <c r="X40" s="264"/>
      <c r="Y40" s="9"/>
    </row>
    <row r="41" spans="2:25" ht="13" customHeight="1" x14ac:dyDescent="0.3">
      <c r="C41" s="9" t="str">
        <f>VLOOKUP(31,Textbausteine_201[],Hilfsgrössen!$D$2,FALSE)</f>
        <v>Produits d'exploitation</v>
      </c>
      <c r="D41" s="9" t="str">
        <f>VLOOKUP(11,Textbausteine_201[],Hilfsgrössen!$D$2,FALSE)</f>
        <v>Millions de CHF</v>
      </c>
      <c r="E41" s="13"/>
      <c r="F41" s="11" t="s">
        <v>66</v>
      </c>
      <c r="G41" s="49"/>
      <c r="H41" s="181" t="s">
        <v>1595</v>
      </c>
      <c r="I41" s="105">
        <v>1875</v>
      </c>
      <c r="J41" s="105">
        <v>1651</v>
      </c>
      <c r="K41" s="105">
        <v>1736</v>
      </c>
      <c r="L41" s="183">
        <v>1337</v>
      </c>
      <c r="M41" s="20">
        <v>1359</v>
      </c>
      <c r="N41" s="20">
        <v>1769</v>
      </c>
      <c r="O41" s="20">
        <v>1706</v>
      </c>
      <c r="P41" s="107">
        <v>1509</v>
      </c>
      <c r="Q41" s="137">
        <v>1592</v>
      </c>
      <c r="R41" s="137">
        <v>1697</v>
      </c>
      <c r="S41" s="137">
        <v>1663</v>
      </c>
      <c r="T41" s="107">
        <v>1601</v>
      </c>
      <c r="U41" s="107">
        <v>1601</v>
      </c>
      <c r="V41" s="107">
        <v>1196</v>
      </c>
      <c r="W41" s="264">
        <v>1102</v>
      </c>
      <c r="X41" s="264">
        <v>1102</v>
      </c>
      <c r="Y41" s="9"/>
    </row>
    <row r="42" spans="2:25" ht="13" customHeight="1" x14ac:dyDescent="0.3">
      <c r="C42" s="19" t="str">
        <f>VLOOKUP(33,Textbausteine_201[],Hilfsgrössen!$D$2,FALSE)</f>
        <v>Services réservés</v>
      </c>
      <c r="D42" s="9" t="str">
        <f>VLOOKUP(12,Textbausteine_201[],Hilfsgrössen!$D$2,FALSE)</f>
        <v>%</v>
      </c>
      <c r="E42" s="13">
        <v>4</v>
      </c>
      <c r="F42" s="11" t="s">
        <v>66</v>
      </c>
      <c r="G42" s="49"/>
      <c r="H42" s="181" t="s">
        <v>1595</v>
      </c>
      <c r="I42" s="20" t="s">
        <v>51</v>
      </c>
      <c r="J42" s="20" t="s">
        <v>51</v>
      </c>
      <c r="K42" s="20" t="s">
        <v>51</v>
      </c>
      <c r="L42" s="183" t="s">
        <v>51</v>
      </c>
      <c r="M42" s="20" t="s">
        <v>51</v>
      </c>
      <c r="N42" s="20" t="s">
        <v>51</v>
      </c>
      <c r="O42" s="20">
        <v>18.2</v>
      </c>
      <c r="P42" s="107">
        <v>17.3</v>
      </c>
      <c r="Q42" s="137">
        <v>16.5</v>
      </c>
      <c r="R42" s="137">
        <v>15.5</v>
      </c>
      <c r="S42" s="107">
        <v>15</v>
      </c>
      <c r="T42" s="107">
        <v>15.2</v>
      </c>
      <c r="U42" s="107">
        <v>15.2</v>
      </c>
      <c r="V42" s="107" t="s">
        <v>51</v>
      </c>
      <c r="W42" s="264" t="s">
        <v>51</v>
      </c>
      <c r="X42" s="264" t="s">
        <v>51</v>
      </c>
      <c r="Y42" s="9"/>
    </row>
    <row r="43" spans="2:25" ht="13" customHeight="1" x14ac:dyDescent="0.3">
      <c r="C43" s="15" t="str">
        <f>VLOOKUP(43,Textbausteine_201[],Hilfsgrössen!$D$2,FALSE)</f>
        <v>Chiffre d'affaires net autres articles de marque</v>
      </c>
      <c r="D43" s="9" t="str">
        <f>VLOOKUP(11,Textbausteine_201[],Hilfsgrössen!$D$2,FALSE)</f>
        <v>Millions de CHF</v>
      </c>
      <c r="E43" s="13"/>
      <c r="F43" s="11" t="s">
        <v>66</v>
      </c>
      <c r="G43" s="49"/>
      <c r="H43" s="181" t="s">
        <v>1595</v>
      </c>
      <c r="I43" s="105">
        <v>390</v>
      </c>
      <c r="J43" s="105">
        <v>405</v>
      </c>
      <c r="K43" s="105">
        <v>420</v>
      </c>
      <c r="L43" s="183">
        <v>444</v>
      </c>
      <c r="M43" s="20">
        <v>462</v>
      </c>
      <c r="N43" s="20">
        <v>482</v>
      </c>
      <c r="O43" s="20">
        <v>495</v>
      </c>
      <c r="P43" s="107">
        <v>498</v>
      </c>
      <c r="Q43" s="137">
        <v>497</v>
      </c>
      <c r="R43" s="137">
        <v>497</v>
      </c>
      <c r="S43" s="137">
        <v>509</v>
      </c>
      <c r="T43" s="107">
        <v>480</v>
      </c>
      <c r="U43" s="107">
        <v>480</v>
      </c>
      <c r="V43" s="107">
        <v>473</v>
      </c>
      <c r="W43" s="264">
        <v>425</v>
      </c>
      <c r="X43" s="264">
        <v>425</v>
      </c>
    </row>
    <row r="44" spans="2:25" ht="13" customHeight="1" x14ac:dyDescent="0.3">
      <c r="C44" s="9" t="str">
        <f>VLOOKUP(36,Textbausteine_201[],Hilfsgrössen!$D$2,FALSE)</f>
        <v>Résultat d'exploitation</v>
      </c>
      <c r="D44" s="9" t="str">
        <f>VLOOKUP(11,Textbausteine_201[],Hilfsgrössen!$D$2,FALSE)</f>
        <v>Millions de CHF</v>
      </c>
      <c r="E44" s="13"/>
      <c r="F44" s="11" t="s">
        <v>66</v>
      </c>
      <c r="G44" s="49"/>
      <c r="H44" s="181" t="s">
        <v>1595</v>
      </c>
      <c r="I44" s="105">
        <v>27</v>
      </c>
      <c r="J44" s="105">
        <v>-111</v>
      </c>
      <c r="K44" s="105">
        <v>-25</v>
      </c>
      <c r="L44" s="183">
        <v>-95</v>
      </c>
      <c r="M44" s="20">
        <v>-113</v>
      </c>
      <c r="N44" s="20">
        <v>-108</v>
      </c>
      <c r="O44" s="20">
        <v>-151</v>
      </c>
      <c r="P44" s="107">
        <v>-307</v>
      </c>
      <c r="Q44" s="137">
        <v>-110</v>
      </c>
      <c r="R44" s="137">
        <v>-91</v>
      </c>
      <c r="S44" s="137">
        <v>-100</v>
      </c>
      <c r="T44" s="107">
        <v>-100</v>
      </c>
      <c r="U44" s="107">
        <v>-110</v>
      </c>
      <c r="V44" s="107">
        <v>-193</v>
      </c>
      <c r="W44" s="264">
        <v>-159</v>
      </c>
      <c r="X44" s="264">
        <v>-159</v>
      </c>
    </row>
    <row r="45" spans="2:25" ht="13" customHeight="1" x14ac:dyDescent="0.3">
      <c r="C45" s="9"/>
      <c r="D45" s="9"/>
      <c r="E45" s="11"/>
      <c r="F45" s="11"/>
      <c r="G45" s="49"/>
      <c r="H45" s="105"/>
      <c r="I45" s="105"/>
      <c r="J45" s="105"/>
      <c r="K45" s="105"/>
      <c r="L45" s="107"/>
      <c r="M45" s="107"/>
      <c r="N45" s="107"/>
      <c r="O45" s="107"/>
      <c r="P45" s="105"/>
      <c r="Q45" s="184"/>
      <c r="R45" s="184"/>
      <c r="S45" s="105"/>
      <c r="T45" s="105"/>
      <c r="U45" s="105"/>
      <c r="V45" s="107"/>
      <c r="W45" s="264"/>
      <c r="X45" s="264"/>
    </row>
    <row r="46" spans="2:25" ht="13" customHeight="1" x14ac:dyDescent="0.3">
      <c r="B46" s="8" t="str">
        <f>VLOOKUP(48,Textbausteine_Menu[],Hilfsgrössen!$D$2,FALSE)</f>
        <v>PostLogistics</v>
      </c>
      <c r="D46" s="9"/>
      <c r="E46" s="11"/>
      <c r="F46" s="13"/>
      <c r="G46" s="50"/>
      <c r="H46" s="181"/>
      <c r="I46" s="107"/>
      <c r="J46" s="107"/>
      <c r="K46" s="107"/>
      <c r="L46" s="107"/>
      <c r="M46" s="20"/>
      <c r="N46" s="107"/>
      <c r="O46" s="107"/>
      <c r="P46" s="20"/>
      <c r="Q46" s="140"/>
      <c r="R46" s="140"/>
      <c r="S46" s="20"/>
      <c r="T46" s="20"/>
      <c r="U46" s="20"/>
      <c r="V46" s="107"/>
      <c r="W46" s="264"/>
      <c r="X46" s="264"/>
    </row>
    <row r="47" spans="2:25" ht="13" customHeight="1" x14ac:dyDescent="0.3">
      <c r="C47" s="9" t="str">
        <f>VLOOKUP(31,Textbausteine_201[],Hilfsgrössen!$D$2,FALSE)</f>
        <v>Produits d'exploitation</v>
      </c>
      <c r="D47" s="9" t="str">
        <f>VLOOKUP(11,Textbausteine_201[],Hilfsgrössen!$D$2,FALSE)</f>
        <v>Millions de CHF</v>
      </c>
      <c r="E47" s="11"/>
      <c r="F47" s="11" t="s">
        <v>66</v>
      </c>
      <c r="G47" s="49"/>
      <c r="H47" s="181" t="s">
        <v>1595</v>
      </c>
      <c r="I47" s="107">
        <v>1368</v>
      </c>
      <c r="J47" s="107">
        <v>1375</v>
      </c>
      <c r="K47" s="107">
        <v>1461</v>
      </c>
      <c r="L47" s="107">
        <v>1516</v>
      </c>
      <c r="M47" s="20">
        <v>1488</v>
      </c>
      <c r="N47" s="20">
        <v>1478</v>
      </c>
      <c r="O47" s="20">
        <v>1501</v>
      </c>
      <c r="P47" s="107">
        <v>1535</v>
      </c>
      <c r="Q47" s="137">
        <v>1581</v>
      </c>
      <c r="R47" s="137">
        <v>1581</v>
      </c>
      <c r="S47" s="137">
        <v>1562</v>
      </c>
      <c r="T47" s="107">
        <v>1552</v>
      </c>
      <c r="U47" s="107">
        <v>1552</v>
      </c>
      <c r="V47" s="107">
        <v>1572</v>
      </c>
      <c r="W47" s="264">
        <v>1618</v>
      </c>
      <c r="X47" s="264">
        <v>1619</v>
      </c>
    </row>
    <row r="48" spans="2:25" ht="13" customHeight="1" x14ac:dyDescent="0.3">
      <c r="C48" s="9" t="str">
        <f>VLOOKUP(36,Textbausteine_201[],Hilfsgrössen!$D$2,FALSE)</f>
        <v>Résultat d'exploitation</v>
      </c>
      <c r="D48" s="9" t="str">
        <f>VLOOKUP(11,Textbausteine_201[],Hilfsgrössen!$D$2,FALSE)</f>
        <v>Millions de CHF</v>
      </c>
      <c r="E48" s="11"/>
      <c r="F48" s="11" t="s">
        <v>66</v>
      </c>
      <c r="G48" s="49"/>
      <c r="H48" s="181" t="s">
        <v>1595</v>
      </c>
      <c r="I48" s="107">
        <v>87</v>
      </c>
      <c r="J48" s="107">
        <v>93</v>
      </c>
      <c r="K48" s="107">
        <v>76</v>
      </c>
      <c r="L48" s="107">
        <v>39</v>
      </c>
      <c r="M48" s="20">
        <v>45</v>
      </c>
      <c r="N48" s="20">
        <v>164</v>
      </c>
      <c r="O48" s="20">
        <v>162</v>
      </c>
      <c r="P48" s="107">
        <v>149</v>
      </c>
      <c r="Q48" s="137">
        <v>189</v>
      </c>
      <c r="R48" s="137">
        <v>133</v>
      </c>
      <c r="S48" s="137">
        <v>141</v>
      </c>
      <c r="T48" s="107">
        <v>152</v>
      </c>
      <c r="U48" s="107">
        <v>145</v>
      </c>
      <c r="V48" s="107">
        <v>117</v>
      </c>
      <c r="W48" s="264">
        <v>117</v>
      </c>
      <c r="X48" s="264">
        <v>119</v>
      </c>
    </row>
    <row r="49" spans="1:24" ht="13" customHeight="1" x14ac:dyDescent="0.3">
      <c r="A49" s="58"/>
      <c r="C49" s="9"/>
      <c r="D49" s="9"/>
      <c r="E49" s="11"/>
      <c r="F49" s="13"/>
      <c r="G49" s="50"/>
      <c r="H49" s="105"/>
      <c r="I49" s="105"/>
      <c r="J49" s="105"/>
      <c r="K49" s="105"/>
      <c r="L49" s="107"/>
      <c r="M49" s="107"/>
      <c r="N49" s="107"/>
      <c r="O49" s="107"/>
      <c r="P49" s="20"/>
      <c r="Q49" s="140"/>
      <c r="R49" s="140"/>
      <c r="S49" s="140"/>
      <c r="T49" s="20"/>
      <c r="U49" s="20"/>
      <c r="V49" s="107"/>
      <c r="W49" s="264"/>
      <c r="X49" s="264"/>
    </row>
    <row r="50" spans="1:24" ht="13" customHeight="1" x14ac:dyDescent="0.3">
      <c r="B50" s="8" t="str">
        <f>VLOOKUP(49,Textbausteine_Menu[],Hilfsgrössen!$D$2,FALSE)</f>
        <v>PostFinance</v>
      </c>
      <c r="D50" s="9"/>
      <c r="E50" s="11"/>
      <c r="F50" s="11"/>
      <c r="G50" s="49"/>
      <c r="H50" s="105"/>
      <c r="I50" s="105"/>
      <c r="J50" s="105"/>
      <c r="K50" s="105"/>
      <c r="L50" s="107"/>
      <c r="M50" s="20"/>
      <c r="N50" s="107"/>
      <c r="O50" s="107"/>
      <c r="P50" s="105"/>
      <c r="Q50" s="184"/>
      <c r="R50" s="184"/>
      <c r="S50" s="184"/>
      <c r="T50" s="105"/>
      <c r="U50" s="105"/>
      <c r="V50" s="107"/>
      <c r="W50" s="264"/>
      <c r="X50" s="264"/>
    </row>
    <row r="51" spans="1:24" ht="13" customHeight="1" x14ac:dyDescent="0.3">
      <c r="C51" s="9" t="str">
        <f>VLOOKUP(31,Textbausteine_201[],Hilfsgrössen!$D$2,FALSE)</f>
        <v>Produits d'exploitation</v>
      </c>
      <c r="D51" s="9" t="str">
        <f>VLOOKUP(11,Textbausteine_201[],Hilfsgrössen!$D$2,FALSE)</f>
        <v>Millions de CHF</v>
      </c>
      <c r="E51" s="11"/>
      <c r="F51" s="11" t="s">
        <v>66</v>
      </c>
      <c r="G51" s="49"/>
      <c r="H51" s="181" t="s">
        <v>1595</v>
      </c>
      <c r="I51" s="184">
        <v>1529</v>
      </c>
      <c r="J51" s="184">
        <v>1587</v>
      </c>
      <c r="K51" s="184">
        <v>1937</v>
      </c>
      <c r="L51" s="185">
        <v>2191</v>
      </c>
      <c r="M51" s="20">
        <v>2160</v>
      </c>
      <c r="N51" s="20">
        <v>2389</v>
      </c>
      <c r="O51" s="20">
        <v>2451</v>
      </c>
      <c r="P51" s="107">
        <v>2356</v>
      </c>
      <c r="Q51" s="137">
        <v>2377</v>
      </c>
      <c r="R51" s="137">
        <v>2377</v>
      </c>
      <c r="S51" s="20" t="s">
        <v>63</v>
      </c>
      <c r="T51" s="107">
        <v>2143</v>
      </c>
      <c r="U51" s="107">
        <v>2143</v>
      </c>
      <c r="V51" s="107">
        <v>2155</v>
      </c>
      <c r="W51" s="264">
        <v>2088</v>
      </c>
      <c r="X51" s="264">
        <v>2088</v>
      </c>
    </row>
    <row r="52" spans="1:24" ht="13" customHeight="1" x14ac:dyDescent="0.3">
      <c r="C52" s="9" t="str">
        <f>VLOOKUP(36,Textbausteine_201[],Hilfsgrössen!$D$2,FALSE)</f>
        <v>Résultat d'exploitation</v>
      </c>
      <c r="D52" s="9" t="str">
        <f>VLOOKUP(11,Textbausteine_201[],Hilfsgrössen!$D$2,FALSE)</f>
        <v>Millions de CHF</v>
      </c>
      <c r="E52" s="11"/>
      <c r="F52" s="11" t="s">
        <v>66</v>
      </c>
      <c r="G52" s="49"/>
      <c r="H52" s="181" t="s">
        <v>1595</v>
      </c>
      <c r="I52" s="184">
        <v>312</v>
      </c>
      <c r="J52" s="184">
        <v>245</v>
      </c>
      <c r="K52" s="184">
        <v>318</v>
      </c>
      <c r="L52" s="185">
        <v>229</v>
      </c>
      <c r="M52" s="20">
        <v>441</v>
      </c>
      <c r="N52" s="20">
        <v>571</v>
      </c>
      <c r="O52" s="20">
        <v>591</v>
      </c>
      <c r="P52" s="107">
        <v>623</v>
      </c>
      <c r="Q52" s="137">
        <v>588</v>
      </c>
      <c r="R52" s="137">
        <v>537</v>
      </c>
      <c r="S52" s="137">
        <v>382</v>
      </c>
      <c r="T52" s="107">
        <v>463</v>
      </c>
      <c r="U52" s="107">
        <v>459</v>
      </c>
      <c r="V52" s="107">
        <v>542</v>
      </c>
      <c r="W52" s="264">
        <v>549</v>
      </c>
      <c r="X52" s="264">
        <v>549</v>
      </c>
    </row>
    <row r="53" spans="1:24" ht="13" customHeight="1" x14ac:dyDescent="0.3">
      <c r="C53" s="9"/>
      <c r="D53" s="9"/>
      <c r="E53" s="11"/>
      <c r="F53" s="11"/>
      <c r="G53" s="49"/>
      <c r="H53" s="105"/>
      <c r="I53" s="105"/>
      <c r="J53" s="105"/>
      <c r="K53" s="105"/>
      <c r="L53" s="107"/>
      <c r="M53" s="107"/>
      <c r="N53" s="107"/>
      <c r="O53" s="107"/>
      <c r="P53" s="107"/>
      <c r="Q53" s="137"/>
      <c r="R53" s="137"/>
      <c r="S53" s="137"/>
      <c r="T53" s="107"/>
      <c r="U53" s="107"/>
      <c r="V53" s="107"/>
      <c r="W53" s="264"/>
      <c r="X53" s="264"/>
    </row>
    <row r="54" spans="1:24" ht="13" customHeight="1" x14ac:dyDescent="0.3">
      <c r="B54" s="8" t="str">
        <f>VLOOKUP(50,Textbausteine_Menu[],Hilfsgrössen!$D$2,FALSE)</f>
        <v>CarPostal</v>
      </c>
      <c r="D54" s="9"/>
      <c r="E54" s="11"/>
      <c r="F54" s="11"/>
      <c r="G54" s="49"/>
      <c r="H54" s="105"/>
      <c r="I54" s="105"/>
      <c r="J54" s="105"/>
      <c r="K54" s="105"/>
      <c r="L54" s="107"/>
      <c r="M54" s="20"/>
      <c r="N54" s="107"/>
      <c r="O54" s="107"/>
      <c r="P54" s="107"/>
      <c r="Q54" s="137"/>
      <c r="R54" s="137"/>
      <c r="S54" s="137"/>
      <c r="T54" s="107"/>
      <c r="U54" s="107"/>
      <c r="V54" s="107"/>
      <c r="W54" s="264"/>
      <c r="X54" s="264"/>
    </row>
    <row r="55" spans="1:24" ht="13" customHeight="1" x14ac:dyDescent="0.3">
      <c r="C55" s="9" t="str">
        <f>VLOOKUP(31,Textbausteine_201[],Hilfsgrössen!$D$2,FALSE)</f>
        <v>Produits d'exploitation</v>
      </c>
      <c r="D55" s="9" t="str">
        <f>VLOOKUP(11,Textbausteine_201[],Hilfsgrössen!$D$2,FALSE)</f>
        <v>Millions de CHF</v>
      </c>
      <c r="E55" s="11"/>
      <c r="F55" s="11" t="s">
        <v>66</v>
      </c>
      <c r="G55" s="49"/>
      <c r="H55" s="181" t="s">
        <v>1595</v>
      </c>
      <c r="I55" s="107">
        <v>559</v>
      </c>
      <c r="J55" s="107">
        <v>579</v>
      </c>
      <c r="K55" s="107">
        <v>585</v>
      </c>
      <c r="L55" s="107">
        <v>604</v>
      </c>
      <c r="M55" s="20">
        <v>640</v>
      </c>
      <c r="N55" s="20">
        <v>702</v>
      </c>
      <c r="O55" s="20">
        <v>719</v>
      </c>
      <c r="P55" s="107">
        <v>778</v>
      </c>
      <c r="Q55" s="137">
        <v>812</v>
      </c>
      <c r="R55" s="137">
        <v>812</v>
      </c>
      <c r="S55" s="137">
        <v>835</v>
      </c>
      <c r="T55" s="107">
        <v>849</v>
      </c>
      <c r="U55" s="107">
        <v>849</v>
      </c>
      <c r="V55" s="107">
        <v>923</v>
      </c>
      <c r="W55" s="264">
        <v>836</v>
      </c>
      <c r="X55" s="264">
        <v>836</v>
      </c>
    </row>
    <row r="56" spans="1:24" ht="13" customHeight="1" x14ac:dyDescent="0.3">
      <c r="C56" s="15" t="str">
        <f>VLOOKUP(32,Textbausteine_201[],Hilfsgrössen!$D$2,FALSE)</f>
        <v>réalisés à l’étranger et transfrontalier</v>
      </c>
      <c r="D56" s="9" t="str">
        <f>VLOOKUP(12,Textbausteine_201[],Hilfsgrössen!$D$2,FALSE)</f>
        <v>%</v>
      </c>
      <c r="E56" s="11"/>
      <c r="F56" s="11" t="s">
        <v>66</v>
      </c>
      <c r="G56" s="49"/>
      <c r="H56" s="181" t="s">
        <v>1595</v>
      </c>
      <c r="I56" s="107">
        <v>3.2</v>
      </c>
      <c r="J56" s="107">
        <v>4.7</v>
      </c>
      <c r="K56" s="107">
        <v>5.6</v>
      </c>
      <c r="L56" s="107">
        <v>5.4</v>
      </c>
      <c r="M56" s="20">
        <v>7.2</v>
      </c>
      <c r="N56" s="20">
        <v>9.3000000000000007</v>
      </c>
      <c r="O56" s="20">
        <v>9</v>
      </c>
      <c r="P56" s="107">
        <v>10.9</v>
      </c>
      <c r="Q56" s="137">
        <v>12</v>
      </c>
      <c r="R56" s="137">
        <v>12</v>
      </c>
      <c r="S56" s="137">
        <v>13.2</v>
      </c>
      <c r="T56" s="137">
        <v>13</v>
      </c>
      <c r="U56" s="107">
        <v>12.2</v>
      </c>
      <c r="V56" s="107">
        <v>14.3</v>
      </c>
      <c r="W56" s="264">
        <v>16.3</v>
      </c>
      <c r="X56" s="264">
        <v>16.3</v>
      </c>
    </row>
    <row r="57" spans="1:24" ht="13" customHeight="1" x14ac:dyDescent="0.3">
      <c r="C57" s="9" t="str">
        <f>VLOOKUP(36,Textbausteine_201[],Hilfsgrössen!$D$2,FALSE)</f>
        <v>Résultat d'exploitation</v>
      </c>
      <c r="D57" s="9" t="str">
        <f>VLOOKUP(11,Textbausteine_201[],Hilfsgrössen!$D$2,FALSE)</f>
        <v>Millions de CHF</v>
      </c>
      <c r="E57" s="11"/>
      <c r="F57" s="11" t="s">
        <v>66</v>
      </c>
      <c r="G57" s="49"/>
      <c r="H57" s="181" t="s">
        <v>1595</v>
      </c>
      <c r="I57" s="107">
        <v>29</v>
      </c>
      <c r="J57" s="107">
        <v>28</v>
      </c>
      <c r="K57" s="107">
        <v>32</v>
      </c>
      <c r="L57" s="107">
        <v>27</v>
      </c>
      <c r="M57" s="20">
        <v>27</v>
      </c>
      <c r="N57" s="20">
        <v>28</v>
      </c>
      <c r="O57" s="20">
        <v>33</v>
      </c>
      <c r="P57" s="107">
        <v>35</v>
      </c>
      <c r="Q57" s="137">
        <v>65</v>
      </c>
      <c r="R57" s="137">
        <v>28</v>
      </c>
      <c r="S57" s="137">
        <v>30</v>
      </c>
      <c r="T57" s="107">
        <v>33</v>
      </c>
      <c r="U57" s="107">
        <v>29</v>
      </c>
      <c r="V57" s="107">
        <v>36</v>
      </c>
      <c r="W57" s="264">
        <v>-69</v>
      </c>
      <c r="X57" s="264">
        <v>-69</v>
      </c>
    </row>
    <row r="58" spans="1:24" ht="13" customHeight="1" x14ac:dyDescent="0.3">
      <c r="C58" s="9"/>
      <c r="D58" s="9"/>
      <c r="E58" s="11"/>
      <c r="F58" s="11"/>
      <c r="G58" s="49"/>
      <c r="H58" s="105"/>
      <c r="I58" s="105"/>
      <c r="J58" s="105"/>
      <c r="K58" s="105"/>
      <c r="L58" s="107"/>
      <c r="M58" s="107"/>
      <c r="N58" s="107"/>
      <c r="O58" s="107"/>
      <c r="P58" s="107"/>
      <c r="Q58" s="137"/>
      <c r="R58" s="137"/>
      <c r="S58" s="137"/>
      <c r="T58" s="107"/>
      <c r="U58" s="107"/>
      <c r="V58" s="107"/>
      <c r="W58" s="264"/>
      <c r="X58" s="264"/>
    </row>
    <row r="59" spans="1:24" ht="13" customHeight="1" x14ac:dyDescent="0.3">
      <c r="B59" s="8" t="str">
        <f>VLOOKUP(51,Textbausteine_Menu[],Hilfsgrössen!$D$2,FALSE)</f>
        <v>Autres</v>
      </c>
      <c r="D59" s="9"/>
      <c r="E59" s="13"/>
      <c r="F59" s="11"/>
      <c r="G59" s="49"/>
      <c r="H59" s="105"/>
      <c r="I59" s="105"/>
      <c r="J59" s="105"/>
      <c r="K59" s="105"/>
      <c r="L59" s="107"/>
      <c r="M59" s="20"/>
      <c r="N59" s="20"/>
      <c r="O59" s="20"/>
      <c r="P59" s="107"/>
      <c r="Q59" s="137"/>
      <c r="R59" s="137"/>
      <c r="S59" s="137"/>
      <c r="T59" s="107"/>
      <c r="U59" s="107"/>
      <c r="V59" s="107"/>
      <c r="W59" s="264"/>
      <c r="X59" s="264"/>
    </row>
    <row r="60" spans="1:24" ht="13" customHeight="1" x14ac:dyDescent="0.3">
      <c r="C60" s="9" t="str">
        <f>VLOOKUP(31,Textbausteine_201[],Hilfsgrössen!$D$2,FALSE)</f>
        <v>Produits d'exploitation</v>
      </c>
      <c r="D60" s="9" t="str">
        <f>VLOOKUP(11,Textbausteine_201[],Hilfsgrössen!$D$2,FALSE)</f>
        <v>Millions de CHF</v>
      </c>
      <c r="E60" s="13"/>
      <c r="F60" s="11" t="s">
        <v>66</v>
      </c>
      <c r="G60" s="49"/>
      <c r="H60" s="181" t="s">
        <v>1595</v>
      </c>
      <c r="I60" s="20">
        <v>858</v>
      </c>
      <c r="J60" s="20">
        <v>882</v>
      </c>
      <c r="K60" s="20">
        <v>1018</v>
      </c>
      <c r="L60" s="20">
        <v>1176</v>
      </c>
      <c r="M60" s="20">
        <v>1030</v>
      </c>
      <c r="N60" s="20">
        <v>968</v>
      </c>
      <c r="O60" s="20">
        <v>945</v>
      </c>
      <c r="P60" s="107">
        <v>937</v>
      </c>
      <c r="Q60" s="137">
        <v>897</v>
      </c>
      <c r="R60" s="137">
        <v>897</v>
      </c>
      <c r="S60" s="137">
        <v>886</v>
      </c>
      <c r="T60" s="107">
        <v>941</v>
      </c>
      <c r="U60" s="107">
        <v>941</v>
      </c>
      <c r="V60" s="107">
        <v>919</v>
      </c>
      <c r="W60" s="264">
        <v>889</v>
      </c>
      <c r="X60" s="264">
        <v>889</v>
      </c>
    </row>
    <row r="61" spans="1:24" ht="13" customHeight="1" x14ac:dyDescent="0.3">
      <c r="C61" s="9" t="str">
        <f>VLOOKUP(36,Textbausteine_201[],Hilfsgrössen!$D$2,FALSE)</f>
        <v>Résultat d'exploitation</v>
      </c>
      <c r="D61" s="9" t="str">
        <f>VLOOKUP(11,Textbausteine_201[],Hilfsgrössen!$D$2,FALSE)</f>
        <v>Millions de CHF</v>
      </c>
      <c r="E61" s="13"/>
      <c r="F61" s="11" t="s">
        <v>66</v>
      </c>
      <c r="G61" s="49"/>
      <c r="H61" s="181" t="s">
        <v>1595</v>
      </c>
      <c r="I61" s="20">
        <v>92</v>
      </c>
      <c r="J61" s="20">
        <v>136</v>
      </c>
      <c r="K61" s="20">
        <v>196</v>
      </c>
      <c r="L61" s="20">
        <v>318</v>
      </c>
      <c r="M61" s="20">
        <v>95</v>
      </c>
      <c r="N61" s="20">
        <v>20</v>
      </c>
      <c r="O61" s="20">
        <v>11</v>
      </c>
      <c r="P61" s="107">
        <v>7</v>
      </c>
      <c r="Q61" s="137">
        <v>3</v>
      </c>
      <c r="R61" s="137">
        <v>-25</v>
      </c>
      <c r="S61" s="137">
        <v>4</v>
      </c>
      <c r="T61" s="107">
        <v>-71</v>
      </c>
      <c r="U61" s="107">
        <v>-73</v>
      </c>
      <c r="V61" s="107">
        <v>-135</v>
      </c>
      <c r="W61" s="264">
        <v>-201</v>
      </c>
      <c r="X61" s="264">
        <v>-201</v>
      </c>
    </row>
    <row r="62" spans="1:24" ht="13" customHeight="1" x14ac:dyDescent="0.3">
      <c r="B62" s="9"/>
      <c r="C62" s="9"/>
      <c r="D62" s="9"/>
      <c r="E62" s="11"/>
      <c r="F62" s="11"/>
      <c r="G62" s="49"/>
      <c r="H62" s="105"/>
      <c r="I62" s="105"/>
      <c r="J62" s="105"/>
      <c r="K62" s="105"/>
      <c r="L62" s="105"/>
      <c r="M62" s="105"/>
      <c r="N62" s="107"/>
      <c r="O62" s="107"/>
      <c r="P62" s="107"/>
      <c r="Q62" s="107"/>
      <c r="R62" s="107"/>
      <c r="S62" s="107"/>
      <c r="T62" s="107"/>
      <c r="U62" s="107"/>
      <c r="V62" s="107"/>
      <c r="W62" s="107"/>
    </row>
    <row r="63" spans="1:24" ht="13" customHeight="1" x14ac:dyDescent="0.3">
      <c r="B63" s="22" t="str">
        <f>VLOOKUP(131,Textbausteine_201[],Hilfsgrössen!$D$2,FALSE)</f>
        <v>1) En adéquation avec le segment 2 dans le rapport financier: l'étranger inclut le trafic transfrontalier.</v>
      </c>
      <c r="C63" s="9"/>
      <c r="D63" s="9"/>
      <c r="E63" s="11"/>
      <c r="F63" s="11"/>
      <c r="G63" s="49"/>
      <c r="H63" s="105"/>
      <c r="I63" s="105"/>
      <c r="J63" s="105"/>
      <c r="K63" s="105"/>
      <c r="L63" s="105"/>
      <c r="M63" s="105"/>
      <c r="N63" s="107"/>
      <c r="O63" s="107"/>
      <c r="P63" s="107"/>
      <c r="Q63" s="107"/>
      <c r="R63" s="105"/>
      <c r="S63" s="105"/>
      <c r="T63" s="105"/>
      <c r="U63" s="105"/>
      <c r="V63" s="107"/>
      <c r="W63" s="107"/>
    </row>
    <row r="64" spans="1:24" s="21" customFormat="1" ht="13" customHeight="1" x14ac:dyDescent="0.3">
      <c r="A64" s="86"/>
      <c r="B64" s="22" t="str">
        <f>VLOOKUP(132,Textbausteine_201[],Hilfsgrössen!$D$2,FALSE)</f>
        <v>2) Les services réservés sont des services faisant partie du service universel postal. Ils sont proposés exclusivement par la Poste, qui est tenue de les fournir. Ils relèvent du monopole.</v>
      </c>
      <c r="D64" s="23"/>
      <c r="E64" s="41"/>
      <c r="F64" s="41"/>
      <c r="G64" s="51"/>
      <c r="H64" s="186"/>
      <c r="I64" s="186"/>
      <c r="J64" s="186"/>
      <c r="K64" s="186"/>
      <c r="L64" s="186"/>
      <c r="M64" s="186"/>
      <c r="N64" s="186"/>
      <c r="O64" s="186"/>
      <c r="P64" s="186"/>
      <c r="Q64" s="186"/>
      <c r="R64" s="186"/>
      <c r="S64" s="186"/>
      <c r="T64" s="186"/>
      <c r="U64" s="186"/>
      <c r="V64" s="107"/>
      <c r="W64" s="107"/>
    </row>
    <row r="65" spans="1:28" s="21" customFormat="1" ht="13" customHeight="1" x14ac:dyDescent="0.3">
      <c r="A65" s="86"/>
      <c r="B65" s="22" t="str">
        <f>VLOOKUP(133,Textbausteine_201[],Hilfsgrössen!$D$2,FALSE)</f>
        <v>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v>
      </c>
      <c r="D65" s="23"/>
      <c r="E65" s="41"/>
      <c r="F65" s="41"/>
      <c r="G65" s="51"/>
      <c r="H65" s="186"/>
      <c r="I65" s="186"/>
      <c r="J65" s="186"/>
      <c r="K65" s="186"/>
      <c r="L65" s="186"/>
      <c r="M65" s="186"/>
      <c r="N65" s="186"/>
      <c r="O65" s="186"/>
      <c r="P65" s="186"/>
      <c r="Q65" s="186"/>
      <c r="R65" s="186"/>
      <c r="S65" s="186"/>
      <c r="T65" s="186"/>
      <c r="U65" s="186"/>
      <c r="V65" s="107"/>
      <c r="W65" s="107"/>
    </row>
    <row r="66" spans="1:28" s="21" customFormat="1" ht="13" customHeight="1" x14ac:dyDescent="0.3">
      <c r="A66" s="86"/>
      <c r="B66" s="22" t="str">
        <f>VLOOKUP(134,Textbausteine_201[],Hilfsgrössen!$D$2,FALSE)</f>
        <v>4) La responsabilité des produits pour particuliers a été transférée de Réseau postal et vente à PostMail et à PostLogistics avec effet au 1er janvier 2016. Réseau postal et vente ne présente donc plus de produits d'exploitation provenant des services réservés; ceux-ci figurent désormais exclusivement dans les produits d'exploitation de PostMail.</v>
      </c>
      <c r="D66" s="23"/>
      <c r="E66" s="41"/>
      <c r="F66" s="41"/>
      <c r="G66" s="51"/>
      <c r="H66" s="186"/>
      <c r="I66" s="186"/>
      <c r="J66" s="186"/>
      <c r="K66" s="186"/>
      <c r="L66" s="186"/>
      <c r="M66" s="186"/>
      <c r="N66" s="186"/>
      <c r="O66" s="186"/>
      <c r="P66" s="186"/>
      <c r="Q66" s="186"/>
      <c r="R66" s="186"/>
      <c r="S66" s="186"/>
      <c r="T66" s="186"/>
      <c r="U66" s="186"/>
      <c r="V66" s="107"/>
      <c r="W66" s="107"/>
    </row>
    <row r="67" spans="1:28" s="21" customFormat="1" ht="13" customHeight="1" x14ac:dyDescent="0.3">
      <c r="A67" s="86"/>
      <c r="B67" s="22" t="str">
        <f>VLOOKUP(135,Textbausteine_201[],Hilfsgrössen!$D$2,FALSE)</f>
        <v>5) En 2007, des sociétés du groupe des segments PostMail (DocumentServices SA, SwissSign SA) et PostLogistics (yellowworld SA) ont été transférées au segment Swiss Post Solutions.</v>
      </c>
      <c r="D67" s="25"/>
      <c r="E67" s="42"/>
      <c r="F67" s="42"/>
      <c r="G67" s="52"/>
      <c r="H67" s="187"/>
      <c r="I67" s="187"/>
      <c r="J67" s="187"/>
      <c r="K67" s="187"/>
      <c r="L67" s="187"/>
      <c r="M67" s="187"/>
      <c r="N67" s="187"/>
      <c r="O67" s="187"/>
      <c r="P67" s="187"/>
      <c r="Q67" s="187"/>
      <c r="R67" s="187"/>
      <c r="S67" s="187"/>
      <c r="T67" s="187"/>
      <c r="U67" s="187"/>
      <c r="V67" s="20"/>
      <c r="W67" s="20"/>
    </row>
    <row r="68" spans="1:28" s="21" customFormat="1" ht="13" customHeight="1" x14ac:dyDescent="0.3">
      <c r="A68" s="86"/>
      <c r="B68" s="22" t="str">
        <f>VLOOKUP(136,Textbausteine_201[],Hilfsgrössen!$D$2,FALSE)</f>
        <v>6) Valeurs normalisées 2017, 2015 et 2013</v>
      </c>
      <c r="D68" s="25"/>
      <c r="E68" s="42"/>
      <c r="F68" s="42"/>
      <c r="G68" s="52"/>
      <c r="H68" s="187"/>
      <c r="I68" s="187"/>
      <c r="J68" s="187"/>
      <c r="K68" s="187"/>
      <c r="L68" s="187"/>
      <c r="M68" s="187"/>
      <c r="N68" s="187"/>
      <c r="O68" s="187"/>
      <c r="P68" s="187"/>
      <c r="Q68" s="187"/>
      <c r="R68" s="187"/>
      <c r="S68" s="187"/>
      <c r="T68" s="187"/>
      <c r="U68" s="187"/>
      <c r="V68" s="20"/>
      <c r="W68" s="20"/>
    </row>
    <row r="72" spans="1:28" s="31" customFormat="1" ht="13" customHeight="1" x14ac:dyDescent="0.3">
      <c r="A72" s="81" t="s">
        <v>900</v>
      </c>
      <c r="B72" s="389" t="str">
        <f>$C$8</f>
        <v>Répartition de la valeur ajoutée</v>
      </c>
      <c r="C72" s="389"/>
      <c r="D72" s="6" t="str">
        <f>VLOOKUP(32,Textbausteine_Menu[],Hilfsgrössen!$D$2,FALSE)</f>
        <v>Unité</v>
      </c>
      <c r="E72" s="40" t="str">
        <f>VLOOKUP(33,Textbausteine_Menu[],Hilfsgrössen!$D$2,FALSE)</f>
        <v>Notes</v>
      </c>
      <c r="F72" s="40" t="str">
        <f>VLOOKUP(34,Textbausteine_Menu[],Hilfsgrössen!$D$2,FALSE)</f>
        <v>GRI</v>
      </c>
      <c r="G72" s="48"/>
      <c r="H72" s="95">
        <v>2004</v>
      </c>
      <c r="I72" s="95">
        <v>2005</v>
      </c>
      <c r="J72" s="117">
        <v>2006</v>
      </c>
      <c r="K72" s="117">
        <v>2007</v>
      </c>
      <c r="L72" s="117">
        <v>2008</v>
      </c>
      <c r="M72" s="117">
        <v>2009</v>
      </c>
      <c r="N72" s="117">
        <v>2010</v>
      </c>
      <c r="O72" s="117">
        <v>2011</v>
      </c>
      <c r="P72" s="117">
        <v>2012</v>
      </c>
      <c r="Q72" s="117">
        <v>2013</v>
      </c>
      <c r="R72" s="117" t="s">
        <v>58</v>
      </c>
      <c r="S72" s="104">
        <v>2014</v>
      </c>
      <c r="T72" s="104">
        <v>2015</v>
      </c>
      <c r="U72" s="117" t="s">
        <v>59</v>
      </c>
      <c r="V72" s="117">
        <v>2016</v>
      </c>
      <c r="W72" s="350">
        <v>2017</v>
      </c>
      <c r="X72" s="353" t="s">
        <v>2555</v>
      </c>
      <c r="Y72" s="6"/>
    </row>
    <row r="73" spans="1:28" s="31" customFormat="1" ht="13" customHeight="1" x14ac:dyDescent="0.3">
      <c r="A73" s="86"/>
      <c r="B73" s="389"/>
      <c r="C73" s="389"/>
      <c r="D73" s="6"/>
      <c r="E73" s="40"/>
      <c r="F73" s="40"/>
      <c r="G73" s="48"/>
      <c r="H73" s="95"/>
      <c r="I73" s="95"/>
      <c r="J73" s="117"/>
      <c r="K73" s="117"/>
      <c r="L73" s="117"/>
      <c r="M73" s="117"/>
      <c r="N73" s="117"/>
      <c r="O73" s="117"/>
      <c r="P73" s="117"/>
      <c r="Q73" s="117"/>
      <c r="R73" s="117"/>
      <c r="S73" s="104"/>
      <c r="T73" s="104"/>
      <c r="U73" s="104"/>
      <c r="V73" s="20"/>
      <c r="W73" s="351"/>
      <c r="X73" s="354"/>
      <c r="Y73" s="6"/>
    </row>
    <row r="74" spans="1:28" ht="13" customHeight="1" x14ac:dyDescent="0.3">
      <c r="A74" s="63"/>
      <c r="C74" s="27"/>
      <c r="D74" s="18"/>
      <c r="E74" s="13"/>
      <c r="F74" s="11"/>
      <c r="G74" s="49"/>
      <c r="J74" s="20"/>
      <c r="K74" s="20"/>
      <c r="L74" s="20"/>
      <c r="M74" s="20"/>
      <c r="N74" s="20"/>
      <c r="O74" s="20"/>
      <c r="P74" s="20"/>
      <c r="Q74" s="20"/>
      <c r="R74" s="107"/>
      <c r="S74" s="107"/>
      <c r="T74" s="107"/>
      <c r="U74" s="107"/>
      <c r="V74" s="119"/>
      <c r="W74" s="352"/>
      <c r="X74" s="355"/>
      <c r="Y74" s="9"/>
    </row>
    <row r="75" spans="1:28" s="31" customFormat="1" ht="13" customHeight="1" x14ac:dyDescent="0.3">
      <c r="A75" s="87"/>
      <c r="B75" s="8" t="str">
        <f>VLOOKUP(36,Textbausteine_Menu[],Hilfsgrössen!$D$2,FALSE)</f>
        <v>Groupe</v>
      </c>
      <c r="E75" s="39"/>
      <c r="F75" s="39"/>
      <c r="G75" s="46"/>
      <c r="H75" s="95"/>
      <c r="I75" s="95"/>
      <c r="J75" s="95"/>
      <c r="K75" s="95"/>
      <c r="L75" s="95"/>
      <c r="M75" s="95"/>
      <c r="N75" s="95"/>
      <c r="O75" s="95"/>
      <c r="P75" s="95"/>
      <c r="Q75" s="95"/>
      <c r="R75" s="95"/>
      <c r="S75" s="95"/>
      <c r="T75" s="95"/>
      <c r="U75" s="95"/>
      <c r="V75" s="119"/>
      <c r="W75" s="352"/>
      <c r="X75" s="354"/>
      <c r="Y75" s="6"/>
    </row>
    <row r="76" spans="1:28" ht="13" customHeight="1" x14ac:dyDescent="0.3">
      <c r="A76" s="87"/>
      <c r="B76" s="18"/>
      <c r="C76" s="1" t="str">
        <f>VLOOKUP(61,Textbausteine_201[],Hilfsgrössen!$D$2,FALSE)</f>
        <v>Valeur ajoutée</v>
      </c>
      <c r="D76" s="1" t="str">
        <f>VLOOKUP(11,Textbausteine_201[],Hilfsgrössen!$D$2,FALSE)</f>
        <v>Millions de CHF</v>
      </c>
      <c r="E76" s="37">
        <v>1</v>
      </c>
      <c r="F76" s="37" t="s">
        <v>66</v>
      </c>
      <c r="H76" s="101">
        <v>4786</v>
      </c>
      <c r="I76" s="101">
        <v>4716</v>
      </c>
      <c r="J76" s="101">
        <v>4735</v>
      </c>
      <c r="K76" s="101">
        <v>4925</v>
      </c>
      <c r="L76" s="101">
        <v>4875</v>
      </c>
      <c r="M76" s="101">
        <v>4983</v>
      </c>
      <c r="N76" s="101">
        <v>5268</v>
      </c>
      <c r="O76" s="101">
        <v>5187</v>
      </c>
      <c r="P76" s="101">
        <v>5314</v>
      </c>
      <c r="Q76" s="181" t="s">
        <v>1595</v>
      </c>
      <c r="R76" s="101">
        <v>5328</v>
      </c>
      <c r="S76" s="101">
        <v>5220</v>
      </c>
      <c r="T76" s="181" t="s">
        <v>1595</v>
      </c>
      <c r="U76" s="101">
        <v>5193</v>
      </c>
      <c r="V76" s="119">
        <v>5145</v>
      </c>
      <c r="W76" s="356" t="s">
        <v>1595</v>
      </c>
      <c r="X76" s="352">
        <v>5054</v>
      </c>
      <c r="Y76" s="9"/>
    </row>
    <row r="77" spans="1:28" ht="13" customHeight="1" x14ac:dyDescent="0.3">
      <c r="A77" s="87"/>
      <c r="B77" s="18"/>
      <c r="C77" s="36" t="str">
        <f>VLOOKUP(62,Textbausteine_201[],Hilfsgrössen!$D$2,FALSE)</f>
        <v>dont aux collaborateurs</v>
      </c>
      <c r="D77" s="1" t="str">
        <f>VLOOKUP(11,Textbausteine_201[],Hilfsgrössen!$D$2,FALSE)</f>
        <v>Millions de CHF</v>
      </c>
      <c r="E77" s="37">
        <v>2</v>
      </c>
      <c r="F77" s="37" t="s">
        <v>66</v>
      </c>
      <c r="H77" s="101">
        <v>3738</v>
      </c>
      <c r="I77" s="101">
        <v>3704</v>
      </c>
      <c r="J77" s="101">
        <v>3711</v>
      </c>
      <c r="K77" s="101">
        <v>3851</v>
      </c>
      <c r="L77" s="101">
        <v>3873</v>
      </c>
      <c r="M77" s="101">
        <v>4032</v>
      </c>
      <c r="N77" s="101">
        <v>4076</v>
      </c>
      <c r="O77" s="101">
        <v>4026</v>
      </c>
      <c r="P77" s="101">
        <v>4161</v>
      </c>
      <c r="Q77" s="181" t="s">
        <v>1595</v>
      </c>
      <c r="R77" s="101">
        <v>4131</v>
      </c>
      <c r="S77" s="101">
        <v>4108</v>
      </c>
      <c r="T77" s="181" t="s">
        <v>1595</v>
      </c>
      <c r="U77" s="101">
        <v>4074</v>
      </c>
      <c r="V77" s="119">
        <v>4034</v>
      </c>
      <c r="W77" s="356" t="s">
        <v>1595</v>
      </c>
      <c r="X77" s="352">
        <v>3989</v>
      </c>
      <c r="Y77" s="9"/>
      <c r="AB77" s="181"/>
    </row>
    <row r="78" spans="1:28" ht="13" customHeight="1" x14ac:dyDescent="0.3">
      <c r="A78" s="87"/>
      <c r="B78" s="18"/>
      <c r="C78" s="36" t="str">
        <f>VLOOKUP(63,Textbausteine_201[],Hilfsgrössen!$D$2,FALSE)</f>
        <v>dont aux bailleurs de fonds externes</v>
      </c>
      <c r="D78" s="1" t="str">
        <f>VLOOKUP(11,Textbausteine_201[],Hilfsgrössen!$D$2,FALSE)</f>
        <v>Millions de CHF</v>
      </c>
      <c r="E78" s="37">
        <v>3</v>
      </c>
      <c r="F78" s="37" t="s">
        <v>66</v>
      </c>
      <c r="H78" s="101">
        <v>11</v>
      </c>
      <c r="I78" s="101">
        <v>9</v>
      </c>
      <c r="J78" s="101">
        <v>11</v>
      </c>
      <c r="K78" s="101">
        <v>20</v>
      </c>
      <c r="L78" s="101">
        <v>22</v>
      </c>
      <c r="M78" s="101">
        <v>14</v>
      </c>
      <c r="N78" s="101">
        <v>20</v>
      </c>
      <c r="O78" s="101">
        <v>19</v>
      </c>
      <c r="P78" s="101">
        <v>82</v>
      </c>
      <c r="Q78" s="181" t="s">
        <v>1595</v>
      </c>
      <c r="R78" s="101">
        <v>93</v>
      </c>
      <c r="S78" s="101">
        <v>57</v>
      </c>
      <c r="T78" s="181" t="s">
        <v>1595</v>
      </c>
      <c r="U78" s="101">
        <v>69</v>
      </c>
      <c r="V78" s="119">
        <v>64</v>
      </c>
      <c r="W78" s="356" t="s">
        <v>1595</v>
      </c>
      <c r="X78" s="352">
        <v>67</v>
      </c>
      <c r="Y78" s="9"/>
      <c r="AB78" s="181"/>
    </row>
    <row r="79" spans="1:28" ht="13" customHeight="1" x14ac:dyDescent="0.3">
      <c r="A79" s="87"/>
      <c r="B79" s="18"/>
      <c r="C79" s="36" t="str">
        <f>VLOOKUP(64,Textbausteine_201[],Hilfsgrössen!$D$2,FALSE)</f>
        <v>dont aux pouvoirs publics</v>
      </c>
      <c r="D79" s="1" t="str">
        <f>VLOOKUP(11,Textbausteine_201[],Hilfsgrössen!$D$2,FALSE)</f>
        <v>Millions de CHF</v>
      </c>
      <c r="E79" s="37">
        <v>4</v>
      </c>
      <c r="F79" s="37" t="s">
        <v>66</v>
      </c>
      <c r="H79" s="101">
        <v>2</v>
      </c>
      <c r="I79" s="101">
        <v>4</v>
      </c>
      <c r="J79" s="101">
        <v>9</v>
      </c>
      <c r="K79" s="101">
        <v>13</v>
      </c>
      <c r="L79" s="101">
        <v>10</v>
      </c>
      <c r="M79" s="101">
        <v>9</v>
      </c>
      <c r="N79" s="101">
        <v>12</v>
      </c>
      <c r="O79" s="101">
        <v>13</v>
      </c>
      <c r="P79" s="101">
        <v>34</v>
      </c>
      <c r="Q79" s="181" t="s">
        <v>1595</v>
      </c>
      <c r="R79" s="101">
        <v>94</v>
      </c>
      <c r="S79" s="101">
        <v>79</v>
      </c>
      <c r="T79" s="181" t="s">
        <v>1595</v>
      </c>
      <c r="U79" s="101">
        <v>94</v>
      </c>
      <c r="V79" s="119">
        <v>118</v>
      </c>
      <c r="W79" s="356" t="s">
        <v>1595</v>
      </c>
      <c r="X79" s="352">
        <v>74</v>
      </c>
      <c r="Y79" s="9"/>
      <c r="AB79" s="181"/>
    </row>
    <row r="80" spans="1:28" ht="13" customHeight="1" x14ac:dyDescent="0.3">
      <c r="A80" s="87"/>
      <c r="B80" s="18"/>
      <c r="C80" s="36" t="str">
        <f>VLOOKUP(65,Textbausteine_201[],Hilfsgrössen!$D$2,FALSE)</f>
        <v>dont au propriétaire</v>
      </c>
      <c r="D80" s="1" t="str">
        <f>VLOOKUP(11,Textbausteine_201[],Hilfsgrössen!$D$2,FALSE)</f>
        <v>Millions de CHF</v>
      </c>
      <c r="E80" s="37">
        <v>5</v>
      </c>
      <c r="F80" s="37" t="s">
        <v>66</v>
      </c>
      <c r="H80" s="101">
        <v>0</v>
      </c>
      <c r="I80" s="101">
        <v>0</v>
      </c>
      <c r="J80" s="101">
        <v>0</v>
      </c>
      <c r="K80" s="101">
        <v>300</v>
      </c>
      <c r="L80" s="101">
        <v>200</v>
      </c>
      <c r="M80" s="101">
        <v>200</v>
      </c>
      <c r="N80" s="101">
        <v>200</v>
      </c>
      <c r="O80" s="101">
        <v>200</v>
      </c>
      <c r="P80" s="101">
        <v>200</v>
      </c>
      <c r="Q80" s="181" t="s">
        <v>1595</v>
      </c>
      <c r="R80" s="101">
        <v>180</v>
      </c>
      <c r="S80" s="101">
        <v>200</v>
      </c>
      <c r="T80" s="181" t="s">
        <v>1595</v>
      </c>
      <c r="U80" s="101">
        <v>200</v>
      </c>
      <c r="V80" s="119">
        <v>200</v>
      </c>
      <c r="W80" s="356" t="s">
        <v>1595</v>
      </c>
      <c r="X80" s="352">
        <v>200</v>
      </c>
      <c r="Y80" s="9"/>
      <c r="AB80" s="181"/>
    </row>
    <row r="81" spans="1:28" ht="13" customHeight="1" x14ac:dyDescent="0.3">
      <c r="A81" s="87"/>
      <c r="B81" s="18"/>
      <c r="C81" s="36" t="str">
        <f>VLOOKUP(66,Textbausteine_201[],Hilfsgrössen!$D$2,FALSE)</f>
        <v>dont à l'entreprise</v>
      </c>
      <c r="D81" s="1" t="str">
        <f>VLOOKUP(11,Textbausteine_201[],Hilfsgrössen!$D$2,FALSE)</f>
        <v>Millions de CHF</v>
      </c>
      <c r="E81" s="37">
        <v>7</v>
      </c>
      <c r="F81" s="37" t="s">
        <v>66</v>
      </c>
      <c r="H81" s="101">
        <v>1036</v>
      </c>
      <c r="I81" s="101">
        <v>999</v>
      </c>
      <c r="J81" s="101">
        <v>1004</v>
      </c>
      <c r="K81" s="101">
        <v>741</v>
      </c>
      <c r="L81" s="101">
        <v>770</v>
      </c>
      <c r="M81" s="101">
        <v>728</v>
      </c>
      <c r="N81" s="101">
        <v>960</v>
      </c>
      <c r="O81" s="101">
        <v>929</v>
      </c>
      <c r="P81" s="101">
        <v>837</v>
      </c>
      <c r="Q81" s="181" t="s">
        <v>1595</v>
      </c>
      <c r="R81" s="101">
        <v>830</v>
      </c>
      <c r="S81" s="101">
        <v>776</v>
      </c>
      <c r="T81" s="181" t="s">
        <v>1595</v>
      </c>
      <c r="U81" s="101">
        <v>756</v>
      </c>
      <c r="V81" s="119">
        <v>729</v>
      </c>
      <c r="W81" s="356" t="s">
        <v>1595</v>
      </c>
      <c r="X81" s="352">
        <v>724</v>
      </c>
      <c r="Y81" s="9"/>
      <c r="AB81" s="181"/>
    </row>
    <row r="82" spans="1:28" ht="13" customHeight="1" x14ac:dyDescent="0.3">
      <c r="A82" s="87"/>
      <c r="B82" s="18"/>
      <c r="C82" s="144" t="str">
        <f>VLOOKUP(67,Textbausteine_201[],Hilfsgrössen!$D$2,FALSE)</f>
        <v>dont pour amortissements</v>
      </c>
      <c r="D82" s="1" t="str">
        <f>VLOOKUP(11,Textbausteine_201[],Hilfsgrössen!$D$2,FALSE)</f>
        <v>Millions de CHF</v>
      </c>
      <c r="F82" s="37" t="s">
        <v>66</v>
      </c>
      <c r="H82" s="101">
        <v>255</v>
      </c>
      <c r="I82" s="101">
        <v>252</v>
      </c>
      <c r="J82" s="101">
        <v>257</v>
      </c>
      <c r="K82" s="101">
        <v>284</v>
      </c>
      <c r="L82" s="101">
        <v>279</v>
      </c>
      <c r="M82" s="101">
        <v>325</v>
      </c>
      <c r="N82" s="101">
        <v>309</v>
      </c>
      <c r="O82" s="101">
        <v>293</v>
      </c>
      <c r="P82" s="101">
        <v>312</v>
      </c>
      <c r="Q82" s="181" t="s">
        <v>1595</v>
      </c>
      <c r="R82" s="101">
        <v>333</v>
      </c>
      <c r="S82" s="101">
        <v>329</v>
      </c>
      <c r="T82" s="181" t="s">
        <v>1595</v>
      </c>
      <c r="U82" s="101">
        <v>336</v>
      </c>
      <c r="V82" s="119">
        <v>447</v>
      </c>
      <c r="W82" s="356" t="s">
        <v>1595</v>
      </c>
      <c r="X82" s="352">
        <v>467</v>
      </c>
      <c r="Y82" s="9"/>
      <c r="AB82" s="181"/>
    </row>
    <row r="83" spans="1:28" ht="13" customHeight="1" x14ac:dyDescent="0.3">
      <c r="A83" s="87"/>
      <c r="B83" s="18"/>
      <c r="C83" s="144" t="str">
        <f>VLOOKUP(68,Textbausteine_201[],Hilfsgrössen!$D$2,FALSE)</f>
        <v>dont pour renforcement de la Caisse de pensions Poste</v>
      </c>
      <c r="D83" s="1" t="str">
        <f>VLOOKUP(11,Textbausteine_201[],Hilfsgrössen!$D$2,FALSE)</f>
        <v>Millions de CHF</v>
      </c>
      <c r="F83" s="37" t="s">
        <v>66</v>
      </c>
      <c r="H83" s="101">
        <v>350</v>
      </c>
      <c r="I83" s="101">
        <v>350</v>
      </c>
      <c r="J83" s="101">
        <v>212</v>
      </c>
      <c r="K83" s="101">
        <v>250</v>
      </c>
      <c r="L83" s="101">
        <v>250</v>
      </c>
      <c r="M83" s="101">
        <v>250</v>
      </c>
      <c r="N83" s="101">
        <v>100</v>
      </c>
      <c r="O83" s="101">
        <v>100</v>
      </c>
      <c r="P83" s="101">
        <v>100</v>
      </c>
      <c r="Q83" s="181" t="s">
        <v>1595</v>
      </c>
      <c r="R83" s="101">
        <v>0</v>
      </c>
      <c r="S83" s="101">
        <v>0</v>
      </c>
      <c r="T83" s="181" t="s">
        <v>1595</v>
      </c>
      <c r="U83" s="101">
        <v>0</v>
      </c>
      <c r="V83" s="119">
        <v>0</v>
      </c>
      <c r="W83" s="356" t="s">
        <v>1595</v>
      </c>
      <c r="X83" s="352">
        <v>0</v>
      </c>
      <c r="Y83" s="9"/>
      <c r="AB83" s="181"/>
    </row>
    <row r="84" spans="1:28" ht="13" customHeight="1" x14ac:dyDescent="0.3">
      <c r="A84" s="87"/>
      <c r="B84" s="18"/>
      <c r="C84" s="144" t="str">
        <f>VLOOKUP(69,Textbausteine_201[],Hilfsgrössen!$D$2,FALSE)</f>
        <v>dont pour constitution de fonds propres</v>
      </c>
      <c r="D84" s="1" t="str">
        <f>VLOOKUP(11,Textbausteine_201[],Hilfsgrössen!$D$2,FALSE)</f>
        <v>Millions de CHF</v>
      </c>
      <c r="F84" s="37" t="s">
        <v>66</v>
      </c>
      <c r="H84" s="101">
        <v>480</v>
      </c>
      <c r="I84" s="101">
        <v>461</v>
      </c>
      <c r="J84" s="101">
        <v>625</v>
      </c>
      <c r="K84" s="101">
        <v>359</v>
      </c>
      <c r="L84" s="101">
        <v>375</v>
      </c>
      <c r="M84" s="101">
        <v>261</v>
      </c>
      <c r="N84" s="101">
        <v>610</v>
      </c>
      <c r="O84" s="101">
        <v>604</v>
      </c>
      <c r="P84" s="101">
        <v>472</v>
      </c>
      <c r="Q84" s="181" t="s">
        <v>1595</v>
      </c>
      <c r="R84" s="101">
        <v>446</v>
      </c>
      <c r="S84" s="101">
        <v>552</v>
      </c>
      <c r="T84" s="181" t="s">
        <v>1595</v>
      </c>
      <c r="U84" s="101">
        <v>610</v>
      </c>
      <c r="V84" s="119">
        <v>394</v>
      </c>
      <c r="W84" s="356" t="s">
        <v>1595</v>
      </c>
      <c r="X84" s="352">
        <v>385</v>
      </c>
      <c r="Y84" s="9"/>
      <c r="AB84" s="181"/>
    </row>
    <row r="85" spans="1:28" ht="13" customHeight="1" x14ac:dyDescent="0.3">
      <c r="A85" s="87"/>
      <c r="B85" s="18"/>
      <c r="C85" s="144" t="str">
        <f>VLOOKUP(70,Textbausteine_201[],Hilfsgrössen!$D$2,FALSE)</f>
        <v>dont pour Autres</v>
      </c>
      <c r="D85" s="1" t="str">
        <f>VLOOKUP(11,Textbausteine_201[],Hilfsgrössen!$D$2,FALSE)</f>
        <v>Millions de CHF</v>
      </c>
      <c r="E85" s="37">
        <v>6</v>
      </c>
      <c r="F85" s="37" t="s">
        <v>66</v>
      </c>
      <c r="H85" s="101">
        <v>-49</v>
      </c>
      <c r="I85" s="101">
        <v>-64</v>
      </c>
      <c r="J85" s="101">
        <v>-90</v>
      </c>
      <c r="K85" s="101">
        <v>-152</v>
      </c>
      <c r="L85" s="101">
        <v>-134</v>
      </c>
      <c r="M85" s="101">
        <v>-108</v>
      </c>
      <c r="N85" s="101">
        <v>-59</v>
      </c>
      <c r="O85" s="101">
        <v>-68</v>
      </c>
      <c r="P85" s="101">
        <v>-47</v>
      </c>
      <c r="Q85" s="181" t="s">
        <v>1595</v>
      </c>
      <c r="R85" s="101">
        <v>51</v>
      </c>
      <c r="S85" s="101">
        <v>-105</v>
      </c>
      <c r="T85" s="181" t="s">
        <v>1595</v>
      </c>
      <c r="U85" s="101">
        <v>-190</v>
      </c>
      <c r="V85" s="119">
        <v>-112</v>
      </c>
      <c r="W85" s="356" t="s">
        <v>1595</v>
      </c>
      <c r="X85" s="352">
        <v>-128</v>
      </c>
      <c r="Y85" s="9"/>
      <c r="AB85" s="181"/>
    </row>
    <row r="86" spans="1:28" ht="13" customHeight="1" x14ac:dyDescent="0.3">
      <c r="A86" s="87"/>
      <c r="B86" s="18"/>
      <c r="V86" s="119"/>
      <c r="W86" s="355"/>
      <c r="X86" s="352"/>
      <c r="Y86" s="9"/>
      <c r="AB86" s="181"/>
    </row>
    <row r="87" spans="1:28" ht="13" customHeight="1" x14ac:dyDescent="0.3">
      <c r="A87" s="87"/>
      <c r="B87" s="18"/>
      <c r="C87" s="1" t="str">
        <f>VLOOKUP(61,Textbausteine_201[],Hilfsgrössen!$D$2,FALSE)</f>
        <v>Valeur ajoutée</v>
      </c>
      <c r="D87" s="9" t="str">
        <f>VLOOKUP(12,Textbausteine_201[],Hilfsgrössen!$D$2,FALSE)</f>
        <v>%</v>
      </c>
      <c r="E87" s="37">
        <v>1</v>
      </c>
      <c r="F87" s="37" t="s">
        <v>66</v>
      </c>
      <c r="H87" s="101">
        <v>100</v>
      </c>
      <c r="I87" s="101">
        <v>100</v>
      </c>
      <c r="J87" s="101">
        <v>100</v>
      </c>
      <c r="K87" s="101">
        <v>100</v>
      </c>
      <c r="L87" s="101">
        <v>100</v>
      </c>
      <c r="M87" s="101">
        <v>100</v>
      </c>
      <c r="N87" s="101">
        <v>100</v>
      </c>
      <c r="O87" s="101">
        <v>100</v>
      </c>
      <c r="P87" s="101">
        <v>100</v>
      </c>
      <c r="Q87" s="181" t="s">
        <v>1595</v>
      </c>
      <c r="R87" s="101">
        <v>100</v>
      </c>
      <c r="S87" s="101">
        <f t="shared" ref="S87" si="0">S76/S$76*100</f>
        <v>100</v>
      </c>
      <c r="T87" s="181" t="s">
        <v>1595</v>
      </c>
      <c r="U87" s="101">
        <f t="shared" ref="U87" si="1">U76/U$76*100</f>
        <v>100</v>
      </c>
      <c r="V87" s="119">
        <f t="shared" ref="V87" si="2">V76/V$76*100</f>
        <v>100</v>
      </c>
      <c r="W87" s="356" t="s">
        <v>1595</v>
      </c>
      <c r="X87" s="352">
        <f>X76/X$76*100</f>
        <v>100</v>
      </c>
      <c r="Y87" s="9"/>
      <c r="AB87" s="101"/>
    </row>
    <row r="88" spans="1:28" ht="13" customHeight="1" x14ac:dyDescent="0.3">
      <c r="A88" s="87"/>
      <c r="B88" s="18"/>
      <c r="C88" s="36" t="str">
        <f>VLOOKUP(62,Textbausteine_201[],Hilfsgrössen!$D$2,FALSE)</f>
        <v>dont aux collaborateurs</v>
      </c>
      <c r="D88" s="9" t="str">
        <f>VLOOKUP(12,Textbausteine_201[],Hilfsgrössen!$D$2,FALSE)</f>
        <v>%</v>
      </c>
      <c r="E88" s="37">
        <v>2</v>
      </c>
      <c r="F88" s="37" t="s">
        <v>66</v>
      </c>
      <c r="H88" s="348">
        <v>78.102799832845804</v>
      </c>
      <c r="I88" s="348">
        <v>78.541136556403728</v>
      </c>
      <c r="J88" s="348">
        <v>78.373812038014776</v>
      </c>
      <c r="K88" s="348">
        <v>78.192893401015226</v>
      </c>
      <c r="L88" s="348">
        <v>79.446153846153848</v>
      </c>
      <c r="M88" s="348">
        <v>80.915111378687541</v>
      </c>
      <c r="N88" s="348">
        <v>77.372817008352314</v>
      </c>
      <c r="O88" s="348">
        <v>77.617119722382881</v>
      </c>
      <c r="P88" s="348">
        <v>78.302596913812579</v>
      </c>
      <c r="Q88" s="349" t="s">
        <v>1595</v>
      </c>
      <c r="R88" s="348">
        <v>77.53378378378379</v>
      </c>
      <c r="S88" s="348">
        <f t="shared" ref="S88" si="3">S77/S$76*100</f>
        <v>78.69731800766283</v>
      </c>
      <c r="T88" s="349" t="s">
        <v>1595</v>
      </c>
      <c r="U88" s="348">
        <f t="shared" ref="U88" si="4">U77/U$76*100</f>
        <v>78.451761987290581</v>
      </c>
      <c r="V88" s="361">
        <f t="shared" ref="V88:V96" si="5">V77/V$76*100</f>
        <v>78.40621963070943</v>
      </c>
      <c r="W88" s="356" t="s">
        <v>1595</v>
      </c>
      <c r="X88" s="347">
        <f t="shared" ref="X88:X96" si="6">X77/X$76*100</f>
        <v>78.927582113177692</v>
      </c>
      <c r="Y88" s="9"/>
      <c r="AB88" s="181"/>
    </row>
    <row r="89" spans="1:28" ht="13" customHeight="1" x14ac:dyDescent="0.3">
      <c r="A89" s="87"/>
      <c r="B89" s="18"/>
      <c r="C89" s="36" t="str">
        <f>VLOOKUP(63,Textbausteine_201[],Hilfsgrössen!$D$2,FALSE)</f>
        <v>dont aux bailleurs de fonds externes</v>
      </c>
      <c r="D89" s="9" t="str">
        <f>VLOOKUP(12,Textbausteine_201[],Hilfsgrössen!$D$2,FALSE)</f>
        <v>%</v>
      </c>
      <c r="E89" s="37">
        <v>3</v>
      </c>
      <c r="F89" s="37" t="s">
        <v>66</v>
      </c>
      <c r="H89" s="348">
        <v>0.22983702465524447</v>
      </c>
      <c r="I89" s="348">
        <v>0.19083969465648853</v>
      </c>
      <c r="J89" s="348">
        <v>0.23231256599788808</v>
      </c>
      <c r="K89" s="348">
        <v>0.40609137055837563</v>
      </c>
      <c r="L89" s="348">
        <v>0.45128205128205123</v>
      </c>
      <c r="M89" s="348">
        <v>0.28095524784266507</v>
      </c>
      <c r="N89" s="348">
        <v>0.37965072133637051</v>
      </c>
      <c r="O89" s="348">
        <v>0.36630036630036628</v>
      </c>
      <c r="P89" s="348">
        <v>1.543093714715845</v>
      </c>
      <c r="Q89" s="349" t="s">
        <v>1595</v>
      </c>
      <c r="R89" s="348">
        <v>1.7454954954954953</v>
      </c>
      <c r="S89" s="348">
        <f t="shared" ref="S89" si="7">S78/S$76*100</f>
        <v>1.0919540229885056</v>
      </c>
      <c r="T89" s="349" t="s">
        <v>1595</v>
      </c>
      <c r="U89" s="348">
        <f t="shared" ref="U89" si="8">U78/U$76*100</f>
        <v>1.3287117273252456</v>
      </c>
      <c r="V89" s="361">
        <f t="shared" si="5"/>
        <v>1.2439261418853256</v>
      </c>
      <c r="W89" s="356" t="s">
        <v>1595</v>
      </c>
      <c r="X89" s="347">
        <f t="shared" si="6"/>
        <v>1.3256826276216858</v>
      </c>
      <c r="Y89" s="9"/>
      <c r="AB89" s="181"/>
    </row>
    <row r="90" spans="1:28" ht="13" customHeight="1" x14ac:dyDescent="0.3">
      <c r="A90" s="87"/>
      <c r="B90" s="18"/>
      <c r="C90" s="36" t="str">
        <f>VLOOKUP(64,Textbausteine_201[],Hilfsgrössen!$D$2,FALSE)</f>
        <v>dont aux pouvoirs publics</v>
      </c>
      <c r="D90" s="9" t="str">
        <f>VLOOKUP(12,Textbausteine_201[],Hilfsgrössen!$D$2,FALSE)</f>
        <v>%</v>
      </c>
      <c r="E90" s="37">
        <v>4</v>
      </c>
      <c r="F90" s="37" t="s">
        <v>66</v>
      </c>
      <c r="H90" s="348">
        <v>4.1788549937317176E-2</v>
      </c>
      <c r="I90" s="348">
        <v>8.4817642069550461E-2</v>
      </c>
      <c r="J90" s="348">
        <v>0.19007391763463569</v>
      </c>
      <c r="K90" s="348">
        <v>0.26395939086294418</v>
      </c>
      <c r="L90" s="348">
        <v>0.20512820512820512</v>
      </c>
      <c r="M90" s="348">
        <v>0.18061408789885611</v>
      </c>
      <c r="N90" s="348">
        <v>0.22779043280182232</v>
      </c>
      <c r="O90" s="348">
        <v>0.25062656641604009</v>
      </c>
      <c r="P90" s="348">
        <v>0.63981934512608207</v>
      </c>
      <c r="Q90" s="349" t="s">
        <v>1595</v>
      </c>
      <c r="R90" s="348">
        <v>1.7642642642642643</v>
      </c>
      <c r="S90" s="348">
        <f t="shared" ref="S90" si="9">S79/S$76*100</f>
        <v>1.5134099616858239</v>
      </c>
      <c r="T90" s="349" t="s">
        <v>1595</v>
      </c>
      <c r="U90" s="348">
        <f t="shared" ref="U90" si="10">U79/U$76*100</f>
        <v>1.8101290198343924</v>
      </c>
      <c r="V90" s="361">
        <f t="shared" si="5"/>
        <v>2.2934888241010691</v>
      </c>
      <c r="W90" s="356" t="s">
        <v>1595</v>
      </c>
      <c r="X90" s="347">
        <f t="shared" si="6"/>
        <v>1.4641867827463395</v>
      </c>
      <c r="Y90" s="9"/>
      <c r="AB90" s="181"/>
    </row>
    <row r="91" spans="1:28" ht="13" customHeight="1" x14ac:dyDescent="0.3">
      <c r="A91" s="87"/>
      <c r="B91" s="18"/>
      <c r="C91" s="36" t="str">
        <f>VLOOKUP(65,Textbausteine_201[],Hilfsgrössen!$D$2,FALSE)</f>
        <v>dont au propriétaire</v>
      </c>
      <c r="D91" s="9" t="str">
        <f>VLOOKUP(12,Textbausteine_201[],Hilfsgrössen!$D$2,FALSE)</f>
        <v>%</v>
      </c>
      <c r="E91" s="37">
        <v>5</v>
      </c>
      <c r="F91" s="37" t="s">
        <v>66</v>
      </c>
      <c r="H91" s="348">
        <v>0</v>
      </c>
      <c r="I91" s="348">
        <v>0</v>
      </c>
      <c r="J91" s="348">
        <v>0</v>
      </c>
      <c r="K91" s="348">
        <v>6.091370558375635</v>
      </c>
      <c r="L91" s="348">
        <v>4.1025641025641022</v>
      </c>
      <c r="M91" s="348">
        <v>4.0136463977523578</v>
      </c>
      <c r="N91" s="348">
        <v>3.7965072133637054</v>
      </c>
      <c r="O91" s="348">
        <v>3.8557933294775402</v>
      </c>
      <c r="P91" s="348">
        <v>3.7636432066240122</v>
      </c>
      <c r="Q91" s="349" t="s">
        <v>1595</v>
      </c>
      <c r="R91" s="348">
        <v>3.3783783783783785</v>
      </c>
      <c r="S91" s="348">
        <f t="shared" ref="S91" si="11">S80/S$76*100</f>
        <v>3.8314176245210727</v>
      </c>
      <c r="T91" s="349" t="s">
        <v>1595</v>
      </c>
      <c r="U91" s="348">
        <f t="shared" ref="U91" si="12">U80/U$76*100</f>
        <v>3.8513383400731751</v>
      </c>
      <c r="V91" s="361">
        <f t="shared" si="5"/>
        <v>3.8872691933916426</v>
      </c>
      <c r="W91" s="356" t="s">
        <v>1595</v>
      </c>
      <c r="X91" s="347">
        <f t="shared" si="6"/>
        <v>3.957261574990107</v>
      </c>
      <c r="Y91" s="9"/>
      <c r="AB91" s="181"/>
    </row>
    <row r="92" spans="1:28" ht="13" customHeight="1" x14ac:dyDescent="0.3">
      <c r="A92" s="87"/>
      <c r="B92" s="18"/>
      <c r="C92" s="36" t="str">
        <f>VLOOKUP(66,Textbausteine_201[],Hilfsgrössen!$D$2,FALSE)</f>
        <v>dont à l'entreprise</v>
      </c>
      <c r="D92" s="9" t="str">
        <f>VLOOKUP(12,Textbausteine_201[],Hilfsgrössen!$D$2,FALSE)</f>
        <v>%</v>
      </c>
      <c r="E92" s="37">
        <v>7</v>
      </c>
      <c r="F92" s="37" t="s">
        <v>66</v>
      </c>
      <c r="H92" s="348">
        <v>21.646468867530295</v>
      </c>
      <c r="I92" s="348">
        <v>21.183206106870227</v>
      </c>
      <c r="J92" s="348">
        <v>21.203801478352695</v>
      </c>
      <c r="K92" s="348">
        <v>15.045685279187818</v>
      </c>
      <c r="L92" s="348">
        <v>15.794871794871796</v>
      </c>
      <c r="M92" s="348">
        <v>14.609672887818585</v>
      </c>
      <c r="N92" s="348">
        <v>18.223234624145785</v>
      </c>
      <c r="O92" s="348">
        <v>17.910160015423173</v>
      </c>
      <c r="P92" s="348">
        <v>15.75084681972149</v>
      </c>
      <c r="Q92" s="349" t="s">
        <v>1595</v>
      </c>
      <c r="R92" s="348">
        <v>15.578078078078079</v>
      </c>
      <c r="S92" s="348">
        <f t="shared" ref="S92" si="13">S81/S$76*100</f>
        <v>14.865900383141762</v>
      </c>
      <c r="T92" s="349" t="s">
        <v>1595</v>
      </c>
      <c r="U92" s="348">
        <f t="shared" ref="U92" si="14">U81/U$76*100</f>
        <v>14.558058925476603</v>
      </c>
      <c r="V92" s="361">
        <f t="shared" si="5"/>
        <v>14.169096209912539</v>
      </c>
      <c r="W92" s="356" t="s">
        <v>1595</v>
      </c>
      <c r="X92" s="347">
        <f t="shared" si="6"/>
        <v>14.325286901464187</v>
      </c>
      <c r="Y92" s="9"/>
      <c r="AB92" s="181"/>
    </row>
    <row r="93" spans="1:28" ht="13" customHeight="1" x14ac:dyDescent="0.3">
      <c r="A93" s="87"/>
      <c r="B93" s="18"/>
      <c r="C93" s="144" t="str">
        <f>VLOOKUP(67,Textbausteine_201[],Hilfsgrössen!$D$2,FALSE)</f>
        <v>dont pour amortissements</v>
      </c>
      <c r="D93" s="9" t="str">
        <f>VLOOKUP(12,Textbausteine_201[],Hilfsgrössen!$D$2,FALSE)</f>
        <v>%</v>
      </c>
      <c r="F93" s="37" t="s">
        <v>66</v>
      </c>
      <c r="H93" s="348">
        <v>5.3280401170079399</v>
      </c>
      <c r="I93" s="348">
        <v>5.343511450381679</v>
      </c>
      <c r="J93" s="348">
        <v>5.4276663146779303</v>
      </c>
      <c r="K93" s="348">
        <v>5.7664974619289344</v>
      </c>
      <c r="L93" s="348">
        <v>5.7230769230769232</v>
      </c>
      <c r="M93" s="348">
        <v>6.5221753963475821</v>
      </c>
      <c r="N93" s="348">
        <v>5.8656036446469244</v>
      </c>
      <c r="O93" s="348">
        <v>5.6487372276845962</v>
      </c>
      <c r="P93" s="348">
        <v>5.871283402333459</v>
      </c>
      <c r="Q93" s="349" t="s">
        <v>1595</v>
      </c>
      <c r="R93" s="348">
        <v>6.25</v>
      </c>
      <c r="S93" s="348">
        <f t="shared" ref="S93" si="15">S82/S$76*100</f>
        <v>6.3026819923371642</v>
      </c>
      <c r="T93" s="349" t="s">
        <v>1595</v>
      </c>
      <c r="U93" s="348">
        <f t="shared" ref="U93" si="16">U82/U$76*100</f>
        <v>6.4702484113229346</v>
      </c>
      <c r="V93" s="361">
        <f t="shared" si="5"/>
        <v>8.6880466472303208</v>
      </c>
      <c r="W93" s="356" t="s">
        <v>1595</v>
      </c>
      <c r="X93" s="347">
        <f t="shared" si="6"/>
        <v>9.2402057776018989</v>
      </c>
      <c r="Y93" s="9"/>
      <c r="AB93" s="181"/>
    </row>
    <row r="94" spans="1:28" ht="13" customHeight="1" x14ac:dyDescent="0.3">
      <c r="A94" s="87"/>
      <c r="B94" s="18"/>
      <c r="C94" s="144" t="str">
        <f>VLOOKUP(68,Textbausteine_201[],Hilfsgrössen!$D$2,FALSE)</f>
        <v>dont pour renforcement de la Caisse de pensions Poste</v>
      </c>
      <c r="D94" s="9" t="str">
        <f>VLOOKUP(12,Textbausteine_201[],Hilfsgrössen!$D$2,FALSE)</f>
        <v>%</v>
      </c>
      <c r="F94" s="37" t="s">
        <v>66</v>
      </c>
      <c r="H94" s="348">
        <v>7.3129962390305057</v>
      </c>
      <c r="I94" s="348">
        <v>7.4215436810856659</v>
      </c>
      <c r="J94" s="348">
        <v>4.4772967265047514</v>
      </c>
      <c r="K94" s="348">
        <v>5.0761421319796955</v>
      </c>
      <c r="L94" s="348">
        <v>5.1282051282051277</v>
      </c>
      <c r="M94" s="348">
        <v>5.017057997190447</v>
      </c>
      <c r="N94" s="348">
        <v>1.8982536066818527</v>
      </c>
      <c r="O94" s="348">
        <v>1.9278966647387701</v>
      </c>
      <c r="P94" s="348">
        <v>1.8818216033120061</v>
      </c>
      <c r="Q94" s="349" t="s">
        <v>1595</v>
      </c>
      <c r="R94" s="348">
        <v>0</v>
      </c>
      <c r="S94" s="348">
        <f t="shared" ref="S94" si="17">S83/S$76*100</f>
        <v>0</v>
      </c>
      <c r="T94" s="349" t="s">
        <v>1595</v>
      </c>
      <c r="U94" s="348">
        <f t="shared" ref="U94" si="18">U83/U$76*100</f>
        <v>0</v>
      </c>
      <c r="V94" s="361">
        <f t="shared" si="5"/>
        <v>0</v>
      </c>
      <c r="W94" s="356" t="s">
        <v>1595</v>
      </c>
      <c r="X94" s="347">
        <f t="shared" si="6"/>
        <v>0</v>
      </c>
      <c r="Y94" s="9"/>
      <c r="AB94" s="181"/>
    </row>
    <row r="95" spans="1:28" ht="13" customHeight="1" x14ac:dyDescent="0.3">
      <c r="A95" s="87"/>
      <c r="B95" s="18"/>
      <c r="C95" s="144" t="str">
        <f>VLOOKUP(69,Textbausteine_201[],Hilfsgrössen!$D$2,FALSE)</f>
        <v>dont pour constitution de fonds propres</v>
      </c>
      <c r="D95" s="9" t="str">
        <f>VLOOKUP(12,Textbausteine_201[],Hilfsgrössen!$D$2,FALSE)</f>
        <v>%</v>
      </c>
      <c r="F95" s="37" t="s">
        <v>66</v>
      </c>
      <c r="H95" s="348">
        <v>10.029251984956122</v>
      </c>
      <c r="I95" s="348">
        <v>9.7752332485156916</v>
      </c>
      <c r="J95" s="348">
        <v>13.199577613516366</v>
      </c>
      <c r="K95" s="348">
        <v>7.2893401015228427</v>
      </c>
      <c r="L95" s="348">
        <v>7.6923076923076925</v>
      </c>
      <c r="M95" s="348">
        <v>5.2378085490668278</v>
      </c>
      <c r="N95" s="348">
        <v>11.579347000759302</v>
      </c>
      <c r="O95" s="348">
        <v>11.64449585502217</v>
      </c>
      <c r="P95" s="348">
        <v>8.8821979676326688</v>
      </c>
      <c r="Q95" s="349" t="s">
        <v>1595</v>
      </c>
      <c r="R95" s="348">
        <v>8.3708708708708706</v>
      </c>
      <c r="S95" s="348">
        <f t="shared" ref="S95" si="19">S84/S$76*100</f>
        <v>10.574712643678161</v>
      </c>
      <c r="T95" s="349" t="s">
        <v>1595</v>
      </c>
      <c r="U95" s="348">
        <f t="shared" ref="U95" si="20">U84/U$76*100</f>
        <v>11.746581937223185</v>
      </c>
      <c r="V95" s="361">
        <f t="shared" si="5"/>
        <v>7.6579203109815346</v>
      </c>
      <c r="W95" s="356" t="s">
        <v>1595</v>
      </c>
      <c r="X95" s="347">
        <f t="shared" si="6"/>
        <v>7.6177285318559553</v>
      </c>
      <c r="Y95" s="9"/>
      <c r="AB95" s="181"/>
    </row>
    <row r="96" spans="1:28" ht="13" customHeight="1" x14ac:dyDescent="0.3">
      <c r="A96" s="87"/>
      <c r="B96" s="18"/>
      <c r="C96" s="144" t="str">
        <f>VLOOKUP(70,Textbausteine_201[],Hilfsgrössen!$D$2,FALSE)</f>
        <v>dont pour Autres</v>
      </c>
      <c r="D96" s="9" t="str">
        <f>VLOOKUP(12,Textbausteine_201[],Hilfsgrössen!$D$2,FALSE)</f>
        <v>%</v>
      </c>
      <c r="E96" s="37">
        <v>6</v>
      </c>
      <c r="F96" s="37" t="s">
        <v>66</v>
      </c>
      <c r="H96" s="348">
        <v>-1.0238194734642709</v>
      </c>
      <c r="I96" s="348">
        <v>-1.3570822731128074</v>
      </c>
      <c r="J96" s="348">
        <v>-1.9007391763463568</v>
      </c>
      <c r="K96" s="348">
        <v>-3.0862944162436547</v>
      </c>
      <c r="L96" s="348">
        <v>-2.7487179487179487</v>
      </c>
      <c r="M96" s="348">
        <v>-2.1673690547862732</v>
      </c>
      <c r="N96" s="348">
        <v>-1.119969627942293</v>
      </c>
      <c r="O96" s="348">
        <v>-1.3109697320223637</v>
      </c>
      <c r="P96" s="348">
        <v>-0.88445615355664287</v>
      </c>
      <c r="Q96" s="349" t="s">
        <v>1595</v>
      </c>
      <c r="R96" s="348">
        <v>0.95720720720720709</v>
      </c>
      <c r="S96" s="348">
        <f t="shared" ref="S96" si="21">S85/S$76*100</f>
        <v>-2.0114942528735633</v>
      </c>
      <c r="T96" s="349" t="s">
        <v>1595</v>
      </c>
      <c r="U96" s="348">
        <f t="shared" ref="U96" si="22">U85/U$76*100</f>
        <v>-3.6587714230695165</v>
      </c>
      <c r="V96" s="361">
        <f t="shared" si="5"/>
        <v>-2.1768707482993195</v>
      </c>
      <c r="W96" s="356" t="s">
        <v>1595</v>
      </c>
      <c r="X96" s="347">
        <f t="shared" si="6"/>
        <v>-2.5326474079936685</v>
      </c>
      <c r="Y96" s="9"/>
      <c r="AB96" s="181"/>
    </row>
    <row r="97" spans="1:28" ht="13" customHeight="1" x14ac:dyDescent="0.3">
      <c r="AB97" s="181"/>
    </row>
    <row r="98" spans="1:28" ht="13" customHeight="1" x14ac:dyDescent="0.3">
      <c r="B98" s="22" t="str">
        <f>VLOOKUP(151,Textbausteine_201[],Hilfsgrössen!$D$2,FALSE)</f>
        <v>1) Valeur ajoutée = résultat d'exploitation + charges de personnel + amortissements – résultat de la vente d'immobilisations corporelles, d'immobilisations incorporelles et de participations</v>
      </c>
      <c r="C98" s="29"/>
      <c r="D98" s="18"/>
      <c r="E98" s="13"/>
      <c r="F98" s="11"/>
      <c r="G98" s="49"/>
      <c r="K98" s="107"/>
      <c r="L98" s="107"/>
      <c r="M98" s="107"/>
      <c r="N98" s="107"/>
      <c r="O98" s="20"/>
      <c r="P98" s="20"/>
      <c r="Q98" s="20"/>
      <c r="R98" s="20"/>
      <c r="S98" s="182"/>
      <c r="T98" s="182"/>
      <c r="U98" s="182"/>
      <c r="V98" s="107"/>
      <c r="W98" s="107"/>
    </row>
    <row r="99" spans="1:28" ht="13" customHeight="1" x14ac:dyDescent="0.3">
      <c r="B99" s="22" t="str">
        <f>VLOOKUP(152,Textbausteine_201[],Hilfsgrössen!$D$2,FALSE)</f>
        <v>2) Salaires, appointements, charges sociales légales et volontaires, prestations de prévoyance en faveur du personnel, formation et perfectionnement</v>
      </c>
      <c r="C99" s="29"/>
      <c r="D99" s="18"/>
      <c r="E99" s="13"/>
      <c r="F99" s="11"/>
      <c r="G99" s="49"/>
      <c r="K99" s="107"/>
      <c r="L99" s="107"/>
      <c r="M99" s="107"/>
      <c r="N99" s="107"/>
      <c r="O99" s="20"/>
      <c r="P99" s="20"/>
      <c r="Q99" s="20"/>
      <c r="R99" s="20"/>
      <c r="S99" s="182"/>
      <c r="T99" s="182"/>
      <c r="U99" s="182"/>
      <c r="V99" s="107"/>
      <c r="W99" s="107"/>
    </row>
    <row r="100" spans="1:28" ht="13" customHeight="1" x14ac:dyDescent="0.3">
      <c r="B100" s="22" t="str">
        <f>VLOOKUP(153,Textbausteine_201[],Hilfsgrössen!$D$2,FALSE)</f>
        <v>3) Intérêts et charges similaires</v>
      </c>
      <c r="C100" s="29"/>
      <c r="D100" s="18"/>
      <c r="E100" s="13"/>
      <c r="F100" s="11"/>
      <c r="G100" s="49"/>
      <c r="K100" s="107"/>
      <c r="L100" s="107"/>
      <c r="M100" s="107"/>
      <c r="N100" s="107"/>
      <c r="O100" s="20"/>
      <c r="P100" s="20"/>
      <c r="Q100" s="20"/>
      <c r="R100" s="20"/>
      <c r="S100" s="182"/>
      <c r="T100" s="182"/>
      <c r="U100" s="182"/>
      <c r="V100" s="107"/>
      <c r="W100" s="107"/>
    </row>
    <row r="101" spans="1:28" ht="13" customHeight="1" x14ac:dyDescent="0.3">
      <c r="B101" s="22" t="str">
        <f>VLOOKUP(154,Textbausteine_201[],Hilfsgrössen!$D$2,FALSE)</f>
        <v>4) Impôts sur le bénéfice</v>
      </c>
      <c r="C101" s="29"/>
      <c r="D101" s="18"/>
      <c r="E101" s="13"/>
      <c r="F101" s="11"/>
      <c r="G101" s="49"/>
      <c r="K101" s="107"/>
      <c r="L101" s="107"/>
      <c r="M101" s="107"/>
      <c r="N101" s="107"/>
      <c r="O101" s="20"/>
      <c r="P101" s="20"/>
      <c r="Q101" s="20"/>
      <c r="R101" s="20"/>
      <c r="S101" s="182"/>
      <c r="T101" s="182"/>
      <c r="U101" s="182"/>
      <c r="V101" s="107"/>
      <c r="W101" s="107"/>
    </row>
    <row r="102" spans="1:28" ht="13" customHeight="1" x14ac:dyDescent="0.3">
      <c r="B102" s="22" t="str">
        <f>VLOOKUP(155,Textbausteine_201[],Hilfsgrössen!$D$2,FALSE)</f>
        <v>5) Versement du bénéfice à la Confédération</v>
      </c>
      <c r="C102" s="29"/>
      <c r="D102" s="18"/>
      <c r="E102" s="13"/>
      <c r="F102" s="11"/>
      <c r="G102" s="49"/>
      <c r="K102" s="107"/>
      <c r="L102" s="107"/>
      <c r="M102" s="107"/>
      <c r="N102" s="107"/>
      <c r="O102" s="20"/>
      <c r="P102" s="20"/>
      <c r="Q102" s="20"/>
      <c r="R102" s="20"/>
      <c r="S102" s="182"/>
      <c r="T102" s="182"/>
      <c r="U102" s="182"/>
      <c r="V102" s="107"/>
      <c r="W102" s="107"/>
    </row>
    <row r="103" spans="1:28" ht="13" customHeight="1" x14ac:dyDescent="0.3">
      <c r="B103" s="22" t="str">
        <f>VLOOKUP(156,Textbausteine_201[],Hilfsgrössen!$D$2,FALSE)</f>
        <v>6) Le poste «Autres» comprend le bénéfice de la vente d'immobilisations corporelles, les produits des sociétés associées, les produits financiers et les impôts latents.</v>
      </c>
      <c r="C103" s="29"/>
      <c r="D103" s="18"/>
      <c r="E103" s="13"/>
      <c r="F103" s="11"/>
      <c r="G103" s="49"/>
      <c r="K103" s="107"/>
      <c r="L103" s="107"/>
      <c r="M103" s="107"/>
      <c r="N103" s="107"/>
      <c r="O103" s="20"/>
      <c r="P103" s="20"/>
      <c r="Q103" s="20"/>
      <c r="R103" s="20"/>
      <c r="S103" s="182"/>
      <c r="T103" s="182"/>
      <c r="U103" s="182"/>
      <c r="V103" s="107"/>
      <c r="W103" s="107"/>
    </row>
    <row r="104" spans="1:28" ht="13" customHeight="1" x14ac:dyDescent="0.3">
      <c r="B104" s="22" t="str">
        <f>VLOOKUP(157,Textbausteine_201[],Hilfsgrössen!$D$2,FALSE)</f>
        <v>7) Proposition d'affectation des bénéfices de la Poste (voir aussi le rapport de gestion, comptes annuels de La Poste Suisse SA).</v>
      </c>
      <c r="C104" s="29"/>
      <c r="D104" s="18"/>
      <c r="E104" s="13"/>
      <c r="F104" s="11"/>
      <c r="G104" s="49"/>
      <c r="K104" s="107"/>
      <c r="L104" s="107"/>
      <c r="M104" s="107"/>
      <c r="N104" s="107"/>
      <c r="O104" s="20"/>
      <c r="P104" s="20"/>
      <c r="Q104" s="20"/>
      <c r="R104" s="20"/>
      <c r="S104" s="182"/>
      <c r="T104" s="182"/>
      <c r="U104" s="182"/>
      <c r="V104" s="107"/>
      <c r="W104" s="107"/>
    </row>
    <row r="105" spans="1:28" ht="13" customHeight="1" x14ac:dyDescent="0.3">
      <c r="B105" s="22"/>
    </row>
    <row r="109" spans="1:28" s="31" customFormat="1" ht="13" customHeight="1" x14ac:dyDescent="0.3">
      <c r="A109" s="81" t="s">
        <v>900</v>
      </c>
      <c r="B109" s="389" t="str">
        <f>$C$9</f>
        <v>Caisse de pensions</v>
      </c>
      <c r="C109" s="389"/>
      <c r="D109" s="6" t="str">
        <f>VLOOKUP(32,Textbausteine_Menu[],Hilfsgrössen!$D$2,FALSE)</f>
        <v>Unité</v>
      </c>
      <c r="E109" s="40" t="str">
        <f>VLOOKUP(33,Textbausteine_Menu[],Hilfsgrössen!$D$2,FALSE)</f>
        <v>Notes</v>
      </c>
      <c r="F109" s="40" t="str">
        <f>VLOOKUP(34,Textbausteine_Menu[],Hilfsgrössen!$D$2,FALSE)</f>
        <v>GRI</v>
      </c>
      <c r="G109" s="48"/>
      <c r="H109" s="117">
        <v>2004</v>
      </c>
      <c r="I109" s="117">
        <v>2005</v>
      </c>
      <c r="J109" s="117">
        <v>2006</v>
      </c>
      <c r="K109" s="117">
        <v>2007</v>
      </c>
      <c r="L109" s="117">
        <v>2008</v>
      </c>
      <c r="M109" s="117">
        <v>2009</v>
      </c>
      <c r="N109" s="117">
        <v>2010</v>
      </c>
      <c r="O109" s="117">
        <v>2011</v>
      </c>
      <c r="P109" s="117">
        <v>2012</v>
      </c>
      <c r="Q109" s="117">
        <v>2013</v>
      </c>
      <c r="R109" s="117" t="s">
        <v>58</v>
      </c>
      <c r="S109" s="104">
        <v>2014</v>
      </c>
      <c r="T109" s="104">
        <v>2015</v>
      </c>
      <c r="U109" s="117" t="s">
        <v>59</v>
      </c>
      <c r="V109" s="117">
        <v>2016</v>
      </c>
      <c r="W109" s="261">
        <v>2017</v>
      </c>
      <c r="X109" s="357" t="s">
        <v>2555</v>
      </c>
      <c r="Y109" s="6"/>
    </row>
    <row r="110" spans="1:28" s="31" customFormat="1" ht="13" customHeight="1" x14ac:dyDescent="0.3">
      <c r="A110" s="86"/>
      <c r="B110" s="389"/>
      <c r="C110" s="389"/>
      <c r="D110" s="6"/>
      <c r="E110" s="40"/>
      <c r="F110" s="40"/>
      <c r="G110" s="48"/>
      <c r="H110" s="117"/>
      <c r="I110" s="117"/>
      <c r="J110" s="117"/>
      <c r="K110" s="117"/>
      <c r="L110" s="117"/>
      <c r="M110" s="117"/>
      <c r="N110" s="117"/>
      <c r="O110" s="117"/>
      <c r="P110" s="117"/>
      <c r="Q110" s="117"/>
      <c r="R110" s="117"/>
      <c r="S110" s="117"/>
      <c r="T110" s="104"/>
      <c r="U110" s="104"/>
      <c r="V110" s="20"/>
      <c r="W110" s="262"/>
      <c r="X110" s="358"/>
      <c r="Y110" s="6"/>
    </row>
    <row r="111" spans="1:28" ht="13" customHeight="1" x14ac:dyDescent="0.3">
      <c r="A111" s="63"/>
      <c r="C111" s="27"/>
      <c r="D111" s="18"/>
      <c r="E111" s="13"/>
      <c r="F111" s="11"/>
      <c r="G111" s="49"/>
      <c r="H111" s="20"/>
      <c r="I111" s="20"/>
      <c r="J111" s="20"/>
      <c r="K111" s="20"/>
      <c r="L111" s="20"/>
      <c r="M111" s="20"/>
      <c r="N111" s="20"/>
      <c r="O111" s="20"/>
      <c r="P111" s="107"/>
      <c r="Q111" s="107"/>
      <c r="R111" s="107"/>
      <c r="S111" s="107"/>
      <c r="T111" s="107"/>
      <c r="U111" s="107"/>
      <c r="V111" s="119"/>
      <c r="W111" s="263"/>
      <c r="X111" s="359"/>
      <c r="Y111" s="9"/>
    </row>
    <row r="112" spans="1:28" s="31" customFormat="1" ht="13" customHeight="1" x14ac:dyDescent="0.3">
      <c r="A112" s="87"/>
      <c r="B112" s="8" t="str">
        <f>VLOOKUP(37,Textbausteine_Menu[],Hilfsgrössen!$D$2,FALSE)</f>
        <v>Groupe Suisse</v>
      </c>
      <c r="E112" s="39"/>
      <c r="F112" s="39"/>
      <c r="G112" s="46"/>
      <c r="H112" s="95"/>
      <c r="I112" s="95"/>
      <c r="J112" s="95"/>
      <c r="K112" s="95"/>
      <c r="L112" s="95"/>
      <c r="M112" s="95"/>
      <c r="N112" s="95"/>
      <c r="O112" s="95"/>
      <c r="P112" s="95"/>
      <c r="Q112" s="95"/>
      <c r="R112" s="95"/>
      <c r="S112" s="95"/>
      <c r="T112" s="95"/>
      <c r="U112" s="95"/>
      <c r="V112" s="119"/>
      <c r="W112" s="263"/>
      <c r="X112" s="358"/>
      <c r="Y112" s="6"/>
    </row>
    <row r="113" spans="1:25" ht="13" customHeight="1" x14ac:dyDescent="0.3">
      <c r="C113" s="28" t="str">
        <f>VLOOKUP(51,Textbausteine_201[],Hilfsgrössen!$D$2,FALSE)</f>
        <v>Découvert des obligations de prévoyance portées au bilan selon les normes IFRS</v>
      </c>
      <c r="D113" s="18" t="str">
        <f>VLOOKUP(11,Textbausteine_201[],Hilfsgrössen!$D$2,FALSE)</f>
        <v>Millions de CHF</v>
      </c>
      <c r="E113" s="13">
        <v>1</v>
      </c>
      <c r="F113" s="11" t="s">
        <v>67</v>
      </c>
      <c r="G113" s="49"/>
      <c r="H113" s="188">
        <v>3153</v>
      </c>
      <c r="I113" s="188">
        <v>2876</v>
      </c>
      <c r="J113" s="188">
        <v>2021</v>
      </c>
      <c r="K113" s="188">
        <v>1642</v>
      </c>
      <c r="L113" s="140">
        <v>3541</v>
      </c>
      <c r="M113" s="140">
        <v>2221</v>
      </c>
      <c r="N113" s="140">
        <v>2555</v>
      </c>
      <c r="O113" s="140">
        <v>2980</v>
      </c>
      <c r="P113" s="137">
        <v>2991</v>
      </c>
      <c r="Q113" s="137">
        <v>2042</v>
      </c>
      <c r="R113" s="181" t="s">
        <v>1595</v>
      </c>
      <c r="S113" s="137">
        <v>3489</v>
      </c>
      <c r="T113" s="137">
        <v>4847</v>
      </c>
      <c r="U113" s="181" t="s">
        <v>1595</v>
      </c>
      <c r="V113" s="20">
        <v>5080</v>
      </c>
      <c r="W113" s="262">
        <v>2626</v>
      </c>
      <c r="X113" s="360" t="s">
        <v>1595</v>
      </c>
      <c r="Y113" s="9"/>
    </row>
    <row r="114" spans="1:25" ht="13" customHeight="1" x14ac:dyDescent="0.3">
      <c r="C114" s="28" t="str">
        <f>VLOOKUP(52,Textbausteine_201[],Hilfsgrössen!$D$2,FALSE)</f>
        <v>Degré de couverture de la Caisse de pensions Poste selon la LPP</v>
      </c>
      <c r="D114" s="9" t="str">
        <f>VLOOKUP(12,Textbausteine_201[],Hilfsgrössen!$D$2,FALSE)</f>
        <v>%</v>
      </c>
      <c r="E114" s="13" t="s">
        <v>389</v>
      </c>
      <c r="F114" s="11" t="s">
        <v>67</v>
      </c>
      <c r="G114" s="49"/>
      <c r="H114" s="188">
        <v>94.5</v>
      </c>
      <c r="I114" s="188">
        <v>101.1</v>
      </c>
      <c r="J114" s="188">
        <v>103.9</v>
      </c>
      <c r="K114" s="188">
        <v>102.1</v>
      </c>
      <c r="L114" s="140">
        <v>88.1</v>
      </c>
      <c r="M114" s="140">
        <v>95.7</v>
      </c>
      <c r="N114" s="140">
        <v>98.9</v>
      </c>
      <c r="O114" s="140">
        <v>96.7</v>
      </c>
      <c r="P114" s="137">
        <v>98.8</v>
      </c>
      <c r="Q114" s="137">
        <v>101.4</v>
      </c>
      <c r="R114" s="181" t="s">
        <v>1595</v>
      </c>
      <c r="S114" s="137">
        <v>101.4</v>
      </c>
      <c r="T114" s="137">
        <v>99.4</v>
      </c>
      <c r="U114" s="181" t="s">
        <v>1595</v>
      </c>
      <c r="V114" s="107">
        <v>102.2</v>
      </c>
      <c r="W114" s="264">
        <v>106.3</v>
      </c>
      <c r="X114" s="360" t="s">
        <v>1595</v>
      </c>
      <c r="Y114" s="9"/>
    </row>
    <row r="115" spans="1:25" ht="13" customHeight="1" x14ac:dyDescent="0.3">
      <c r="C115" s="28"/>
      <c r="D115" s="18"/>
      <c r="E115" s="13"/>
      <c r="F115" s="11"/>
      <c r="G115" s="49"/>
      <c r="M115" s="107"/>
      <c r="R115" s="20"/>
      <c r="S115" s="182"/>
      <c r="T115" s="107"/>
      <c r="U115" s="107"/>
      <c r="V115" s="107"/>
      <c r="W115" s="107"/>
      <c r="Y115" s="18"/>
    </row>
    <row r="116" spans="1:25" ht="13" customHeight="1" x14ac:dyDescent="0.3">
      <c r="B116" s="22" t="str">
        <f>VLOOKUP(141,Textbausteine_201[],Hilfsgrössen!$D$2,FALSE)</f>
        <v>1) Couverture selon les normes IFRS (voir rapport financier)</v>
      </c>
      <c r="C116" s="29"/>
      <c r="D116" s="18"/>
      <c r="E116" s="13"/>
      <c r="F116" s="11"/>
      <c r="G116" s="49"/>
      <c r="K116" s="107"/>
      <c r="L116" s="107"/>
      <c r="M116" s="107"/>
      <c r="N116" s="107"/>
      <c r="O116" s="20"/>
      <c r="P116" s="20"/>
      <c r="Q116" s="20"/>
      <c r="R116" s="20"/>
      <c r="S116" s="182"/>
      <c r="T116" s="182"/>
      <c r="U116" s="182"/>
      <c r="V116" s="107"/>
      <c r="W116" s="107"/>
    </row>
    <row r="117" spans="1:25" s="21" customFormat="1" ht="13" customHeight="1" x14ac:dyDescent="0.3">
      <c r="A117" s="86"/>
      <c r="B117" s="22" t="str">
        <f>VLOOKUP(142,Textbausteine_201[],Hilfsgrössen!$D$2,FALSE)</f>
        <v>2) Degré de couverture conformément à l'art. 44 de l'ordonnance sur la prévoyance professionnelle vieillesse, survivants et invalidité (OPP 2)</v>
      </c>
      <c r="D117" s="24"/>
      <c r="E117" s="44"/>
      <c r="F117" s="44"/>
      <c r="G117" s="54"/>
      <c r="H117" s="189"/>
      <c r="I117" s="189"/>
      <c r="J117" s="189"/>
      <c r="K117" s="189"/>
      <c r="L117" s="189"/>
      <c r="M117" s="189"/>
      <c r="N117" s="189"/>
      <c r="O117" s="189"/>
      <c r="P117" s="189"/>
      <c r="Q117" s="189"/>
      <c r="R117" s="189"/>
      <c r="S117" s="189"/>
      <c r="T117" s="189"/>
      <c r="U117" s="189"/>
      <c r="V117" s="107"/>
      <c r="W117" s="107"/>
    </row>
    <row r="118" spans="1:25" s="21" customFormat="1" ht="13" customHeight="1" x14ac:dyDescent="0.3">
      <c r="A118" s="86"/>
      <c r="B118" s="22" t="str">
        <f>VLOOKUP(143,Textbausteine_201[],Hilfsgrössen!$D$2,FALSE)</f>
        <v>3) Degré de couverture non vérifié en 2017</v>
      </c>
      <c r="D118" s="24"/>
      <c r="E118" s="44"/>
      <c r="F118" s="44"/>
      <c r="G118" s="54"/>
      <c r="H118" s="189"/>
      <c r="I118" s="189"/>
      <c r="J118" s="189"/>
      <c r="K118" s="189"/>
      <c r="L118" s="189"/>
      <c r="M118" s="189"/>
      <c r="N118" s="189"/>
      <c r="O118" s="189"/>
      <c r="P118" s="189"/>
      <c r="Q118" s="189"/>
      <c r="R118" s="189"/>
      <c r="S118" s="189"/>
      <c r="T118" s="189"/>
      <c r="U118" s="189"/>
      <c r="V118" s="107"/>
      <c r="W118" s="107"/>
    </row>
    <row r="119" spans="1:25" s="21" customFormat="1" ht="13" customHeight="1" x14ac:dyDescent="0.3">
      <c r="A119" s="86"/>
      <c r="D119" s="24"/>
      <c r="E119" s="44"/>
      <c r="F119" s="44"/>
      <c r="G119" s="54"/>
      <c r="H119" s="189"/>
      <c r="I119" s="189"/>
      <c r="J119" s="189"/>
      <c r="K119" s="189"/>
      <c r="L119" s="189"/>
      <c r="M119" s="189"/>
      <c r="N119" s="189"/>
      <c r="O119" s="189"/>
      <c r="P119" s="189"/>
      <c r="Q119" s="189"/>
      <c r="R119" s="189"/>
      <c r="S119" s="189"/>
      <c r="T119" s="189"/>
      <c r="U119" s="189"/>
      <c r="V119" s="107"/>
      <c r="W119" s="107"/>
    </row>
    <row r="120" spans="1:25" ht="13" customHeight="1" x14ac:dyDescent="0.3">
      <c r="V120" s="107"/>
      <c r="W120" s="107"/>
    </row>
    <row r="121" spans="1:25" ht="13" customHeight="1" x14ac:dyDescent="0.3">
      <c r="V121" s="107"/>
      <c r="W121" s="107"/>
    </row>
    <row r="122" spans="1:25" ht="13" customHeight="1" x14ac:dyDescent="0.3">
      <c r="A122" s="63"/>
      <c r="V122" s="119"/>
      <c r="W122" s="119"/>
    </row>
    <row r="123" spans="1:25" ht="13" customHeight="1" x14ac:dyDescent="0.3">
      <c r="A123" s="87"/>
      <c r="V123" s="119"/>
      <c r="W123" s="119"/>
    </row>
    <row r="127" spans="1:25" ht="13" customHeight="1" x14ac:dyDescent="0.3">
      <c r="V127" s="107"/>
      <c r="W127" s="107"/>
    </row>
    <row r="128" spans="1:25" ht="13" customHeight="1" x14ac:dyDescent="0.3">
      <c r="V128" s="107"/>
      <c r="W128" s="107"/>
    </row>
    <row r="129" spans="22:23" ht="13" customHeight="1" x14ac:dyDescent="0.3">
      <c r="V129" s="107"/>
      <c r="W129" s="107"/>
    </row>
    <row r="130" spans="22:23" ht="13" customHeight="1" x14ac:dyDescent="0.3">
      <c r="V130" s="107"/>
      <c r="W130" s="107"/>
    </row>
    <row r="131" spans="22:23" ht="13" customHeight="1" x14ac:dyDescent="0.3">
      <c r="V131" s="107"/>
      <c r="W131" s="107"/>
    </row>
    <row r="132" spans="22:23" ht="13" customHeight="1" x14ac:dyDescent="0.3">
      <c r="V132" s="107"/>
      <c r="W132" s="107"/>
    </row>
    <row r="133" spans="22:23" ht="13" customHeight="1" x14ac:dyDescent="0.3">
      <c r="V133" s="107"/>
      <c r="W133" s="107"/>
    </row>
    <row r="134" spans="22:23" ht="13" customHeight="1" x14ac:dyDescent="0.3">
      <c r="V134" s="107"/>
      <c r="W134" s="107"/>
    </row>
    <row r="135" spans="22:23" ht="13" customHeight="1" x14ac:dyDescent="0.3">
      <c r="V135" s="107"/>
      <c r="W135" s="107"/>
    </row>
    <row r="136" spans="22:23" ht="13" customHeight="1" x14ac:dyDescent="0.3">
      <c r="V136" s="107"/>
      <c r="W136" s="107"/>
    </row>
    <row r="137" spans="22:23" ht="13" customHeight="1" x14ac:dyDescent="0.3">
      <c r="V137" s="107"/>
      <c r="W137" s="107"/>
    </row>
    <row r="138" spans="22:23" ht="13" customHeight="1" x14ac:dyDescent="0.3">
      <c r="V138" s="107"/>
      <c r="W138" s="107"/>
    </row>
    <row r="139" spans="22:23" ht="13" customHeight="1" x14ac:dyDescent="0.3">
      <c r="V139" s="107"/>
      <c r="W139" s="107"/>
    </row>
    <row r="140" spans="22:23" ht="13" customHeight="1" x14ac:dyDescent="0.3">
      <c r="V140" s="107"/>
      <c r="W140" s="107"/>
    </row>
    <row r="141" spans="22:23" ht="13" customHeight="1" x14ac:dyDescent="0.3">
      <c r="V141" s="107"/>
      <c r="W141" s="107"/>
    </row>
    <row r="142" spans="22:23" ht="13" customHeight="1" x14ac:dyDescent="0.3">
      <c r="V142" s="107"/>
      <c r="W142" s="107"/>
    </row>
    <row r="143" spans="22:23" ht="13" customHeight="1" x14ac:dyDescent="0.3">
      <c r="V143" s="107"/>
      <c r="W143" s="107"/>
    </row>
    <row r="144" spans="22:23" ht="13" customHeight="1" x14ac:dyDescent="0.3">
      <c r="V144" s="107"/>
      <c r="W144" s="107"/>
    </row>
    <row r="151" spans="1:23" ht="13" customHeight="1" x14ac:dyDescent="0.3">
      <c r="A151" s="63"/>
      <c r="V151" s="119"/>
      <c r="W151" s="119"/>
    </row>
    <row r="152" spans="1:23" ht="13" customHeight="1" x14ac:dyDescent="0.3">
      <c r="A152" s="87"/>
      <c r="V152" s="119"/>
      <c r="W152" s="119"/>
    </row>
    <row r="156" spans="1:23" ht="13" customHeight="1" x14ac:dyDescent="0.3">
      <c r="V156" s="140"/>
      <c r="W156" s="140"/>
    </row>
    <row r="157" spans="1:23" ht="13" customHeight="1" x14ac:dyDescent="0.3">
      <c r="V157" s="140"/>
      <c r="W157" s="140"/>
    </row>
    <row r="158" spans="1:23" ht="13" customHeight="1" x14ac:dyDescent="0.3">
      <c r="V158" s="140"/>
      <c r="W158" s="140"/>
    </row>
    <row r="159" spans="1:23" ht="13" customHeight="1" x14ac:dyDescent="0.3">
      <c r="V159" s="140"/>
      <c r="W159" s="140"/>
    </row>
    <row r="160" spans="1:23" ht="13" customHeight="1" x14ac:dyDescent="0.3">
      <c r="V160" s="140"/>
      <c r="W160" s="140"/>
    </row>
    <row r="161" spans="22:23" ht="13" customHeight="1" x14ac:dyDescent="0.3">
      <c r="V161" s="140"/>
      <c r="W161" s="140"/>
    </row>
    <row r="162" spans="22:23" ht="13" customHeight="1" x14ac:dyDescent="0.3">
      <c r="V162" s="140"/>
      <c r="W162" s="140"/>
    </row>
    <row r="163" spans="22:23" ht="13" customHeight="1" x14ac:dyDescent="0.3">
      <c r="V163" s="140"/>
      <c r="W163" s="140"/>
    </row>
  </sheetData>
  <sheetProtection algorithmName="SHA-512" hashValue="PpS3bm2LiWmfFXeuFGcwswg7BjaIUF8fkIaBScqe4ng1ZUPI4TA94+erjZEpEWYFvx30itUbuOHlEacwKx1aXQ==" saltValue="29+/CZD86TP3HsAqZJsd1Q==" spinCount="100000" sheet="1" objects="1" scenarios="1"/>
  <mergeCells count="6">
    <mergeCell ref="D2:E2"/>
    <mergeCell ref="B3:C3"/>
    <mergeCell ref="B2:C2"/>
    <mergeCell ref="B12:C13"/>
    <mergeCell ref="B109:C110"/>
    <mergeCell ref="B72:C73"/>
  </mergeCells>
  <conditionalFormatting sqref="H6:CA28 H97:CA113 H86:V87 H72:V75 Y72:CA96 H30:CA37 Y29:CA29 H39:CA43 Y38:CA38 H45:CA47 Y44:CA44 H58:CA60 Y57:CA57 H53:CA56 Y52:CA52 H49:CA51 Y48:CA48 H62:CA71 Y61:CA61 H115:CA10000 Y114:CA114">
    <cfRule type="expression" dxfId="133" priority="13">
      <formula>AND($D6&lt;&gt;"",H$12&lt;&gt;"",H6="")</formula>
    </cfRule>
  </conditionalFormatting>
  <conditionalFormatting sqref="B1:D1048576">
    <cfRule type="expression" dxfId="132" priority="12">
      <formula>AND(B1&lt;&gt;"",NOT(_xlfn.ISFORMULA(B1)))</formula>
    </cfRule>
  </conditionalFormatting>
  <conditionalFormatting sqref="H1:CA28 H97:CA113 H86:V87 H72:V75 Y72:CA96 H30:CA37 Y29:CA29 H39:CA43 Y38:CA38 H45:CA47 Y44:CA44 H58:CA60 Y57:CA57 H53:CA56 Y52:CA52 H49:CA51 Y48:CA48 H62:CA71 Y61:CA61 H115:CA1048576 Y114:CA114">
    <cfRule type="expression" dxfId="131" priority="14">
      <formula>AND($A1="",ABS(H1)=0)</formula>
    </cfRule>
    <cfRule type="expression" dxfId="130" priority="25">
      <formula>AND($A1="",ABS(H1)&lt;100)</formula>
    </cfRule>
    <cfRule type="expression" dxfId="129" priority="26">
      <formula>AND($A1="",ABS(H1)&gt;=100)</formula>
    </cfRule>
  </conditionalFormatting>
  <conditionalFormatting sqref="H29:X29">
    <cfRule type="expression" dxfId="128" priority="11">
      <formula>AND($A1="",ABS(XEV1)=0)</formula>
    </cfRule>
  </conditionalFormatting>
  <conditionalFormatting sqref="H38:X38">
    <cfRule type="expression" dxfId="127" priority="9">
      <formula>AND($A1="",ABS(XEV1)&gt;=100)</formula>
    </cfRule>
    <cfRule type="expression" dxfId="126" priority="10">
      <formula>AND($A1="",ABS(XEV1)=0)</formula>
    </cfRule>
  </conditionalFormatting>
  <conditionalFormatting sqref="H44:X44">
    <cfRule type="expression" dxfId="125" priority="7">
      <formula>AND($A1="",ABS(XEV1)&gt;=100)</formula>
    </cfRule>
    <cfRule type="expression" dxfId="124" priority="8">
      <formula>AND($A1="",ABS(XEV1)=0)</formula>
    </cfRule>
  </conditionalFormatting>
  <conditionalFormatting sqref="H48:X48 H52:X52 H57:X57">
    <cfRule type="expression" dxfId="123" priority="5">
      <formula>AND($A1048568="",ABS(H1048568)&gt;=100)</formula>
    </cfRule>
    <cfRule type="expression" dxfId="122" priority="6">
      <formula>AND($A1048568="",ABS(XEV1048568)=0)</formula>
    </cfRule>
  </conditionalFormatting>
  <conditionalFormatting sqref="H61:X61">
    <cfRule type="expression" dxfId="121" priority="3">
      <formula>AND($A1="",ABS(H1)&gt;=100)</formula>
    </cfRule>
    <cfRule type="expression" dxfId="120" priority="4">
      <formula>AND($A1="",ABS(XEV1)=0)</formula>
    </cfRule>
  </conditionalFormatting>
  <conditionalFormatting sqref="H76:X85">
    <cfRule type="expression" dxfId="119" priority="2">
      <formula>AND($A1048568="",ABS(XEV1048568)&gt;=0)</formula>
    </cfRule>
  </conditionalFormatting>
  <conditionalFormatting sqref="H114:X114">
    <cfRule type="expression" dxfId="118" priority="1">
      <formula>AND($A1="",ABS(XEY1)&lt;100)</formula>
    </cfRule>
  </conditionalFormatting>
  <dataValidations disablePrompts="1" count="2">
    <dataValidation type="list" allowBlank="1" showInputMessage="1" showErrorMessage="1" sqref="G2">
      <formula1>Sprache</formula1>
    </dataValidation>
    <dataValidation allowBlank="1" showInputMessage="1" showErrorMessage="1" sqref="F2"/>
  </dataValidations>
  <hyperlinks>
    <hyperlink ref="C7" location="GRI_201_1a" display="GRI_201_1a"/>
    <hyperlink ref="C9" location="GRI_201_3" display="201-3 – Defined benefit plan obligations and other retirement plans"/>
    <hyperlink ref="A12" location="GRI_201" display="Ó"/>
    <hyperlink ref="A109" location="GRI_201" display="Ó"/>
    <hyperlink ref="A72" location="GRI_201" display="Ó"/>
    <hyperlink ref="C8" location="GRI_201_1b" display="GRI_201_1b"/>
    <hyperlink ref="D2" location="Home" display="Home"/>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523178"/>
  </sheetPr>
  <dimension ref="A2:U12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1796875" style="1" customWidth="1"/>
    <col min="4" max="4" width="23.54296875" style="1" customWidth="1"/>
    <col min="5" max="5" width="9.453125" style="37" customWidth="1"/>
    <col min="6" max="6" width="14.1796875" style="37" customWidth="1"/>
    <col min="7" max="7" width="2.26953125" style="47" customWidth="1"/>
    <col min="8" max="19" width="11.7265625" style="101" customWidth="1"/>
    <col min="20" max="21" width="11.7265625" style="20" customWidth="1"/>
    <col min="22" max="79" width="11.7265625" style="1" customWidth="1"/>
    <col min="80" max="16384" width="10.81640625" style="1"/>
  </cols>
  <sheetData>
    <row r="2" spans="1:21" s="153" customFormat="1" ht="26.15" customHeight="1" x14ac:dyDescent="0.3">
      <c r="A2" s="88"/>
      <c r="B2" s="390" t="str">
        <f>UPPER(RIGHT('Table des matières'!$C$13,LEN('Table des matières'!$C$13)-FIND(" – ",'Table des matières'!$C$13,1)-2))</f>
        <v>PRÉSENCE SUR LE MARCHÉ</v>
      </c>
      <c r="C2" s="390"/>
      <c r="D2" s="386" t="str">
        <f>VLOOKUP(35,Textbausteine_Menu[],Hilfsgrössen!$D$2,FALSE)</f>
        <v>retour à la table des matières</v>
      </c>
      <c r="E2" s="387"/>
      <c r="F2" s="145" t="s">
        <v>88</v>
      </c>
      <c r="G2" s="171"/>
      <c r="H2" s="155"/>
      <c r="I2" s="155"/>
      <c r="J2" s="155"/>
      <c r="K2" s="155"/>
      <c r="L2" s="155"/>
      <c r="M2" s="155"/>
      <c r="N2" s="155"/>
      <c r="O2" s="155"/>
      <c r="P2" s="155"/>
      <c r="Q2" s="155"/>
      <c r="R2" s="155"/>
      <c r="S2" s="155"/>
      <c r="T2" s="116"/>
      <c r="U2" s="116"/>
    </row>
    <row r="3" spans="1:21" s="154" customFormat="1" ht="26.15" customHeight="1" x14ac:dyDescent="0.3">
      <c r="A3" s="89"/>
      <c r="B3" s="391" t="str">
        <f>UPPER("GRI "&amp;LEFT('Table des matières'!$C$13,3))</f>
        <v>GRI 202</v>
      </c>
      <c r="C3" s="391"/>
      <c r="E3" s="38"/>
      <c r="F3" s="38"/>
      <c r="G3" s="45"/>
      <c r="H3" s="156"/>
      <c r="I3" s="156"/>
      <c r="J3" s="156"/>
      <c r="K3" s="156"/>
      <c r="L3" s="156"/>
      <c r="M3" s="156"/>
      <c r="N3" s="156"/>
      <c r="O3" s="156"/>
      <c r="P3" s="156"/>
      <c r="Q3" s="156"/>
      <c r="R3" s="156"/>
      <c r="S3" s="156"/>
      <c r="T3" s="116"/>
      <c r="U3" s="116"/>
    </row>
    <row r="6" spans="1:21" s="31" customFormat="1" ht="13" customHeight="1" x14ac:dyDescent="0.3">
      <c r="A6" s="90"/>
      <c r="B6" s="31" t="str">
        <f>VLOOKUP(31,Textbausteine_Menu[],Hilfsgrössen!$D$2,FALSE)</f>
        <v>Divulgations</v>
      </c>
      <c r="E6" s="39"/>
      <c r="F6" s="39"/>
      <c r="G6" s="46"/>
      <c r="H6" s="95"/>
      <c r="I6" s="95"/>
      <c r="J6" s="95"/>
      <c r="K6" s="95"/>
      <c r="L6" s="95"/>
      <c r="M6" s="95"/>
      <c r="N6" s="95"/>
      <c r="O6" s="95"/>
      <c r="P6" s="95"/>
      <c r="Q6" s="95"/>
      <c r="R6" s="95"/>
      <c r="S6" s="95"/>
      <c r="T6" s="20"/>
      <c r="U6" s="20"/>
    </row>
    <row r="7" spans="1:21" ht="13" customHeight="1" x14ac:dyDescent="0.3">
      <c r="B7" s="2"/>
      <c r="C7" s="5" t="str">
        <f>VLOOKUP(1,Textbausteine_202[],Hilfsgrössen!$D$2,FALSE)</f>
        <v>Indemnités</v>
      </c>
      <c r="D7" s="4"/>
    </row>
    <row r="8" spans="1:21" ht="13" customHeight="1" x14ac:dyDescent="0.3">
      <c r="B8" s="2"/>
    </row>
    <row r="9" spans="1:21" ht="13" customHeight="1" x14ac:dyDescent="0.3">
      <c r="B9" s="2"/>
    </row>
    <row r="10" spans="1:21" s="31" customFormat="1" ht="13" customHeight="1" x14ac:dyDescent="0.3">
      <c r="A10" s="56" t="s">
        <v>900</v>
      </c>
      <c r="B10" s="385" t="str">
        <f>$C$7</f>
        <v>Indemnités</v>
      </c>
      <c r="C10" s="385"/>
      <c r="D10" s="6" t="str">
        <f>VLOOKUP(32,Textbausteine_Menu[],Hilfsgrössen!$D$2,FALSE)</f>
        <v>Unité</v>
      </c>
      <c r="E10" s="39" t="str">
        <f>VLOOKUP(33,Textbausteine_Menu[],Hilfsgrössen!$D$2,FALSE)</f>
        <v>Notes</v>
      </c>
      <c r="F10" s="39" t="str">
        <f>VLOOKUP(34,Textbausteine_Menu[],Hilfsgrössen!$D$2,FALSE)</f>
        <v>GRI</v>
      </c>
      <c r="G10" s="46"/>
      <c r="H10" s="104">
        <v>2004</v>
      </c>
      <c r="I10" s="104">
        <v>2005</v>
      </c>
      <c r="J10" s="104">
        <v>2006</v>
      </c>
      <c r="K10" s="104">
        <v>2007</v>
      </c>
      <c r="L10" s="104">
        <v>2008</v>
      </c>
      <c r="M10" s="104">
        <v>2009</v>
      </c>
      <c r="N10" s="117">
        <v>2010</v>
      </c>
      <c r="O10" s="104">
        <v>2011</v>
      </c>
      <c r="P10" s="117">
        <v>2012</v>
      </c>
      <c r="Q10" s="104">
        <v>2013</v>
      </c>
      <c r="R10" s="104">
        <v>2014</v>
      </c>
      <c r="S10" s="117">
        <v>2015</v>
      </c>
      <c r="T10" s="117">
        <v>2016</v>
      </c>
      <c r="U10" s="261">
        <v>2017</v>
      </c>
    </row>
    <row r="11" spans="1:21" ht="13" customHeight="1" x14ac:dyDescent="0.3">
      <c r="B11" s="385"/>
      <c r="C11" s="385"/>
      <c r="D11" s="9"/>
      <c r="E11" s="40"/>
      <c r="F11" s="40"/>
      <c r="G11" s="48"/>
      <c r="H11" s="104"/>
      <c r="I11" s="104"/>
      <c r="J11" s="104"/>
      <c r="K11" s="104"/>
      <c r="L11" s="106"/>
      <c r="M11" s="106"/>
      <c r="N11" s="107"/>
      <c r="O11" s="107"/>
      <c r="P11" s="107"/>
      <c r="Q11" s="107"/>
      <c r="R11" s="107"/>
      <c r="S11" s="107"/>
      <c r="U11" s="262"/>
    </row>
    <row r="12" spans="1:21" ht="13" customHeight="1" x14ac:dyDescent="0.3">
      <c r="B12" s="33"/>
      <c r="C12" s="33"/>
      <c r="D12" s="9"/>
      <c r="E12" s="40"/>
      <c r="F12" s="40"/>
      <c r="G12" s="48"/>
      <c r="H12" s="104"/>
      <c r="I12" s="104"/>
      <c r="J12" s="104"/>
      <c r="K12" s="104"/>
      <c r="L12" s="106"/>
      <c r="M12" s="106"/>
      <c r="N12" s="107"/>
      <c r="O12" s="107"/>
      <c r="P12" s="107"/>
      <c r="Q12" s="107"/>
      <c r="R12" s="107"/>
      <c r="S12" s="107"/>
      <c r="U12" s="262"/>
    </row>
    <row r="13" spans="1:21" ht="13" customHeight="1" x14ac:dyDescent="0.3">
      <c r="B13" s="8" t="str">
        <f>VLOOKUP(36,Textbausteine_Menu[],Hilfsgrössen!$D$2,FALSE)</f>
        <v>Groupe</v>
      </c>
      <c r="C13" s="30"/>
      <c r="D13" s="9"/>
      <c r="E13" s="12"/>
      <c r="F13" s="11"/>
      <c r="G13" s="49"/>
      <c r="H13" s="105"/>
      <c r="I13" s="105"/>
      <c r="J13" s="105"/>
      <c r="K13" s="105"/>
      <c r="L13" s="107"/>
      <c r="M13" s="107"/>
      <c r="N13" s="107"/>
      <c r="O13" s="107"/>
      <c r="P13" s="107"/>
      <c r="Q13" s="107"/>
      <c r="R13" s="107"/>
      <c r="S13" s="107"/>
      <c r="U13" s="262"/>
    </row>
    <row r="14" spans="1:21" ht="13" customHeight="1" x14ac:dyDescent="0.3">
      <c r="C14" s="75" t="str">
        <f>VLOOKUP(31,Textbausteine_202[],Hilfsgrössen!$D$2,FALSE)</f>
        <v>Indemnités versées au président du Conseil d'administration</v>
      </c>
      <c r="D14" s="67" t="str">
        <f>VLOOKUP(11,Textbausteine_202[],Hilfsgrössen!$D$2,FALSE)</f>
        <v>CHF</v>
      </c>
      <c r="E14" s="11">
        <v>1</v>
      </c>
      <c r="F14" s="11"/>
      <c r="G14" s="49"/>
      <c r="H14" s="173">
        <v>231750</v>
      </c>
      <c r="I14" s="173">
        <v>251500</v>
      </c>
      <c r="J14" s="173">
        <v>250000</v>
      </c>
      <c r="K14" s="173">
        <v>245000</v>
      </c>
      <c r="L14" s="20">
        <v>248560</v>
      </c>
      <c r="M14" s="20">
        <v>292785</v>
      </c>
      <c r="N14" s="20">
        <v>254859</v>
      </c>
      <c r="O14" s="20">
        <v>252650</v>
      </c>
      <c r="P14" s="107">
        <v>251700</v>
      </c>
      <c r="Q14" s="107">
        <v>252000</v>
      </c>
      <c r="R14" s="162">
        <v>252000</v>
      </c>
      <c r="S14" s="162">
        <v>252135</v>
      </c>
      <c r="T14" s="20">
        <v>253025</v>
      </c>
      <c r="U14" s="262">
        <v>253470</v>
      </c>
    </row>
    <row r="15" spans="1:21" ht="13" customHeight="1" x14ac:dyDescent="0.3">
      <c r="C15" s="76" t="str">
        <f>VLOOKUP(32,Textbausteine_202[],Hilfsgrössen!$D$2,FALSE)</f>
        <v>Indemnités moyennes versées aux membres du Conseil d'administration</v>
      </c>
      <c r="D15" s="67" t="str">
        <f>VLOOKUP(11,Textbausteine_202[],Hilfsgrössen!$D$2,FALSE)</f>
        <v>CHF</v>
      </c>
      <c r="E15" s="11" t="s">
        <v>79</v>
      </c>
      <c r="F15" s="11"/>
      <c r="G15" s="49"/>
      <c r="H15" s="173">
        <v>84506</v>
      </c>
      <c r="I15" s="173">
        <v>83106</v>
      </c>
      <c r="J15" s="173">
        <v>80880</v>
      </c>
      <c r="K15" s="173">
        <v>83698</v>
      </c>
      <c r="L15" s="20">
        <v>84525</v>
      </c>
      <c r="M15" s="20">
        <v>100739</v>
      </c>
      <c r="N15" s="20">
        <v>97782</v>
      </c>
      <c r="O15" s="20">
        <v>108456</v>
      </c>
      <c r="P15" s="107">
        <v>99800</v>
      </c>
      <c r="Q15" s="107">
        <v>99226</v>
      </c>
      <c r="R15" s="162">
        <v>91858</v>
      </c>
      <c r="S15" s="162">
        <v>89037</v>
      </c>
      <c r="T15" s="20">
        <v>97325</v>
      </c>
      <c r="U15" s="262">
        <v>97725</v>
      </c>
    </row>
    <row r="16" spans="1:21" ht="13" customHeight="1" x14ac:dyDescent="0.3">
      <c r="C16" s="75" t="str">
        <f>VLOOKUP(33,Textbausteine_202[],Hilfsgrössen!$D$2,FALSE)</f>
        <v>Indemnités versées au directeur/à la directrice général(e)</v>
      </c>
      <c r="D16" s="67" t="str">
        <f>VLOOKUP(11,Textbausteine_202[],Hilfsgrössen!$D$2,FALSE)</f>
        <v>CHF</v>
      </c>
      <c r="E16" s="11" t="s">
        <v>802</v>
      </c>
      <c r="F16" s="11"/>
      <c r="G16" s="49"/>
      <c r="H16" s="182">
        <v>700000</v>
      </c>
      <c r="I16" s="182">
        <v>689000</v>
      </c>
      <c r="J16" s="20">
        <v>787830</v>
      </c>
      <c r="K16" s="20">
        <v>817138</v>
      </c>
      <c r="L16" s="20">
        <v>829387</v>
      </c>
      <c r="M16" s="20">
        <v>789101</v>
      </c>
      <c r="N16" s="20">
        <v>903384</v>
      </c>
      <c r="O16" s="20">
        <v>924501</v>
      </c>
      <c r="P16" s="107">
        <v>1059476</v>
      </c>
      <c r="Q16" s="107">
        <v>766732</v>
      </c>
      <c r="R16" s="162">
        <v>824585</v>
      </c>
      <c r="S16" s="162">
        <v>984521</v>
      </c>
      <c r="T16" s="119">
        <v>974178</v>
      </c>
      <c r="U16" s="263">
        <v>970425</v>
      </c>
    </row>
    <row r="17" spans="2:21" ht="13" customHeight="1" x14ac:dyDescent="0.3">
      <c r="C17" s="75" t="str">
        <f>VLOOKUP(34,Textbausteine_202[],Hilfsgrössen!$D$2,FALSE)</f>
        <v>Indemnités moyennes versées aux membres de la Direction du groupe</v>
      </c>
      <c r="D17" s="67" t="str">
        <f>VLOOKUP(11,Textbausteine_202[],Hilfsgrössen!$D$2,FALSE)</f>
        <v>CHF</v>
      </c>
      <c r="E17" s="11" t="s">
        <v>1524</v>
      </c>
      <c r="F17" s="11"/>
      <c r="G17" s="49"/>
      <c r="H17" s="173">
        <v>374160</v>
      </c>
      <c r="I17" s="173">
        <v>426498</v>
      </c>
      <c r="J17" s="173">
        <v>444187</v>
      </c>
      <c r="K17" s="173">
        <v>487611</v>
      </c>
      <c r="L17" s="190">
        <v>492781</v>
      </c>
      <c r="M17" s="20">
        <v>491200</v>
      </c>
      <c r="N17" s="20">
        <v>495590</v>
      </c>
      <c r="O17" s="20">
        <v>504986</v>
      </c>
      <c r="P17" s="107">
        <v>515441</v>
      </c>
      <c r="Q17" s="107">
        <v>499281</v>
      </c>
      <c r="R17" s="162">
        <v>477719</v>
      </c>
      <c r="S17" s="162">
        <v>591574</v>
      </c>
      <c r="T17" s="119">
        <v>588377</v>
      </c>
      <c r="U17" s="263">
        <v>559044</v>
      </c>
    </row>
    <row r="18" spans="2:21" ht="13" customHeight="1" x14ac:dyDescent="0.3">
      <c r="C18" s="76" t="str">
        <f>VLOOKUP(35,Textbausteine_202[],Hilfsgrössen!$D$2,FALSE)</f>
        <v>Salaire moyen du personnel</v>
      </c>
      <c r="D18" s="67" t="str">
        <f>VLOOKUP(11,Textbausteine_202[],Hilfsgrössen!$D$2,FALSE)</f>
        <v>CHF</v>
      </c>
      <c r="E18" s="11" t="s">
        <v>2336</v>
      </c>
      <c r="F18" s="11"/>
      <c r="G18" s="49"/>
      <c r="H18" s="173">
        <v>73222</v>
      </c>
      <c r="I18" s="173">
        <v>73593</v>
      </c>
      <c r="J18" s="173">
        <v>75127</v>
      </c>
      <c r="K18" s="173">
        <v>77160</v>
      </c>
      <c r="L18" s="20">
        <v>78141</v>
      </c>
      <c r="M18" s="20">
        <v>80361</v>
      </c>
      <c r="N18" s="20">
        <v>81082</v>
      </c>
      <c r="O18" s="20">
        <v>81293.248463022479</v>
      </c>
      <c r="P18" s="138">
        <v>82554</v>
      </c>
      <c r="Q18" s="107">
        <v>82695</v>
      </c>
      <c r="R18" s="162">
        <v>83039</v>
      </c>
      <c r="S18" s="162">
        <v>83472</v>
      </c>
      <c r="T18" s="20">
        <v>82231</v>
      </c>
      <c r="U18" s="262">
        <v>83178</v>
      </c>
    </row>
    <row r="19" spans="2:21" ht="13" customHeight="1" x14ac:dyDescent="0.3">
      <c r="C19" s="75" t="str">
        <f>VLOOKUP(36,Textbausteine_202[],Hilfsgrössen!$D$2,FALSE)</f>
        <v>Salaire minimal CCT Poste (18 ans, sans apprentissage)</v>
      </c>
      <c r="D19" s="67" t="str">
        <f>VLOOKUP(11,Textbausteine_202[],Hilfsgrössen!$D$2,FALSE)</f>
        <v>CHF</v>
      </c>
      <c r="E19" s="11">
        <v>7</v>
      </c>
      <c r="F19" s="11" t="s">
        <v>83</v>
      </c>
      <c r="G19" s="49"/>
      <c r="H19" s="173">
        <v>40000</v>
      </c>
      <c r="I19" s="173">
        <v>40400</v>
      </c>
      <c r="J19" s="173">
        <v>41006</v>
      </c>
      <c r="K19" s="173">
        <v>41826</v>
      </c>
      <c r="L19" s="20">
        <v>42746</v>
      </c>
      <c r="M19" s="20">
        <v>44071</v>
      </c>
      <c r="N19" s="20">
        <v>44379</v>
      </c>
      <c r="O19" s="20">
        <v>44823</v>
      </c>
      <c r="P19" s="107">
        <v>45047</v>
      </c>
      <c r="Q19" s="107">
        <v>45047</v>
      </c>
      <c r="R19" s="162">
        <v>47620</v>
      </c>
      <c r="S19" s="162">
        <v>47620</v>
      </c>
      <c r="T19" s="107">
        <v>47620</v>
      </c>
      <c r="U19" s="264">
        <v>47620</v>
      </c>
    </row>
    <row r="20" spans="2:21" ht="13" customHeight="1" x14ac:dyDescent="0.3">
      <c r="C20" s="75" t="str">
        <f>VLOOKUP(37,Textbausteine_202[],Hilfsgrössen!$D$2,FALSE)</f>
        <v>Ecart salarial</v>
      </c>
      <c r="D20" s="67" t="str">
        <f>VLOOKUP(12,Textbausteine_202[],Hilfsgrössen!$D$2,FALSE)</f>
        <v>Facteur</v>
      </c>
      <c r="E20" s="11">
        <v>8</v>
      </c>
      <c r="F20" s="11"/>
      <c r="G20" s="49"/>
      <c r="H20" s="173">
        <v>5.0999999999999996</v>
      </c>
      <c r="I20" s="173">
        <v>5.8</v>
      </c>
      <c r="J20" s="173">
        <v>5.9</v>
      </c>
      <c r="K20" s="173">
        <v>6.3</v>
      </c>
      <c r="L20" s="20">
        <v>6.3</v>
      </c>
      <c r="M20" s="20">
        <v>6.1</v>
      </c>
      <c r="N20" s="20">
        <v>6.1</v>
      </c>
      <c r="O20" s="20">
        <v>6.2</v>
      </c>
      <c r="P20" s="107">
        <v>6.2</v>
      </c>
      <c r="Q20" s="107">
        <v>6</v>
      </c>
      <c r="R20" s="107">
        <v>5.8</v>
      </c>
      <c r="S20" s="162">
        <v>7.1</v>
      </c>
      <c r="T20" s="107">
        <v>7.2</v>
      </c>
      <c r="U20" s="264">
        <v>6.7</v>
      </c>
    </row>
    <row r="21" spans="2:21" ht="13" customHeight="1" x14ac:dyDescent="0.3">
      <c r="E21" s="11"/>
      <c r="F21" s="11"/>
      <c r="G21" s="49"/>
      <c r="T21" s="107"/>
      <c r="U21" s="107"/>
    </row>
    <row r="22" spans="2:21" ht="13" customHeight="1" x14ac:dyDescent="0.3">
      <c r="B22" s="21" t="str">
        <f>VLOOKUP(131,Textbausteine_202[],Hilfsgrössen!$D$2,FALSE)</f>
        <v>1) Indemnités du Conseil d'administration = honoraires plus prestations accessoires; indemnités de la Direction du groupe = salaire de base plus part variable.</v>
      </c>
      <c r="E22" s="11"/>
      <c r="F22" s="11"/>
      <c r="G22" s="49"/>
      <c r="T22" s="107"/>
      <c r="U22" s="107"/>
    </row>
    <row r="23" spans="2:21" ht="13" customHeight="1" x14ac:dyDescent="0.3">
      <c r="B23" s="21" t="str">
        <f>VLOOKUP(132,Textbausteine_202[],Hilfsgrössen!$D$2,FALSE)</f>
        <v>2) sans le président/la présidente</v>
      </c>
      <c r="E23" s="11"/>
      <c r="F23" s="11"/>
      <c r="G23" s="49"/>
      <c r="T23" s="107"/>
      <c r="U23" s="107"/>
    </row>
    <row r="24" spans="2:21" ht="13" customHeight="1" x14ac:dyDescent="0.3">
      <c r="B24" s="21" t="str">
        <f>VLOOKUP(133,Textbausteine_202[],Hilfsgrössen!$D$2,FALSE)</f>
        <v>3) 2012: Jürg Bucher 8 mois, Susanne Ruoff 7 mois, annualisation CHF 847'581.</v>
      </c>
      <c r="E24" s="11"/>
      <c r="F24" s="11"/>
      <c r="G24" s="49"/>
      <c r="T24" s="107"/>
      <c r="U24" s="107"/>
    </row>
    <row r="25" spans="2:21" ht="13" customHeight="1" x14ac:dyDescent="0.3">
      <c r="B25" s="21" t="str">
        <f>VLOOKUP(134,Textbausteine_202[],Hilfsgrössen!$D$2,FALSE)</f>
        <v>4) sans le directeur général/la directrice générale</v>
      </c>
      <c r="E25" s="11"/>
      <c r="F25" s="11"/>
      <c r="G25" s="49"/>
      <c r="T25" s="107"/>
      <c r="U25" s="107"/>
    </row>
    <row r="26" spans="2:21" ht="13" customHeight="1" x14ac:dyDescent="0.3">
      <c r="B26" s="21" t="str">
        <f>VLOOKUP(135,Textbausteine_202[],Hilfsgrössen!$D$2,FALSE)</f>
        <v>5)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v>
      </c>
      <c r="E26" s="11"/>
      <c r="F26" s="11"/>
      <c r="G26" s="49"/>
      <c r="T26" s="107"/>
      <c r="U26" s="107"/>
    </row>
    <row r="27" spans="2:21" ht="13" customHeight="1" x14ac:dyDescent="0.3">
      <c r="B27" s="21" t="str">
        <f>VLOOKUP(136,Textbausteine_202[],Hilfsgrössen!$D$2,FALSE)</f>
        <v>6) Salaire moyen sans Direction du groupe et Conseil d'administration</v>
      </c>
      <c r="E27" s="11"/>
      <c r="F27" s="11"/>
      <c r="G27" s="49"/>
      <c r="T27" s="107"/>
      <c r="U27" s="107"/>
    </row>
    <row r="28" spans="2:21" ht="13" customHeight="1" x14ac:dyDescent="0.3">
      <c r="B28" s="21" t="str">
        <f>VLOOKUP(137,Textbausteine_202[],Hilfsgrössen!$D$2,FALSE)</f>
        <v>7) Salaire minimal selon la CCT Poste pour un collaborateur de 18 ans n'ayant pas suivi d'apprentissage.</v>
      </c>
      <c r="E28" s="11"/>
      <c r="F28" s="11"/>
      <c r="G28" s="49"/>
      <c r="T28" s="107"/>
      <c r="U28" s="107"/>
    </row>
    <row r="29" spans="2:21" ht="13" customHeight="1" x14ac:dyDescent="0.3">
      <c r="B29" s="21" t="str">
        <f>VLOOKUP(138,Textbausteine_202[],Hilfsgrössen!$D$2,FALSE)</f>
        <v>8) Indemnités moyennes des membres de la Direction du groupe par rapport au salaire moyen du personnel.</v>
      </c>
      <c r="E29" s="11"/>
      <c r="F29" s="11"/>
      <c r="G29" s="49"/>
      <c r="T29" s="107"/>
      <c r="U29" s="107"/>
    </row>
    <row r="30" spans="2:21" ht="13" customHeight="1" x14ac:dyDescent="0.3">
      <c r="E30" s="11"/>
      <c r="F30" s="13"/>
      <c r="G30" s="50"/>
      <c r="T30" s="107"/>
      <c r="U30" s="107"/>
    </row>
    <row r="31" spans="2:21" ht="13" customHeight="1" x14ac:dyDescent="0.3">
      <c r="E31" s="11"/>
      <c r="F31" s="11"/>
      <c r="G31" s="49"/>
      <c r="T31" s="107"/>
      <c r="U31" s="107"/>
    </row>
    <row r="32" spans="2:21" ht="13" customHeight="1" x14ac:dyDescent="0.3">
      <c r="E32" s="11"/>
      <c r="F32" s="11"/>
      <c r="G32" s="49"/>
      <c r="T32" s="107"/>
      <c r="U32" s="107"/>
    </row>
    <row r="33" spans="5:21" ht="13" customHeight="1" x14ac:dyDescent="0.3">
      <c r="E33" s="11"/>
      <c r="F33" s="11"/>
      <c r="G33" s="49"/>
      <c r="T33" s="107"/>
      <c r="U33" s="107"/>
    </row>
    <row r="34" spans="5:21" ht="13" customHeight="1" x14ac:dyDescent="0.3">
      <c r="E34" s="11"/>
      <c r="F34" s="13"/>
      <c r="G34" s="50"/>
      <c r="T34" s="107"/>
      <c r="U34" s="107"/>
    </row>
    <row r="35" spans="5:21" ht="13" customHeight="1" x14ac:dyDescent="0.3">
      <c r="E35" s="13"/>
      <c r="F35" s="13"/>
      <c r="G35" s="50"/>
      <c r="T35" s="107"/>
      <c r="U35" s="107"/>
    </row>
    <row r="36" spans="5:21" ht="13" customHeight="1" x14ac:dyDescent="0.3">
      <c r="E36" s="13"/>
      <c r="F36" s="11"/>
      <c r="G36" s="49"/>
      <c r="T36" s="107"/>
      <c r="U36" s="107"/>
    </row>
    <row r="37" spans="5:21" ht="13" customHeight="1" x14ac:dyDescent="0.3">
      <c r="E37" s="13"/>
      <c r="F37" s="11"/>
      <c r="G37" s="49"/>
      <c r="T37" s="107"/>
      <c r="U37" s="107"/>
    </row>
    <row r="38" spans="5:21" ht="13" customHeight="1" x14ac:dyDescent="0.3">
      <c r="E38" s="11"/>
      <c r="F38" s="13"/>
      <c r="G38" s="50"/>
      <c r="T38" s="107"/>
      <c r="U38" s="107"/>
    </row>
    <row r="39" spans="5:21" ht="13" customHeight="1" x14ac:dyDescent="0.3">
      <c r="E39" s="13"/>
      <c r="F39" s="13"/>
      <c r="G39" s="50"/>
      <c r="T39" s="107"/>
      <c r="U39" s="107"/>
    </row>
    <row r="40" spans="5:21" ht="13" customHeight="1" x14ac:dyDescent="0.3">
      <c r="E40" s="13"/>
      <c r="F40" s="11"/>
      <c r="G40" s="49"/>
      <c r="T40" s="107"/>
      <c r="U40" s="107"/>
    </row>
    <row r="41" spans="5:21" ht="13" customHeight="1" x14ac:dyDescent="0.3">
      <c r="E41" s="13"/>
      <c r="F41" s="11"/>
      <c r="G41" s="49"/>
      <c r="T41" s="107"/>
      <c r="U41" s="107"/>
    </row>
    <row r="42" spans="5:21" ht="13" customHeight="1" x14ac:dyDescent="0.3">
      <c r="E42" s="13"/>
      <c r="F42" s="11"/>
      <c r="G42" s="49"/>
      <c r="T42" s="107"/>
      <c r="U42" s="107"/>
    </row>
    <row r="43" spans="5:21" ht="13" customHeight="1" x14ac:dyDescent="0.3">
      <c r="E43" s="13"/>
      <c r="F43" s="11"/>
      <c r="G43" s="49"/>
      <c r="T43" s="107"/>
      <c r="U43" s="107"/>
    </row>
    <row r="44" spans="5:21" ht="13" customHeight="1" x14ac:dyDescent="0.3">
      <c r="E44" s="11"/>
      <c r="F44" s="11"/>
      <c r="G44" s="49"/>
      <c r="T44" s="107"/>
      <c r="U44" s="107"/>
    </row>
    <row r="45" spans="5:21" ht="13" customHeight="1" x14ac:dyDescent="0.3">
      <c r="E45" s="11"/>
      <c r="F45" s="13"/>
      <c r="G45" s="50"/>
      <c r="T45" s="107"/>
      <c r="U45" s="107"/>
    </row>
    <row r="46" spans="5:21" ht="13" customHeight="1" x14ac:dyDescent="0.3">
      <c r="E46" s="11"/>
      <c r="F46" s="11"/>
      <c r="G46" s="49"/>
      <c r="T46" s="107"/>
      <c r="U46" s="107"/>
    </row>
    <row r="47" spans="5:21" ht="13" customHeight="1" x14ac:dyDescent="0.3">
      <c r="E47" s="11"/>
      <c r="F47" s="11"/>
      <c r="G47" s="49"/>
      <c r="T47" s="107"/>
      <c r="U47" s="107"/>
    </row>
    <row r="48" spans="5:21" ht="13" customHeight="1" x14ac:dyDescent="0.3">
      <c r="E48" s="11"/>
      <c r="F48" s="13"/>
      <c r="G48" s="50"/>
      <c r="T48" s="107"/>
      <c r="U48" s="107"/>
    </row>
    <row r="49" spans="5:21" ht="13" customHeight="1" x14ac:dyDescent="0.3">
      <c r="E49" s="11"/>
      <c r="F49" s="11"/>
      <c r="G49" s="49"/>
      <c r="T49" s="107"/>
      <c r="U49" s="107"/>
    </row>
    <row r="50" spans="5:21" ht="13" customHeight="1" x14ac:dyDescent="0.3">
      <c r="E50" s="11"/>
      <c r="F50" s="11"/>
      <c r="G50" s="49"/>
      <c r="T50" s="107"/>
      <c r="U50" s="107"/>
    </row>
    <row r="51" spans="5:21" ht="13" customHeight="1" x14ac:dyDescent="0.3">
      <c r="E51" s="11"/>
      <c r="F51" s="11"/>
      <c r="G51" s="49"/>
      <c r="T51" s="107"/>
      <c r="U51" s="107"/>
    </row>
    <row r="52" spans="5:21" ht="13" customHeight="1" x14ac:dyDescent="0.3">
      <c r="E52" s="11"/>
      <c r="F52" s="11"/>
      <c r="G52" s="49"/>
      <c r="T52" s="107"/>
      <c r="U52" s="107"/>
    </row>
    <row r="53" spans="5:21" ht="13" customHeight="1" x14ac:dyDescent="0.3">
      <c r="E53" s="11"/>
      <c r="F53" s="11"/>
      <c r="G53" s="49"/>
      <c r="T53" s="107"/>
      <c r="U53" s="107"/>
    </row>
    <row r="54" spans="5:21" ht="13" customHeight="1" x14ac:dyDescent="0.3">
      <c r="E54" s="11"/>
      <c r="F54" s="11"/>
      <c r="G54" s="49"/>
      <c r="T54" s="107"/>
      <c r="U54" s="107"/>
    </row>
    <row r="55" spans="5:21" ht="13" customHeight="1" x14ac:dyDescent="0.3">
      <c r="E55" s="11"/>
      <c r="F55" s="11"/>
      <c r="G55" s="49"/>
      <c r="T55" s="107"/>
      <c r="U55" s="107"/>
    </row>
    <row r="56" spans="5:21" ht="13" customHeight="1" x14ac:dyDescent="0.3">
      <c r="E56" s="11"/>
      <c r="F56" s="11"/>
      <c r="G56" s="49"/>
      <c r="T56" s="107"/>
      <c r="U56" s="107"/>
    </row>
    <row r="57" spans="5:21" ht="13" customHeight="1" x14ac:dyDescent="0.3">
      <c r="E57" s="11"/>
      <c r="F57" s="11"/>
      <c r="G57" s="49"/>
      <c r="T57" s="107"/>
      <c r="U57" s="107"/>
    </row>
    <row r="58" spans="5:21" ht="13" customHeight="1" x14ac:dyDescent="0.3">
      <c r="E58" s="13"/>
      <c r="F58" s="11"/>
      <c r="G58" s="49"/>
      <c r="T58" s="107"/>
      <c r="U58" s="107"/>
    </row>
    <row r="59" spans="5:21" ht="13" customHeight="1" x14ac:dyDescent="0.3">
      <c r="E59" s="13"/>
      <c r="F59" s="11"/>
      <c r="G59" s="49"/>
      <c r="T59" s="107"/>
      <c r="U59" s="107"/>
    </row>
    <row r="60" spans="5:21" ht="13" customHeight="1" x14ac:dyDescent="0.3">
      <c r="E60" s="13"/>
      <c r="F60" s="11"/>
      <c r="G60" s="49"/>
      <c r="T60" s="107"/>
      <c r="U60" s="107"/>
    </row>
    <row r="61" spans="5:21" ht="13" customHeight="1" x14ac:dyDescent="0.3">
      <c r="E61" s="11"/>
      <c r="F61" s="11"/>
      <c r="G61" s="49"/>
      <c r="T61" s="107"/>
      <c r="U61" s="107"/>
    </row>
    <row r="62" spans="5:21" ht="13" customHeight="1" x14ac:dyDescent="0.3">
      <c r="E62" s="11"/>
      <c r="F62" s="11"/>
      <c r="G62" s="49"/>
      <c r="T62" s="107"/>
      <c r="U62" s="107"/>
    </row>
    <row r="63" spans="5:21" ht="13" customHeight="1" x14ac:dyDescent="0.3">
      <c r="E63" s="41"/>
      <c r="F63" s="41"/>
      <c r="G63" s="51"/>
      <c r="T63" s="107"/>
      <c r="U63" s="107"/>
    </row>
    <row r="64" spans="5:21" ht="13" customHeight="1" x14ac:dyDescent="0.3">
      <c r="E64" s="41"/>
      <c r="F64" s="41"/>
      <c r="G64" s="51"/>
      <c r="T64" s="107"/>
      <c r="U64" s="107"/>
    </row>
    <row r="65" spans="5:21" ht="13" customHeight="1" x14ac:dyDescent="0.3">
      <c r="E65" s="41"/>
      <c r="F65" s="41"/>
      <c r="G65" s="51"/>
      <c r="T65" s="107"/>
      <c r="U65" s="107"/>
    </row>
    <row r="66" spans="5:21" ht="13" customHeight="1" x14ac:dyDescent="0.3">
      <c r="E66" s="42"/>
      <c r="F66" s="42"/>
      <c r="G66" s="52"/>
    </row>
    <row r="67" spans="5:21" ht="13" customHeight="1" x14ac:dyDescent="0.3">
      <c r="E67" s="42"/>
      <c r="F67" s="42"/>
      <c r="G67" s="52"/>
    </row>
    <row r="68" spans="5:21" ht="13" customHeight="1" x14ac:dyDescent="0.3">
      <c r="E68" s="43"/>
      <c r="F68" s="43"/>
      <c r="G68" s="53"/>
    </row>
    <row r="72" spans="5:21" ht="13" customHeight="1" x14ac:dyDescent="0.3">
      <c r="E72" s="40"/>
      <c r="F72" s="40"/>
      <c r="G72" s="48"/>
    </row>
    <row r="73" spans="5:21" ht="13" customHeight="1" x14ac:dyDescent="0.3">
      <c r="E73" s="40"/>
      <c r="F73" s="40"/>
      <c r="G73" s="48"/>
    </row>
    <row r="74" spans="5:21" ht="13" customHeight="1" x14ac:dyDescent="0.3">
      <c r="E74" s="13"/>
      <c r="F74" s="11"/>
      <c r="G74" s="49"/>
      <c r="T74" s="119"/>
      <c r="U74" s="119"/>
    </row>
    <row r="75" spans="5:21" ht="13" customHeight="1" x14ac:dyDescent="0.3">
      <c r="E75" s="39"/>
      <c r="F75" s="39"/>
      <c r="G75" s="46"/>
      <c r="T75" s="119"/>
      <c r="U75" s="119"/>
    </row>
    <row r="76" spans="5:21" ht="13" customHeight="1" x14ac:dyDescent="0.3">
      <c r="E76" s="13"/>
      <c r="F76" s="11"/>
      <c r="G76" s="49"/>
    </row>
    <row r="77" spans="5:21" ht="13" customHeight="1" x14ac:dyDescent="0.3">
      <c r="E77" s="13"/>
      <c r="F77" s="11"/>
      <c r="G77" s="49"/>
      <c r="T77" s="107"/>
      <c r="U77" s="107"/>
    </row>
    <row r="78" spans="5:21" ht="13" customHeight="1" x14ac:dyDescent="0.3">
      <c r="E78" s="13"/>
      <c r="F78" s="11"/>
      <c r="G78" s="49"/>
      <c r="T78" s="107"/>
      <c r="U78" s="107"/>
    </row>
    <row r="79" spans="5:21" ht="13" customHeight="1" x14ac:dyDescent="0.3">
      <c r="E79" s="13"/>
      <c r="F79" s="11"/>
      <c r="G79" s="49"/>
      <c r="T79" s="107"/>
      <c r="U79" s="107"/>
    </row>
    <row r="80" spans="5:21" ht="13" customHeight="1" x14ac:dyDescent="0.3">
      <c r="E80" s="44"/>
      <c r="F80" s="44"/>
      <c r="G80" s="54"/>
      <c r="T80" s="107"/>
      <c r="U80" s="107"/>
    </row>
    <row r="81" spans="5:21" ht="13" customHeight="1" x14ac:dyDescent="0.3">
      <c r="E81" s="44"/>
      <c r="F81" s="44"/>
      <c r="G81" s="54"/>
      <c r="T81" s="107"/>
      <c r="U81" s="107"/>
    </row>
    <row r="82" spans="5:21" ht="13" customHeight="1" x14ac:dyDescent="0.3">
      <c r="E82" s="44"/>
      <c r="F82" s="44"/>
      <c r="G82" s="54"/>
      <c r="T82" s="107"/>
      <c r="U82" s="107"/>
    </row>
    <row r="83" spans="5:21" ht="13" customHeight="1" x14ac:dyDescent="0.3">
      <c r="T83" s="107"/>
      <c r="U83" s="107"/>
    </row>
    <row r="84" spans="5:21" ht="13" customHeight="1" x14ac:dyDescent="0.3">
      <c r="T84" s="107"/>
      <c r="U84" s="107"/>
    </row>
    <row r="85" spans="5:21" ht="13" customHeight="1" x14ac:dyDescent="0.3">
      <c r="T85" s="119"/>
      <c r="U85" s="119"/>
    </row>
    <row r="86" spans="5:21" ht="13" customHeight="1" x14ac:dyDescent="0.3">
      <c r="T86" s="119"/>
      <c r="U86" s="119"/>
    </row>
    <row r="90" spans="5:21" ht="13" customHeight="1" x14ac:dyDescent="0.3">
      <c r="T90" s="107"/>
      <c r="U90" s="107"/>
    </row>
    <row r="91" spans="5:21" ht="13" customHeight="1" x14ac:dyDescent="0.3">
      <c r="T91" s="107"/>
      <c r="U91" s="107"/>
    </row>
    <row r="92" spans="5:21" ht="13" customHeight="1" x14ac:dyDescent="0.3">
      <c r="T92" s="107"/>
      <c r="U92" s="107"/>
    </row>
    <row r="93" spans="5:21" ht="13" customHeight="1" x14ac:dyDescent="0.3">
      <c r="T93" s="107"/>
      <c r="U93" s="107"/>
    </row>
    <row r="94" spans="5:21" ht="13" customHeight="1" x14ac:dyDescent="0.3">
      <c r="T94" s="107"/>
      <c r="U94" s="107"/>
    </row>
    <row r="95" spans="5:21" ht="13" customHeight="1" x14ac:dyDescent="0.3">
      <c r="T95" s="107"/>
      <c r="U95" s="107"/>
    </row>
    <row r="96" spans="5:21" ht="13" customHeight="1" x14ac:dyDescent="0.3">
      <c r="T96" s="107"/>
      <c r="U96" s="107"/>
    </row>
    <row r="97" spans="20:21" ht="13" customHeight="1" x14ac:dyDescent="0.3">
      <c r="T97" s="107"/>
      <c r="U97" s="107"/>
    </row>
    <row r="98" spans="20:21" ht="13" customHeight="1" x14ac:dyDescent="0.3">
      <c r="T98" s="107"/>
      <c r="U98" s="107"/>
    </row>
    <row r="99" spans="20:21" ht="13" customHeight="1" x14ac:dyDescent="0.3">
      <c r="T99" s="107"/>
      <c r="U99" s="107"/>
    </row>
    <row r="100" spans="20:21" ht="13" customHeight="1" x14ac:dyDescent="0.3">
      <c r="T100" s="107"/>
      <c r="U100" s="107"/>
    </row>
    <row r="101" spans="20:21" ht="13" customHeight="1" x14ac:dyDescent="0.3">
      <c r="T101" s="107"/>
      <c r="U101" s="107"/>
    </row>
    <row r="102" spans="20:21" ht="13" customHeight="1" x14ac:dyDescent="0.3">
      <c r="T102" s="107"/>
      <c r="U102" s="107"/>
    </row>
    <row r="103" spans="20:21" ht="13" customHeight="1" x14ac:dyDescent="0.3">
      <c r="T103" s="107"/>
      <c r="U103" s="107"/>
    </row>
    <row r="104" spans="20:21" ht="13" customHeight="1" x14ac:dyDescent="0.3">
      <c r="T104" s="107"/>
      <c r="U104" s="107"/>
    </row>
    <row r="105" spans="20:21" ht="13" customHeight="1" x14ac:dyDescent="0.3">
      <c r="T105" s="107"/>
      <c r="U105" s="107"/>
    </row>
    <row r="106" spans="20:21" ht="13" customHeight="1" x14ac:dyDescent="0.3">
      <c r="T106" s="107"/>
      <c r="U106" s="107"/>
    </row>
    <row r="107" spans="20:21" ht="13" customHeight="1" x14ac:dyDescent="0.3">
      <c r="T107" s="107"/>
      <c r="U107" s="107"/>
    </row>
    <row r="114" spans="20:21" ht="13" customHeight="1" x14ac:dyDescent="0.3">
      <c r="T114" s="119"/>
      <c r="U114" s="119"/>
    </row>
    <row r="115" spans="20:21" ht="13" customHeight="1" x14ac:dyDescent="0.3">
      <c r="T115" s="119"/>
      <c r="U115" s="119"/>
    </row>
    <row r="119" spans="20:21" ht="13" customHeight="1" x14ac:dyDescent="0.3">
      <c r="T119" s="140"/>
      <c r="U119" s="140"/>
    </row>
    <row r="120" spans="20:21" ht="13" customHeight="1" x14ac:dyDescent="0.3">
      <c r="T120" s="140"/>
      <c r="U120" s="140"/>
    </row>
    <row r="121" spans="20:21" ht="13" customHeight="1" x14ac:dyDescent="0.3">
      <c r="T121" s="140"/>
      <c r="U121" s="140"/>
    </row>
    <row r="122" spans="20:21" ht="13" customHeight="1" x14ac:dyDescent="0.3">
      <c r="T122" s="140"/>
      <c r="U122" s="140"/>
    </row>
    <row r="123" spans="20:21" ht="13" customHeight="1" x14ac:dyDescent="0.3">
      <c r="T123" s="140"/>
      <c r="U123" s="140"/>
    </row>
    <row r="124" spans="20:21" ht="13" customHeight="1" x14ac:dyDescent="0.3">
      <c r="T124" s="140"/>
      <c r="U124" s="140"/>
    </row>
    <row r="125" spans="20:21" ht="13" customHeight="1" x14ac:dyDescent="0.3">
      <c r="T125" s="140"/>
      <c r="U125" s="140"/>
    </row>
    <row r="126" spans="20:21" ht="13" customHeight="1" x14ac:dyDescent="0.3">
      <c r="T126" s="140"/>
      <c r="U126" s="140"/>
    </row>
  </sheetData>
  <sheetProtection algorithmName="SHA-512" hashValue="6THwqGqAdKQN0quiakt1Hk2sJqPvD1xmJkvBrOFCPUk1ByS5Qcak0koZNyUYmwzokVXWKB3Pl9r++/LcmBBjMw==" saltValue="0A7LgySqCda/Pkc2QzBcGg==" spinCount="100000" sheet="1" objects="1" scenarios="1"/>
  <mergeCells count="4">
    <mergeCell ref="B2:C2"/>
    <mergeCell ref="B3:C3"/>
    <mergeCell ref="B10:C11"/>
    <mergeCell ref="D2:E2"/>
  </mergeCells>
  <conditionalFormatting sqref="H1:CA19 H21:CA1048576 V20:CA20">
    <cfRule type="expression" dxfId="117" priority="4">
      <formula>AND($A1="",ABS(H1)=0)</formula>
    </cfRule>
    <cfRule type="expression" dxfId="116" priority="5">
      <formula>AND($A1="",ABS(H1)&lt;10)</formula>
    </cfRule>
    <cfRule type="expression" dxfId="115" priority="6">
      <formula>AND($A1="",ABS(H1)&lt;100)</formula>
    </cfRule>
    <cfRule type="expression" dxfId="114" priority="7">
      <formula>AND($A1="",ABS(H1)&gt;=100)</formula>
    </cfRule>
  </conditionalFormatting>
  <conditionalFormatting sqref="H6:CA19 H21:CA10000 V20:CA20">
    <cfRule type="expression" dxfId="113" priority="3">
      <formula>AND($D6&lt;&gt;"",H$10&lt;&gt;"",H6="")</formula>
    </cfRule>
  </conditionalFormatting>
  <conditionalFormatting sqref="B1:D1048576">
    <cfRule type="expression" dxfId="112" priority="2">
      <formula>AND(B1&lt;&gt;"",NOT(_xlfn.ISFORMULA(B1)))</formula>
    </cfRule>
  </conditionalFormatting>
  <conditionalFormatting sqref="H20:U20">
    <cfRule type="expression" dxfId="111" priority="1">
      <formula>AND($A1="",ABS(XEY1)&lt;100)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2_1" display="202-1 – Ratios of standard entry level wage by gender compared to local minimum wage "/>
    <hyperlink ref="A10" location="GRI_202" display="Ó"/>
    <hyperlink ref="D2" location="Home" display="Home"/>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523178"/>
  </sheetPr>
  <dimension ref="A2:CA251"/>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19" width="11.7265625" style="100" customWidth="1"/>
    <col min="20" max="21" width="11.7265625" style="20" customWidth="1"/>
    <col min="22" max="79" width="11.7265625" style="37" customWidth="1"/>
    <col min="80" max="16384" width="10.81640625" style="1"/>
  </cols>
  <sheetData>
    <row r="2" spans="1:79" s="153" customFormat="1" ht="26.15" customHeight="1" x14ac:dyDescent="0.3">
      <c r="A2" s="88"/>
      <c r="B2" s="390" t="str">
        <f>UPPER(RIGHT('Table des matières'!$C$14,LEN('Table des matières'!$C$14)-FIND(" – ",'Table des matières'!$C$14,1)-2))</f>
        <v>IMPACTS ÉCONOMIQUES INDIRECTS</v>
      </c>
      <c r="C2" s="390"/>
      <c r="D2" s="386" t="str">
        <f>VLOOKUP(35,Textbausteine_Menu[],Hilfsgrössen!$D$2,FALSE)</f>
        <v>retour à la table des matières</v>
      </c>
      <c r="E2" s="387"/>
      <c r="F2" s="145" t="s">
        <v>88</v>
      </c>
      <c r="G2" s="171"/>
      <c r="H2" s="159"/>
      <c r="I2" s="159"/>
      <c r="J2" s="159"/>
      <c r="K2" s="159"/>
      <c r="L2" s="159"/>
      <c r="M2" s="159"/>
      <c r="N2" s="159"/>
      <c r="O2" s="159"/>
      <c r="P2" s="159"/>
      <c r="Q2" s="159"/>
      <c r="R2" s="159"/>
      <c r="S2" s="159"/>
      <c r="T2" s="116"/>
      <c r="U2" s="116"/>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4" customFormat="1" ht="26.15" customHeight="1" x14ac:dyDescent="0.3">
      <c r="A3" s="89"/>
      <c r="B3" s="391" t="str">
        <f>UPPER("GRI "&amp;LEFT('Table des matières'!$C$14,3))</f>
        <v>GRI 203</v>
      </c>
      <c r="C3" s="391"/>
      <c r="E3" s="38"/>
      <c r="F3" s="38"/>
      <c r="G3" s="45"/>
      <c r="H3" s="94"/>
      <c r="I3" s="94"/>
      <c r="J3" s="94"/>
      <c r="K3" s="94"/>
      <c r="L3" s="94"/>
      <c r="M3" s="94"/>
      <c r="N3" s="94"/>
      <c r="O3" s="94"/>
      <c r="P3" s="94"/>
      <c r="Q3" s="94"/>
      <c r="R3" s="94"/>
      <c r="S3" s="94"/>
      <c r="T3" s="116"/>
      <c r="U3" s="116"/>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31" customFormat="1" ht="13" customHeight="1" x14ac:dyDescent="0.3">
      <c r="A6" s="90"/>
      <c r="B6" s="31" t="str">
        <f>VLOOKUP(31,Textbausteine_Menu[],Hilfsgrössen!$D$2,FALSE)</f>
        <v>Divulgations</v>
      </c>
      <c r="E6" s="39"/>
      <c r="F6" s="39"/>
      <c r="G6" s="46"/>
      <c r="H6" s="96"/>
      <c r="I6" s="96"/>
      <c r="J6" s="96"/>
      <c r="K6" s="96"/>
      <c r="L6" s="96"/>
      <c r="M6" s="96"/>
      <c r="N6" s="96"/>
      <c r="O6" s="96"/>
      <c r="P6" s="96"/>
      <c r="Q6" s="96"/>
      <c r="R6" s="96"/>
      <c r="S6" s="96"/>
      <c r="T6" s="20"/>
      <c r="U6" s="20"/>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2"/>
      <c r="C7" s="3" t="str">
        <f>VLOOKUP(1,Textbausteine_203[],Hilfsgrössen!$D$2,FALSE)</f>
        <v>Actions de bienfaisance et sponsoring</v>
      </c>
      <c r="D7" s="4"/>
    </row>
    <row r="8" spans="1:79" ht="13" customHeight="1" x14ac:dyDescent="0.3">
      <c r="B8" s="2"/>
      <c r="C8" s="3" t="str">
        <f>VLOOKUP(2,Textbausteine_203[],Hilfsgrössen!$D$2,FALSE)</f>
        <v>Points d'accès</v>
      </c>
      <c r="D8" s="4"/>
    </row>
    <row r="9" spans="1:79" ht="13" customHeight="1" x14ac:dyDescent="0.3">
      <c r="B9" s="2"/>
      <c r="C9" s="3" t="str">
        <f>VLOOKUP(3,Textbausteine_203[],Hilfsgrössen!$D$2,FALSE)</f>
        <v>Emplois dans les régions</v>
      </c>
      <c r="D9" s="4"/>
    </row>
    <row r="10" spans="1:79" ht="13" customHeight="1" x14ac:dyDescent="0.3">
      <c r="B10" s="2"/>
      <c r="C10" s="3" t="str">
        <f>VLOOKUP(4,Textbausteine_203[],Hilfsgrössen!$D$2,FALSE)</f>
        <v>Comparaison des prix des services postaux</v>
      </c>
      <c r="D10" s="4"/>
    </row>
    <row r="11" spans="1:79" ht="13" customHeight="1" x14ac:dyDescent="0.3">
      <c r="B11" s="2"/>
      <c r="C11" s="3" t="str">
        <f>VLOOKUP(5,Textbausteine_203[],Hilfsgrössen!$D$2,FALSE)</f>
        <v>Délais d'acheminement des services postaux</v>
      </c>
      <c r="D11" s="4"/>
    </row>
    <row r="12" spans="1:79" ht="13" customHeight="1" x14ac:dyDescent="0.3">
      <c r="B12" s="2"/>
      <c r="C12" s="3" t="str">
        <f>VLOOKUP(6,Textbausteine_203[],Hilfsgrössen!$D$2,FALSE)</f>
        <v>Temps d'attente dans les filiales</v>
      </c>
      <c r="D12" s="4"/>
    </row>
    <row r="13" spans="1:79" ht="13" customHeight="1" x14ac:dyDescent="0.3">
      <c r="B13" s="2"/>
      <c r="C13" s="3" t="str">
        <f>VLOOKUP(7,Textbausteine_203[],Hilfsgrössen!$D$2,FALSE)</f>
        <v>Délais de traitement des services financiers</v>
      </c>
      <c r="D13" s="4"/>
    </row>
    <row r="14" spans="1:79" ht="13" customHeight="1" x14ac:dyDescent="0.3">
      <c r="B14" s="2"/>
    </row>
    <row r="15" spans="1:79" ht="13" customHeight="1" x14ac:dyDescent="0.3">
      <c r="B15" s="2"/>
    </row>
    <row r="16" spans="1:79" s="31" customFormat="1" ht="13" customHeight="1" x14ac:dyDescent="0.3">
      <c r="A16" s="56" t="s">
        <v>900</v>
      </c>
      <c r="B16" s="385" t="str">
        <f>$C$7</f>
        <v>Actions de bienfaisance et sponsoring</v>
      </c>
      <c r="C16" s="385"/>
      <c r="D16" s="6" t="str">
        <f>VLOOKUP(32,Textbausteine_Menu[],Hilfsgrössen!$D$2,FALSE)</f>
        <v>Unité</v>
      </c>
      <c r="E16" s="39" t="str">
        <f>VLOOKUP(33,Textbausteine_Menu[],Hilfsgrössen!$D$2,FALSE)</f>
        <v>Notes</v>
      </c>
      <c r="F16" s="39" t="str">
        <f>VLOOKUP(34,Textbausteine_Menu[],Hilfsgrössen!$D$2,FALSE)</f>
        <v>GRI</v>
      </c>
      <c r="G16" s="47"/>
      <c r="H16" s="117">
        <v>2004</v>
      </c>
      <c r="I16" s="117">
        <v>2005</v>
      </c>
      <c r="J16" s="117">
        <v>2006</v>
      </c>
      <c r="K16" s="117">
        <v>2007</v>
      </c>
      <c r="L16" s="117">
        <v>2008</v>
      </c>
      <c r="M16" s="117">
        <v>2009</v>
      </c>
      <c r="N16" s="117">
        <v>2010</v>
      </c>
      <c r="O16" s="117">
        <v>2011</v>
      </c>
      <c r="P16" s="117">
        <v>2012</v>
      </c>
      <c r="Q16" s="117">
        <v>2013</v>
      </c>
      <c r="R16" s="117">
        <v>2014</v>
      </c>
      <c r="S16" s="117">
        <v>2015</v>
      </c>
      <c r="T16" s="117">
        <v>2016</v>
      </c>
      <c r="U16" s="261">
        <v>2017</v>
      </c>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row>
    <row r="17" spans="1:79" s="31" customFormat="1" ht="13" customHeight="1" x14ac:dyDescent="0.3">
      <c r="A17" s="90"/>
      <c r="B17" s="385"/>
      <c r="C17" s="385"/>
      <c r="D17" s="6"/>
      <c r="E17" s="40"/>
      <c r="F17" s="40"/>
      <c r="G17" s="47"/>
      <c r="H17" s="117"/>
      <c r="I17" s="117"/>
      <c r="J17" s="117"/>
      <c r="K17" s="117"/>
      <c r="L17" s="106"/>
      <c r="M17" s="106"/>
      <c r="N17" s="107"/>
      <c r="O17" s="107"/>
      <c r="P17" s="107"/>
      <c r="Q17" s="107"/>
      <c r="R17" s="107"/>
      <c r="S17" s="107"/>
      <c r="T17" s="20"/>
      <c r="U17" s="262"/>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row>
    <row r="18" spans="1:79" ht="13" customHeight="1" x14ac:dyDescent="0.3">
      <c r="B18" s="8"/>
      <c r="C18" s="9"/>
      <c r="D18" s="9"/>
      <c r="E18" s="40"/>
      <c r="F18" s="40"/>
      <c r="G18" s="48"/>
      <c r="H18" s="117"/>
      <c r="I18" s="117"/>
      <c r="J18" s="117"/>
      <c r="K18" s="117"/>
      <c r="L18" s="106"/>
      <c r="M18" s="106"/>
      <c r="N18" s="107"/>
      <c r="O18" s="107"/>
      <c r="P18" s="107"/>
      <c r="Q18" s="107"/>
      <c r="R18" s="107"/>
      <c r="S18" s="107"/>
      <c r="U18" s="262"/>
    </row>
    <row r="19" spans="1:79" ht="13" customHeight="1" x14ac:dyDescent="0.3">
      <c r="B19" s="8" t="str">
        <f>VLOOKUP(36,Textbausteine_Menu[],Hilfsgrössen!$D$2,FALSE)</f>
        <v>Groupe</v>
      </c>
      <c r="C19" s="8"/>
      <c r="D19" s="67"/>
      <c r="E19" s="12"/>
      <c r="F19" s="11"/>
      <c r="G19" s="48"/>
      <c r="H19" s="107"/>
      <c r="I19" s="107"/>
      <c r="J19" s="107"/>
      <c r="K19" s="107"/>
      <c r="L19" s="107"/>
      <c r="M19" s="107"/>
      <c r="N19" s="107"/>
      <c r="O19" s="107"/>
      <c r="P19" s="107"/>
      <c r="Q19" s="107"/>
      <c r="R19" s="107"/>
      <c r="S19" s="107"/>
      <c r="U19" s="262"/>
    </row>
    <row r="20" spans="1:79" ht="13" customHeight="1" x14ac:dyDescent="0.35">
      <c r="C20" s="18" t="str">
        <f>VLOOKUP(31,Textbausteine_203[],Hilfsgrössen!$D$2,FALSE)</f>
        <v>Contributions</v>
      </c>
      <c r="D20" s="9" t="str">
        <f>VLOOKUP(11,Textbausteine_203[],Hilfsgrössen!$D$2,FALSE)</f>
        <v>Millions de CHF</v>
      </c>
      <c r="E20" s="11"/>
      <c r="F20" s="11" t="s">
        <v>210</v>
      </c>
      <c r="G20" s="49"/>
      <c r="H20" s="163">
        <v>16.690000000000001</v>
      </c>
      <c r="I20" s="163">
        <v>17.849999999999998</v>
      </c>
      <c r="J20" s="163">
        <v>16.68</v>
      </c>
      <c r="K20" s="163">
        <v>17.830000000000002</v>
      </c>
      <c r="L20" s="20">
        <v>20.14</v>
      </c>
      <c r="M20" s="20">
        <v>20.7</v>
      </c>
      <c r="N20" s="20">
        <v>19</v>
      </c>
      <c r="O20" s="20">
        <v>20.700000000000003</v>
      </c>
      <c r="P20" s="107">
        <v>20.100000000000001</v>
      </c>
      <c r="Q20" s="107">
        <v>20.5</v>
      </c>
      <c r="R20" s="162">
        <v>19.7</v>
      </c>
      <c r="S20" s="162">
        <v>19.8</v>
      </c>
      <c r="T20" s="20">
        <v>19.7</v>
      </c>
      <c r="U20" s="378">
        <v>16.748999999999999</v>
      </c>
    </row>
    <row r="21" spans="1:79" ht="13" customHeight="1" x14ac:dyDescent="0.35">
      <c r="C21" s="77" t="str">
        <f>VLOOKUP(32,Textbausteine_203[],Hilfsgrössen!$D$2,FALSE)</f>
        <v>Sponsoring économique</v>
      </c>
      <c r="D21" s="67" t="str">
        <f>VLOOKUP(11,Textbausteine_203[],Hilfsgrössen!$D$2,FALSE)</f>
        <v>Millions de CHF</v>
      </c>
      <c r="E21" s="11">
        <v>1</v>
      </c>
      <c r="F21" s="11" t="s">
        <v>210</v>
      </c>
      <c r="G21" s="49"/>
      <c r="H21" s="170" t="s">
        <v>1595</v>
      </c>
      <c r="I21" s="170" t="s">
        <v>1595</v>
      </c>
      <c r="J21" s="170" t="s">
        <v>1595</v>
      </c>
      <c r="K21" s="170" t="s">
        <v>1595</v>
      </c>
      <c r="L21" s="138" t="s">
        <v>1595</v>
      </c>
      <c r="M21" s="138" t="s">
        <v>1595</v>
      </c>
      <c r="N21" s="138" t="s">
        <v>1595</v>
      </c>
      <c r="O21" s="138" t="s">
        <v>1595</v>
      </c>
      <c r="P21" s="181" t="s">
        <v>1595</v>
      </c>
      <c r="Q21" s="181" t="s">
        <v>1595</v>
      </c>
      <c r="R21" s="167" t="s">
        <v>1595</v>
      </c>
      <c r="S21" s="162">
        <v>1</v>
      </c>
      <c r="T21" s="20">
        <v>1.5</v>
      </c>
      <c r="U21" s="378">
        <v>1.6869999999999998</v>
      </c>
    </row>
    <row r="22" spans="1:79" ht="13" customHeight="1" x14ac:dyDescent="0.35">
      <c r="C22" s="77" t="str">
        <f>VLOOKUP(33,Textbausteine_203[],Hilfsgrössen!$D$2,FALSE)</f>
        <v>Sponsoring sportif</v>
      </c>
      <c r="D22" s="67" t="str">
        <f>VLOOKUP(11,Textbausteine_203[],Hilfsgrössen!$D$2,FALSE)</f>
        <v>Millions de CHF</v>
      </c>
      <c r="E22" s="11"/>
      <c r="F22" s="11" t="s">
        <v>210</v>
      </c>
      <c r="G22" s="49"/>
      <c r="H22" s="20">
        <v>8.1300000000000008</v>
      </c>
      <c r="I22" s="20">
        <v>9.6</v>
      </c>
      <c r="J22" s="20">
        <v>9.65</v>
      </c>
      <c r="K22" s="20">
        <v>9.75</v>
      </c>
      <c r="L22" s="20">
        <v>12.65</v>
      </c>
      <c r="M22" s="20">
        <v>11.7</v>
      </c>
      <c r="N22" s="20">
        <v>11.8</v>
      </c>
      <c r="O22" s="20">
        <v>11.8</v>
      </c>
      <c r="P22" s="107">
        <v>11.9</v>
      </c>
      <c r="Q22" s="107">
        <v>10.3</v>
      </c>
      <c r="R22" s="162">
        <v>10.7</v>
      </c>
      <c r="S22" s="162">
        <v>9.9</v>
      </c>
      <c r="T22" s="119">
        <v>10.3</v>
      </c>
      <c r="U22" s="378">
        <v>9.7159999999999993</v>
      </c>
    </row>
    <row r="23" spans="1:79" ht="13" customHeight="1" x14ac:dyDescent="0.35">
      <c r="C23" s="77" t="str">
        <f>VLOOKUP(34,Textbausteine_203[],Hilfsgrössen!$D$2,FALSE)</f>
        <v>Sponsoring culturel</v>
      </c>
      <c r="D23" s="67" t="str">
        <f>VLOOKUP(11,Textbausteine_203[],Hilfsgrössen!$D$2,FALSE)</f>
        <v>Millions de CHF</v>
      </c>
      <c r="E23" s="11"/>
      <c r="F23" s="11" t="s">
        <v>210</v>
      </c>
      <c r="G23" s="49"/>
      <c r="H23" s="163">
        <v>4.91</v>
      </c>
      <c r="I23" s="163">
        <v>5.14</v>
      </c>
      <c r="J23" s="163">
        <v>3.63</v>
      </c>
      <c r="K23" s="163">
        <v>4.6500000000000004</v>
      </c>
      <c r="L23" s="112">
        <v>4.2699999999999996</v>
      </c>
      <c r="M23" s="20">
        <v>4</v>
      </c>
      <c r="N23" s="20">
        <v>2.6</v>
      </c>
      <c r="O23" s="20">
        <v>2.5</v>
      </c>
      <c r="P23" s="107">
        <v>2.2999999999999998</v>
      </c>
      <c r="Q23" s="107">
        <v>5.0999999999999996</v>
      </c>
      <c r="R23" s="162">
        <v>4.4000000000000004</v>
      </c>
      <c r="S23" s="162">
        <v>3.9</v>
      </c>
      <c r="T23" s="119">
        <v>3.4</v>
      </c>
      <c r="U23" s="378">
        <v>2.96</v>
      </c>
    </row>
    <row r="24" spans="1:79" ht="13" customHeight="1" x14ac:dyDescent="0.3">
      <c r="C24" s="19" t="str">
        <f>VLOOKUP(35,Textbausteine_203[],Hilfsgrössen!$D$2,FALSE)</f>
        <v>Engagements sociaux / cadeaux / dons</v>
      </c>
      <c r="D24" s="67" t="str">
        <f>VLOOKUP(11,Textbausteine_203[],Hilfsgrössen!$D$2,FALSE)</f>
        <v>Millions de CHF</v>
      </c>
      <c r="E24" s="11"/>
      <c r="F24" s="11" t="s">
        <v>210</v>
      </c>
      <c r="G24" s="49"/>
      <c r="H24" s="163">
        <v>3.65</v>
      </c>
      <c r="I24" s="163">
        <v>3.11</v>
      </c>
      <c r="J24" s="163">
        <v>3.4</v>
      </c>
      <c r="K24" s="163">
        <v>3.43</v>
      </c>
      <c r="L24" s="20">
        <v>3.22</v>
      </c>
      <c r="M24" s="20">
        <v>5</v>
      </c>
      <c r="N24" s="20">
        <v>4.5999999999999996</v>
      </c>
      <c r="O24" s="20">
        <v>6.4</v>
      </c>
      <c r="P24" s="138">
        <v>5.9</v>
      </c>
      <c r="Q24" s="107">
        <v>5.0999999999999996</v>
      </c>
      <c r="R24" s="162">
        <v>4.5999999999999996</v>
      </c>
      <c r="S24" s="162">
        <v>5</v>
      </c>
      <c r="T24" s="20">
        <v>4.5</v>
      </c>
      <c r="U24" s="379">
        <v>0.7</v>
      </c>
    </row>
    <row r="25" spans="1:79" ht="13" customHeight="1" x14ac:dyDescent="0.3">
      <c r="C25" s="77" t="str">
        <f>VLOOKUP(36,Textbausteine_203[],Hilfsgrössen!$D$2,FALSE)</f>
        <v>Dons à des partis politiques</v>
      </c>
      <c r="D25" s="67" t="str">
        <f>VLOOKUP(11,Textbausteine_203[],Hilfsgrössen!$D$2,FALSE)</f>
        <v>Millions de CHF</v>
      </c>
      <c r="E25" s="11"/>
      <c r="F25" s="11" t="s">
        <v>211</v>
      </c>
      <c r="G25" s="49"/>
      <c r="H25" s="163">
        <v>0</v>
      </c>
      <c r="I25" s="163">
        <v>0</v>
      </c>
      <c r="J25" s="163">
        <v>0</v>
      </c>
      <c r="K25" s="163">
        <v>0</v>
      </c>
      <c r="L25" s="20">
        <v>0</v>
      </c>
      <c r="M25" s="20">
        <v>0</v>
      </c>
      <c r="N25" s="20">
        <v>0</v>
      </c>
      <c r="O25" s="20">
        <v>0</v>
      </c>
      <c r="P25" s="107">
        <v>0</v>
      </c>
      <c r="Q25" s="107">
        <v>0</v>
      </c>
      <c r="R25" s="162">
        <v>0</v>
      </c>
      <c r="S25" s="162">
        <v>0</v>
      </c>
      <c r="T25" s="107">
        <v>0</v>
      </c>
      <c r="U25" s="379">
        <v>0</v>
      </c>
    </row>
    <row r="26" spans="1:79" ht="13" customHeight="1" x14ac:dyDescent="0.3">
      <c r="C26" s="77" t="str">
        <f>VLOOKUP(37,Textbausteine_203[],Hilfsgrössen!$D$2,FALSE)</f>
        <v>Engagements pour la Suisse</v>
      </c>
      <c r="D26" s="67" t="str">
        <f>VLOOKUP(11,Textbausteine_203[],Hilfsgrössen!$D$2,FALSE)</f>
        <v>Millions de CHF</v>
      </c>
      <c r="E26" s="11"/>
      <c r="F26" s="11"/>
      <c r="G26" s="49"/>
      <c r="H26" s="170" t="s">
        <v>1595</v>
      </c>
      <c r="I26" s="170" t="s">
        <v>1595</v>
      </c>
      <c r="J26" s="170" t="s">
        <v>1595</v>
      </c>
      <c r="K26" s="170" t="s">
        <v>1595</v>
      </c>
      <c r="L26" s="138" t="s">
        <v>1595</v>
      </c>
      <c r="M26" s="138" t="s">
        <v>1595</v>
      </c>
      <c r="N26" s="138" t="s">
        <v>1595</v>
      </c>
      <c r="O26" s="138" t="s">
        <v>1595</v>
      </c>
      <c r="P26" s="181" t="s">
        <v>1595</v>
      </c>
      <c r="Q26" s="181" t="s">
        <v>1595</v>
      </c>
      <c r="R26" s="167" t="s">
        <v>1595</v>
      </c>
      <c r="S26" s="167" t="s">
        <v>1595</v>
      </c>
      <c r="T26" s="181" t="s">
        <v>1595</v>
      </c>
      <c r="U26" s="379">
        <v>1.6859999999999999</v>
      </c>
    </row>
    <row r="27" spans="1:79" ht="13" customHeight="1" x14ac:dyDescent="0.3">
      <c r="C27" s="77"/>
      <c r="D27" s="67"/>
      <c r="E27" s="11"/>
      <c r="F27" s="11"/>
      <c r="G27" s="49"/>
      <c r="H27" s="163"/>
      <c r="I27" s="163"/>
      <c r="J27" s="163"/>
      <c r="K27" s="163"/>
      <c r="L27" s="20"/>
      <c r="M27" s="20"/>
      <c r="N27" s="20"/>
      <c r="O27" s="20"/>
      <c r="P27" s="107"/>
      <c r="Q27" s="107"/>
      <c r="R27" s="107"/>
      <c r="S27" s="162"/>
      <c r="T27" s="107"/>
      <c r="U27" s="264"/>
    </row>
    <row r="28" spans="1:79" ht="13" customHeight="1" x14ac:dyDescent="0.3">
      <c r="C28" s="18" t="str">
        <f>VLOOKUP(31,Textbausteine_203[],Hilfsgrössen!$D$2,FALSE)</f>
        <v>Contributions</v>
      </c>
      <c r="D28" s="67" t="str">
        <f>VLOOKUP(12,Textbausteine_203[],Hilfsgrössen!$D$2,FALSE)</f>
        <v>%</v>
      </c>
      <c r="E28" s="11"/>
      <c r="F28" s="11" t="s">
        <v>210</v>
      </c>
      <c r="G28" s="49"/>
      <c r="H28" s="100">
        <f t="shared" ref="H28:T28" si="0">IFERROR(H20/H$20*100,"'—")</f>
        <v>100</v>
      </c>
      <c r="I28" s="100">
        <f t="shared" si="0"/>
        <v>100</v>
      </c>
      <c r="J28" s="100">
        <f t="shared" si="0"/>
        <v>100</v>
      </c>
      <c r="K28" s="100">
        <f t="shared" si="0"/>
        <v>100</v>
      </c>
      <c r="L28" s="100">
        <f t="shared" si="0"/>
        <v>100</v>
      </c>
      <c r="M28" s="100">
        <f t="shared" si="0"/>
        <v>100</v>
      </c>
      <c r="N28" s="100">
        <f t="shared" si="0"/>
        <v>100</v>
      </c>
      <c r="O28" s="100">
        <f t="shared" si="0"/>
        <v>100</v>
      </c>
      <c r="P28" s="100">
        <f t="shared" si="0"/>
        <v>100</v>
      </c>
      <c r="Q28" s="100">
        <f t="shared" si="0"/>
        <v>100</v>
      </c>
      <c r="R28" s="100">
        <f t="shared" si="0"/>
        <v>100</v>
      </c>
      <c r="S28" s="100">
        <f t="shared" si="0"/>
        <v>100</v>
      </c>
      <c r="T28" s="107">
        <f t="shared" si="0"/>
        <v>100</v>
      </c>
      <c r="U28" s="264">
        <v>100</v>
      </c>
    </row>
    <row r="29" spans="1:79" ht="13" customHeight="1" x14ac:dyDescent="0.3">
      <c r="C29" s="77" t="str">
        <f>VLOOKUP(32,Textbausteine_203[],Hilfsgrössen!$D$2,FALSE)</f>
        <v>Sponsoring économique</v>
      </c>
      <c r="D29" s="67" t="str">
        <f>VLOOKUP(12,Textbausteine_203[],Hilfsgrössen!$D$2,FALSE)</f>
        <v>%</v>
      </c>
      <c r="E29" s="11">
        <v>1</v>
      </c>
      <c r="F29" s="11" t="s">
        <v>210</v>
      </c>
      <c r="G29" s="49"/>
      <c r="H29" s="100" t="str">
        <f t="shared" ref="H29:R29" si="1">IFERROR(H21/H$20*100,"—")</f>
        <v>—</v>
      </c>
      <c r="I29" s="100" t="str">
        <f t="shared" si="1"/>
        <v>—</v>
      </c>
      <c r="J29" s="100" t="str">
        <f t="shared" si="1"/>
        <v>—</v>
      </c>
      <c r="K29" s="100" t="str">
        <f t="shared" si="1"/>
        <v>—</v>
      </c>
      <c r="L29" s="100" t="str">
        <f t="shared" si="1"/>
        <v>—</v>
      </c>
      <c r="M29" s="100" t="str">
        <f t="shared" si="1"/>
        <v>—</v>
      </c>
      <c r="N29" s="100" t="str">
        <f t="shared" si="1"/>
        <v>—</v>
      </c>
      <c r="O29" s="100" t="str">
        <f t="shared" si="1"/>
        <v>—</v>
      </c>
      <c r="P29" s="100" t="str">
        <f t="shared" si="1"/>
        <v>—</v>
      </c>
      <c r="Q29" s="100" t="str">
        <f t="shared" si="1"/>
        <v>—</v>
      </c>
      <c r="R29" s="100" t="str">
        <f t="shared" si="1"/>
        <v>—</v>
      </c>
      <c r="S29" s="100">
        <f t="shared" ref="S29:T33" si="2">IFERROR(S21/S$20*100,"'—")</f>
        <v>5.0505050505050502</v>
      </c>
      <c r="T29" s="107">
        <f t="shared" si="2"/>
        <v>7.6142131979695442</v>
      </c>
      <c r="U29" s="379">
        <v>10.072243118992178</v>
      </c>
    </row>
    <row r="30" spans="1:79" ht="13" customHeight="1" x14ac:dyDescent="0.3">
      <c r="C30" s="77" t="str">
        <f>VLOOKUP(33,Textbausteine_203[],Hilfsgrössen!$D$2,FALSE)</f>
        <v>Sponsoring sportif</v>
      </c>
      <c r="D30" s="67" t="str">
        <f>VLOOKUP(12,Textbausteine_203[],Hilfsgrössen!$D$2,FALSE)</f>
        <v>%</v>
      </c>
      <c r="E30" s="11"/>
      <c r="F30" s="11" t="s">
        <v>210</v>
      </c>
      <c r="G30" s="49"/>
      <c r="H30" s="100">
        <f t="shared" ref="H30:R30" si="3">IFERROR(H22/H$20*100,"'—")</f>
        <v>48.711803475134815</v>
      </c>
      <c r="I30" s="100">
        <f t="shared" si="3"/>
        <v>53.781512605042025</v>
      </c>
      <c r="J30" s="100">
        <f t="shared" si="3"/>
        <v>57.853717026378902</v>
      </c>
      <c r="K30" s="100">
        <f t="shared" si="3"/>
        <v>54.6831183398766</v>
      </c>
      <c r="L30" s="100">
        <f t="shared" si="3"/>
        <v>62.810327706057599</v>
      </c>
      <c r="M30" s="100">
        <f t="shared" si="3"/>
        <v>56.521739130434781</v>
      </c>
      <c r="N30" s="100">
        <f t="shared" si="3"/>
        <v>62.10526315789474</v>
      </c>
      <c r="O30" s="100">
        <f t="shared" si="3"/>
        <v>57.004830917874393</v>
      </c>
      <c r="P30" s="100">
        <f t="shared" si="3"/>
        <v>59.203980099502488</v>
      </c>
      <c r="Q30" s="100">
        <f t="shared" si="3"/>
        <v>50.243902439024389</v>
      </c>
      <c r="R30" s="100">
        <f t="shared" si="3"/>
        <v>54.314720812182735</v>
      </c>
      <c r="S30" s="100">
        <f t="shared" si="2"/>
        <v>50</v>
      </c>
      <c r="T30" s="107">
        <f t="shared" si="2"/>
        <v>52.284263959390863</v>
      </c>
      <c r="U30" s="379">
        <v>58.009433399008898</v>
      </c>
    </row>
    <row r="31" spans="1:79" ht="13" customHeight="1" x14ac:dyDescent="0.3">
      <c r="C31" s="77" t="str">
        <f>VLOOKUP(34,Textbausteine_203[],Hilfsgrössen!$D$2,FALSE)</f>
        <v>Sponsoring culturel</v>
      </c>
      <c r="D31" s="67" t="str">
        <f>VLOOKUP(12,Textbausteine_203[],Hilfsgrössen!$D$2,FALSE)</f>
        <v>%</v>
      </c>
      <c r="E31" s="11"/>
      <c r="F31" s="11" t="s">
        <v>210</v>
      </c>
      <c r="G31" s="49"/>
      <c r="H31" s="100">
        <f t="shared" ref="H31:R31" si="4">IFERROR(H23/H$20*100,"'—")</f>
        <v>29.418813660874775</v>
      </c>
      <c r="I31" s="100">
        <f t="shared" si="4"/>
        <v>28.795518207282917</v>
      </c>
      <c r="J31" s="100">
        <f t="shared" si="4"/>
        <v>21.762589928057555</v>
      </c>
      <c r="K31" s="100">
        <f t="shared" si="4"/>
        <v>26.079641054402693</v>
      </c>
      <c r="L31" s="100">
        <f t="shared" si="4"/>
        <v>21.201588877855013</v>
      </c>
      <c r="M31" s="100">
        <f t="shared" si="4"/>
        <v>19.323671497584542</v>
      </c>
      <c r="N31" s="100">
        <f t="shared" si="4"/>
        <v>13.684210526315791</v>
      </c>
      <c r="O31" s="100">
        <f t="shared" si="4"/>
        <v>12.077294685990337</v>
      </c>
      <c r="P31" s="100">
        <f t="shared" si="4"/>
        <v>11.442786069651739</v>
      </c>
      <c r="Q31" s="100">
        <f t="shared" si="4"/>
        <v>24.878048780487802</v>
      </c>
      <c r="R31" s="100">
        <f t="shared" si="4"/>
        <v>22.335025380710665</v>
      </c>
      <c r="S31" s="100">
        <f t="shared" si="2"/>
        <v>19.696969696969695</v>
      </c>
      <c r="T31" s="107">
        <f t="shared" si="2"/>
        <v>17.258883248730964</v>
      </c>
      <c r="U31" s="379">
        <v>17.672696877425519</v>
      </c>
    </row>
    <row r="32" spans="1:79" ht="13" customHeight="1" x14ac:dyDescent="0.3">
      <c r="C32" s="19" t="str">
        <f>VLOOKUP(35,Textbausteine_203[],Hilfsgrössen!$D$2,FALSE)</f>
        <v>Engagements sociaux / cadeaux / dons</v>
      </c>
      <c r="D32" s="67" t="str">
        <f>VLOOKUP(12,Textbausteine_203[],Hilfsgrössen!$D$2,FALSE)</f>
        <v>%</v>
      </c>
      <c r="E32" s="11"/>
      <c r="F32" s="11" t="s">
        <v>210</v>
      </c>
      <c r="G32" s="49"/>
      <c r="H32" s="100">
        <f t="shared" ref="H32:R32" si="5">IFERROR(H24/H$20*100,"'—")</f>
        <v>21.86938286399041</v>
      </c>
      <c r="I32" s="100">
        <f t="shared" si="5"/>
        <v>17.422969187675072</v>
      </c>
      <c r="J32" s="100">
        <f t="shared" si="5"/>
        <v>20.38369304556355</v>
      </c>
      <c r="K32" s="100">
        <f t="shared" si="5"/>
        <v>19.237240605720697</v>
      </c>
      <c r="L32" s="100">
        <f t="shared" si="5"/>
        <v>15.98808341608739</v>
      </c>
      <c r="M32" s="100">
        <f t="shared" si="5"/>
        <v>24.154589371980677</v>
      </c>
      <c r="N32" s="100">
        <f t="shared" si="5"/>
        <v>24.210526315789473</v>
      </c>
      <c r="O32" s="100">
        <f t="shared" si="5"/>
        <v>30.917874396135264</v>
      </c>
      <c r="P32" s="100">
        <f t="shared" si="5"/>
        <v>29.35323383084577</v>
      </c>
      <c r="Q32" s="100">
        <f t="shared" si="5"/>
        <v>24.878048780487802</v>
      </c>
      <c r="R32" s="100">
        <f t="shared" si="5"/>
        <v>23.350253807106597</v>
      </c>
      <c r="S32" s="100">
        <f t="shared" si="2"/>
        <v>25.252525252525253</v>
      </c>
      <c r="T32" s="107">
        <f t="shared" si="2"/>
        <v>22.842639593908633</v>
      </c>
      <c r="U32" s="379">
        <v>4.1793539912830617</v>
      </c>
    </row>
    <row r="33" spans="1:79" ht="13" customHeight="1" x14ac:dyDescent="0.3">
      <c r="C33" s="77" t="str">
        <f>VLOOKUP(36,Textbausteine_203[],Hilfsgrössen!$D$2,FALSE)</f>
        <v>Dons à des partis politiques</v>
      </c>
      <c r="D33" s="67" t="str">
        <f>VLOOKUP(12,Textbausteine_203[],Hilfsgrössen!$D$2,FALSE)</f>
        <v>%</v>
      </c>
      <c r="E33" s="11"/>
      <c r="F33" s="11" t="s">
        <v>211</v>
      </c>
      <c r="G33" s="49"/>
      <c r="H33" s="100">
        <f t="shared" ref="H33:R33" si="6">IFERROR(H25/H$20*100,"'—")</f>
        <v>0</v>
      </c>
      <c r="I33" s="100">
        <f t="shared" si="6"/>
        <v>0</v>
      </c>
      <c r="J33" s="100">
        <f t="shared" si="6"/>
        <v>0</v>
      </c>
      <c r="K33" s="100">
        <f t="shared" si="6"/>
        <v>0</v>
      </c>
      <c r="L33" s="100">
        <f t="shared" si="6"/>
        <v>0</v>
      </c>
      <c r="M33" s="100">
        <f t="shared" si="6"/>
        <v>0</v>
      </c>
      <c r="N33" s="100">
        <f t="shared" si="6"/>
        <v>0</v>
      </c>
      <c r="O33" s="100">
        <f t="shared" si="6"/>
        <v>0</v>
      </c>
      <c r="P33" s="100">
        <f t="shared" si="6"/>
        <v>0</v>
      </c>
      <c r="Q33" s="100">
        <f t="shared" si="6"/>
        <v>0</v>
      </c>
      <c r="R33" s="100">
        <f t="shared" si="6"/>
        <v>0</v>
      </c>
      <c r="S33" s="100">
        <f t="shared" si="2"/>
        <v>0</v>
      </c>
      <c r="T33" s="107">
        <f t="shared" si="2"/>
        <v>0</v>
      </c>
      <c r="U33" s="379">
        <v>0</v>
      </c>
    </row>
    <row r="34" spans="1:79" ht="13" customHeight="1" x14ac:dyDescent="0.3">
      <c r="C34" s="77" t="str">
        <f>VLOOKUP(37,Textbausteine_203[],Hilfsgrössen!$D$2,FALSE)</f>
        <v>Engagements pour la Suisse</v>
      </c>
      <c r="D34" s="67" t="str">
        <f>VLOOKUP(12,Textbausteine_203[],Hilfsgrössen!$D$2,FALSE)</f>
        <v>%</v>
      </c>
      <c r="E34" s="11"/>
      <c r="F34" s="11"/>
      <c r="G34" s="49"/>
      <c r="H34" s="168" t="s">
        <v>1595</v>
      </c>
      <c r="I34" s="168" t="s">
        <v>1595</v>
      </c>
      <c r="J34" s="168" t="s">
        <v>1595</v>
      </c>
      <c r="K34" s="168" t="s">
        <v>1595</v>
      </c>
      <c r="L34" s="168" t="s">
        <v>1595</v>
      </c>
      <c r="M34" s="168" t="s">
        <v>1595</v>
      </c>
      <c r="N34" s="168" t="s">
        <v>1595</v>
      </c>
      <c r="O34" s="168" t="s">
        <v>1595</v>
      </c>
      <c r="P34" s="168" t="s">
        <v>1595</v>
      </c>
      <c r="Q34" s="168" t="s">
        <v>1595</v>
      </c>
      <c r="R34" s="168" t="s">
        <v>1595</v>
      </c>
      <c r="S34" s="168" t="s">
        <v>1595</v>
      </c>
      <c r="T34" s="181" t="s">
        <v>1595</v>
      </c>
      <c r="U34" s="379">
        <v>10.066272613290346</v>
      </c>
    </row>
    <row r="35" spans="1:79" ht="13" customHeight="1" x14ac:dyDescent="0.3">
      <c r="E35" s="11"/>
      <c r="F35" s="11"/>
      <c r="G35" s="49"/>
      <c r="T35" s="107"/>
      <c r="U35" s="107"/>
    </row>
    <row r="36" spans="1:79" ht="13" customHeight="1" x14ac:dyDescent="0.3">
      <c r="B36" s="21" t="str">
        <f>VLOOKUP(201,Textbausteine_203[],Hilfsgrössen!$D$2,FALSE)</f>
        <v>1) Depuis le 1er janvier 2015, le sponsoring économique fait explicitement partie du sponsoring de la Poste.</v>
      </c>
      <c r="E36" s="11"/>
      <c r="F36" s="11"/>
      <c r="G36" s="49"/>
      <c r="T36" s="107"/>
      <c r="U36" s="107"/>
    </row>
    <row r="37" spans="1:79" ht="13" customHeight="1" x14ac:dyDescent="0.3">
      <c r="B37" s="21"/>
      <c r="E37" s="11"/>
      <c r="F37" s="11"/>
      <c r="G37" s="49"/>
      <c r="T37" s="107"/>
      <c r="U37" s="107"/>
    </row>
    <row r="38" spans="1:79" ht="13" customHeight="1" x14ac:dyDescent="0.3">
      <c r="A38" s="66"/>
      <c r="E38" s="42"/>
      <c r="F38" s="42"/>
      <c r="G38" s="51"/>
      <c r="H38" s="107"/>
      <c r="I38" s="107"/>
      <c r="J38" s="107"/>
      <c r="K38" s="107"/>
      <c r="L38" s="107"/>
      <c r="M38" s="107"/>
      <c r="N38" s="20"/>
      <c r="O38" s="107"/>
      <c r="T38" s="107"/>
      <c r="U38" s="100"/>
    </row>
    <row r="39" spans="1:79" ht="13" customHeight="1" x14ac:dyDescent="0.3">
      <c r="A39" s="66"/>
      <c r="E39" s="43"/>
      <c r="F39" s="43"/>
      <c r="G39" s="52"/>
      <c r="H39" s="107"/>
      <c r="I39" s="107"/>
      <c r="J39" s="107"/>
      <c r="K39" s="107"/>
      <c r="L39" s="107"/>
      <c r="M39" s="107"/>
      <c r="N39" s="20"/>
      <c r="O39" s="107"/>
      <c r="T39" s="107"/>
      <c r="U39" s="100"/>
    </row>
    <row r="40" spans="1:79" s="31" customFormat="1" ht="13" customHeight="1" x14ac:dyDescent="0.3">
      <c r="A40" s="56" t="s">
        <v>900</v>
      </c>
      <c r="B40" s="385" t="str">
        <f>$C$8</f>
        <v>Points d'accès</v>
      </c>
      <c r="C40" s="385"/>
      <c r="D40" s="6" t="str">
        <f>VLOOKUP(32,Textbausteine_Menu[],Hilfsgrössen!$D$2,FALSE)</f>
        <v>Unité</v>
      </c>
      <c r="E40" s="39" t="str">
        <f>VLOOKUP(33,Textbausteine_Menu[],Hilfsgrössen!$D$2,FALSE)</f>
        <v>Notes</v>
      </c>
      <c r="F40" s="39" t="str">
        <f>VLOOKUP(34,Textbausteine_Menu[],Hilfsgrössen!$D$2,FALSE)</f>
        <v>GRI</v>
      </c>
      <c r="G40" s="53"/>
      <c r="H40" s="117">
        <v>2004</v>
      </c>
      <c r="I40" s="117">
        <v>2005</v>
      </c>
      <c r="J40" s="117">
        <v>2006</v>
      </c>
      <c r="K40" s="117">
        <v>2007</v>
      </c>
      <c r="L40" s="117">
        <v>2008</v>
      </c>
      <c r="M40" s="117">
        <v>2009</v>
      </c>
      <c r="N40" s="117">
        <v>2010</v>
      </c>
      <c r="O40" s="117">
        <v>2011</v>
      </c>
      <c r="P40" s="117">
        <v>2012</v>
      </c>
      <c r="Q40" s="117">
        <v>2013</v>
      </c>
      <c r="R40" s="117">
        <v>2014</v>
      </c>
      <c r="S40" s="117">
        <v>2015</v>
      </c>
      <c r="T40" s="117">
        <v>2016</v>
      </c>
      <c r="U40" s="261">
        <v>2017</v>
      </c>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row>
    <row r="41" spans="1:79" s="31" customFormat="1" ht="13" customHeight="1" x14ac:dyDescent="0.3">
      <c r="A41" s="55"/>
      <c r="B41" s="385"/>
      <c r="C41" s="385"/>
      <c r="D41" s="6"/>
      <c r="E41" s="37"/>
      <c r="F41" s="37"/>
      <c r="G41" s="47"/>
      <c r="H41" s="117"/>
      <c r="I41" s="117"/>
      <c r="J41" s="117"/>
      <c r="K41" s="117"/>
      <c r="L41" s="106"/>
      <c r="M41" s="106"/>
      <c r="N41" s="107"/>
      <c r="O41" s="107"/>
      <c r="P41" s="107"/>
      <c r="Q41" s="107"/>
      <c r="R41" s="107"/>
      <c r="S41" s="107"/>
      <c r="T41" s="20"/>
      <c r="U41" s="262"/>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row>
    <row r="42" spans="1:79" ht="13" customHeight="1" x14ac:dyDescent="0.3">
      <c r="A42" s="66"/>
      <c r="B42" s="8"/>
      <c r="C42" s="9"/>
      <c r="D42" s="9"/>
      <c r="E42" s="40"/>
      <c r="F42" s="40"/>
      <c r="H42" s="117"/>
      <c r="I42" s="117"/>
      <c r="J42" s="117"/>
      <c r="K42" s="117"/>
      <c r="L42" s="106"/>
      <c r="M42" s="106"/>
      <c r="N42" s="107"/>
      <c r="O42" s="107"/>
      <c r="P42" s="107"/>
      <c r="Q42" s="107"/>
      <c r="R42" s="107"/>
      <c r="S42" s="107"/>
      <c r="U42" s="262"/>
    </row>
    <row r="43" spans="1:79" ht="13" customHeight="1" x14ac:dyDescent="0.3">
      <c r="A43" s="66"/>
      <c r="B43" s="8" t="str">
        <f>VLOOKUP(37,Textbausteine_Menu[],Hilfsgrössen!$D$2,FALSE)</f>
        <v>Groupe Suisse</v>
      </c>
      <c r="C43" s="8"/>
      <c r="D43" s="67"/>
      <c r="E43" s="40"/>
      <c r="F43" s="40"/>
      <c r="H43" s="107"/>
      <c r="I43" s="107"/>
      <c r="J43" s="107"/>
      <c r="K43" s="107"/>
      <c r="L43" s="107"/>
      <c r="M43" s="107"/>
      <c r="N43" s="107"/>
      <c r="O43" s="107"/>
      <c r="P43" s="107"/>
      <c r="Q43" s="107"/>
      <c r="R43" s="107"/>
      <c r="S43" s="107"/>
      <c r="U43" s="262"/>
    </row>
    <row r="44" spans="1:79" ht="13" customHeight="1" x14ac:dyDescent="0.3">
      <c r="A44" s="66"/>
      <c r="B44" s="8"/>
      <c r="C44" s="193" t="str">
        <f>VLOOKUP(41,Textbausteine_203[],Hilfsgrössen!$D$2,FALSE)</f>
        <v>Filiales</v>
      </c>
      <c r="D44" s="67" t="str">
        <f>VLOOKUP(13,Textbausteine_203[],Hilfsgrössen!$D$2,FALSE)</f>
        <v>Nombre</v>
      </c>
      <c r="E44" s="40"/>
      <c r="F44" s="11" t="s">
        <v>210</v>
      </c>
      <c r="H44" s="168" t="s">
        <v>1595</v>
      </c>
      <c r="I44" s="107">
        <v>2389</v>
      </c>
      <c r="J44" s="107">
        <v>2357</v>
      </c>
      <c r="K44" s="107">
        <v>2312</v>
      </c>
      <c r="L44" s="107">
        <v>2195</v>
      </c>
      <c r="M44" s="107">
        <v>2060</v>
      </c>
      <c r="N44" s="107">
        <v>1950</v>
      </c>
      <c r="O44" s="107">
        <v>1846</v>
      </c>
      <c r="P44" s="107">
        <v>1752</v>
      </c>
      <c r="Q44" s="107">
        <v>1657</v>
      </c>
      <c r="R44" s="107">
        <v>1557</v>
      </c>
      <c r="S44" s="107">
        <v>1459</v>
      </c>
      <c r="T44" s="20">
        <v>1323</v>
      </c>
      <c r="U44" s="262">
        <v>1189</v>
      </c>
    </row>
    <row r="45" spans="1:79" ht="13" customHeight="1" x14ac:dyDescent="0.3">
      <c r="A45" s="66"/>
      <c r="B45" s="8"/>
      <c r="C45" s="193" t="str">
        <f>VLOOKUP(42,Textbausteine_203[],Hilfsgrössen!$D$2,FALSE)</f>
        <v>Filiales en partenariat</v>
      </c>
      <c r="D45" s="67" t="str">
        <f>VLOOKUP(13,Textbausteine_203[],Hilfsgrössen!$D$2,FALSE)</f>
        <v>Nombre</v>
      </c>
      <c r="E45" s="40"/>
      <c r="F45" s="11" t="s">
        <v>210</v>
      </c>
      <c r="H45" s="168" t="s">
        <v>1595</v>
      </c>
      <c r="I45" s="107">
        <v>135</v>
      </c>
      <c r="J45" s="107">
        <v>129</v>
      </c>
      <c r="K45" s="107">
        <v>150</v>
      </c>
      <c r="L45" s="107">
        <v>208</v>
      </c>
      <c r="M45" s="107">
        <v>283</v>
      </c>
      <c r="N45" s="107">
        <v>358</v>
      </c>
      <c r="O45" s="107">
        <v>427</v>
      </c>
      <c r="P45" s="107">
        <v>497</v>
      </c>
      <c r="Q45" s="107">
        <v>569</v>
      </c>
      <c r="R45" s="107">
        <v>660</v>
      </c>
      <c r="S45" s="107">
        <v>735</v>
      </c>
      <c r="T45" s="20">
        <v>849</v>
      </c>
      <c r="U45" s="262">
        <v>968</v>
      </c>
    </row>
    <row r="46" spans="1:79" ht="13" customHeight="1" x14ac:dyDescent="0.3">
      <c r="C46" s="193" t="str">
        <f>VLOOKUP(43,Textbausteine_203[],Hilfsgrössen!$D$2,FALSE)</f>
        <v>Service à domicile</v>
      </c>
      <c r="D46" s="67" t="str">
        <f>VLOOKUP(14,Textbausteine_203[],Hilfsgrössen!$D$2,FALSE)</f>
        <v>Lieux</v>
      </c>
      <c r="E46" s="18"/>
      <c r="F46" s="11" t="s">
        <v>210</v>
      </c>
      <c r="G46" s="49"/>
      <c r="H46" s="168" t="s">
        <v>1595</v>
      </c>
      <c r="I46" s="100">
        <v>991</v>
      </c>
      <c r="J46" s="100">
        <v>1023</v>
      </c>
      <c r="K46" s="100">
        <v>1043</v>
      </c>
      <c r="L46" s="100">
        <v>1097</v>
      </c>
      <c r="M46" s="100">
        <v>1154</v>
      </c>
      <c r="N46" s="100">
        <v>1192</v>
      </c>
      <c r="O46" s="100">
        <v>1226</v>
      </c>
      <c r="P46" s="100">
        <v>1251</v>
      </c>
      <c r="Q46" s="100">
        <v>1269</v>
      </c>
      <c r="R46" s="100">
        <v>1278</v>
      </c>
      <c r="S46" s="100">
        <v>1295</v>
      </c>
      <c r="T46" s="20">
        <v>1319</v>
      </c>
      <c r="U46" s="262">
        <v>1326</v>
      </c>
    </row>
    <row r="47" spans="1:79" ht="13" customHeight="1" x14ac:dyDescent="0.3">
      <c r="C47" s="193" t="str">
        <f>VLOOKUP(44,Textbausteine_203[],Hilfsgrössen!$D$2,FALSE)</f>
        <v>Points de dépôt et de retrait</v>
      </c>
      <c r="D47" s="67" t="str">
        <f>VLOOKUP(13,Textbausteine_203[],Hilfsgrössen!$D$2,FALSE)</f>
        <v>Nombre</v>
      </c>
      <c r="E47" s="196"/>
      <c r="F47" s="11" t="s">
        <v>210</v>
      </c>
      <c r="G47" s="49"/>
      <c r="H47" s="168" t="s">
        <v>1595</v>
      </c>
      <c r="I47" s="362">
        <v>37</v>
      </c>
      <c r="J47" s="107">
        <v>70</v>
      </c>
      <c r="K47" s="107">
        <v>71</v>
      </c>
      <c r="L47" s="107">
        <v>100</v>
      </c>
      <c r="M47" s="107">
        <v>105</v>
      </c>
      <c r="N47" s="107">
        <v>107</v>
      </c>
      <c r="O47" s="107">
        <v>103</v>
      </c>
      <c r="P47" s="107">
        <v>102</v>
      </c>
      <c r="Q47" s="107">
        <v>99</v>
      </c>
      <c r="R47" s="107">
        <v>99</v>
      </c>
      <c r="S47" s="107">
        <v>102</v>
      </c>
      <c r="T47" s="20">
        <v>208</v>
      </c>
      <c r="U47" s="262">
        <v>200</v>
      </c>
    </row>
    <row r="48" spans="1:79" ht="13" customHeight="1" x14ac:dyDescent="0.3">
      <c r="C48" s="193" t="str">
        <f>VLOOKUP(45,Textbausteine_203[],Hilfsgrössen!$D$2,FALSE)</f>
        <v>Automates My Post 24</v>
      </c>
      <c r="D48" s="67" t="str">
        <f>VLOOKUP(13,Textbausteine_203[],Hilfsgrössen!$D$2,FALSE)</f>
        <v>Nombre</v>
      </c>
      <c r="E48" s="196"/>
      <c r="F48" s="11" t="s">
        <v>210</v>
      </c>
      <c r="G48" s="49"/>
      <c r="H48" s="168" t="s">
        <v>1595</v>
      </c>
      <c r="I48" s="181" t="s">
        <v>1595</v>
      </c>
      <c r="J48" s="181" t="s">
        <v>1595</v>
      </c>
      <c r="K48" s="181" t="s">
        <v>1595</v>
      </c>
      <c r="L48" s="181" t="s">
        <v>1595</v>
      </c>
      <c r="M48" s="181" t="s">
        <v>1595</v>
      </c>
      <c r="N48" s="181" t="s">
        <v>1595</v>
      </c>
      <c r="O48" s="181" t="s">
        <v>1595</v>
      </c>
      <c r="P48" s="181" t="s">
        <v>1595</v>
      </c>
      <c r="Q48" s="181" t="s">
        <v>1595</v>
      </c>
      <c r="R48" s="107">
        <v>29</v>
      </c>
      <c r="S48" s="107">
        <v>55</v>
      </c>
      <c r="T48" s="20">
        <v>80</v>
      </c>
      <c r="U48" s="262">
        <v>92</v>
      </c>
    </row>
    <row r="49" spans="1:79" ht="13" customHeight="1" x14ac:dyDescent="0.3">
      <c r="C49" s="193" t="str">
        <f>VLOOKUP(46,Textbausteine_203[],Hilfsgrössen!$D$2,FALSE)</f>
        <v>Points clientèle commerciale</v>
      </c>
      <c r="D49" s="67" t="str">
        <f>VLOOKUP(13,Textbausteine_203[],Hilfsgrössen!$D$2,FALSE)</f>
        <v>Nombre</v>
      </c>
      <c r="E49" s="196">
        <v>1</v>
      </c>
      <c r="F49" s="11" t="s">
        <v>210</v>
      </c>
      <c r="G49" s="49"/>
      <c r="H49" s="168" t="s">
        <v>1595</v>
      </c>
      <c r="I49" s="181" t="s">
        <v>1595</v>
      </c>
      <c r="J49" s="181" t="s">
        <v>1595</v>
      </c>
      <c r="K49" s="181" t="s">
        <v>1595</v>
      </c>
      <c r="L49" s="181" t="s">
        <v>1595</v>
      </c>
      <c r="M49" s="181" t="s">
        <v>1595</v>
      </c>
      <c r="N49" s="181" t="s">
        <v>1595</v>
      </c>
      <c r="O49" s="181" t="s">
        <v>1595</v>
      </c>
      <c r="P49" s="181" t="s">
        <v>1595</v>
      </c>
      <c r="Q49" s="107">
        <v>6</v>
      </c>
      <c r="R49" s="107">
        <v>13</v>
      </c>
      <c r="S49" s="107">
        <v>22</v>
      </c>
      <c r="T49" s="20">
        <v>29</v>
      </c>
      <c r="U49" s="262">
        <v>92</v>
      </c>
    </row>
    <row r="50" spans="1:79" ht="13" customHeight="1" x14ac:dyDescent="0.3">
      <c r="C50" s="193"/>
      <c r="D50" s="67"/>
      <c r="E50" s="196"/>
      <c r="F50" s="11"/>
      <c r="G50" s="49"/>
      <c r="H50" s="168"/>
      <c r="I50" s="107"/>
      <c r="J50" s="107"/>
      <c r="K50" s="107"/>
      <c r="L50" s="107"/>
      <c r="M50" s="107"/>
      <c r="N50" s="107"/>
      <c r="O50" s="107"/>
      <c r="P50" s="107"/>
      <c r="Q50" s="107"/>
      <c r="R50" s="107"/>
      <c r="S50" s="107"/>
      <c r="U50" s="262"/>
    </row>
    <row r="51" spans="1:79" ht="13" customHeight="1" x14ac:dyDescent="0.3">
      <c r="B51" s="31" t="str">
        <f>VLOOKUP(49,Textbausteine_Menu[],Hilfsgrössen!$D$2,FALSE)</f>
        <v>PostFinance</v>
      </c>
      <c r="C51" s="193"/>
      <c r="D51" s="67"/>
      <c r="E51" s="196"/>
      <c r="F51" s="11"/>
      <c r="G51" s="49"/>
      <c r="H51" s="168"/>
      <c r="I51" s="107"/>
      <c r="J51" s="107"/>
      <c r="K51" s="107"/>
      <c r="L51" s="107"/>
      <c r="M51" s="107"/>
      <c r="N51" s="107"/>
      <c r="O51" s="107"/>
      <c r="P51" s="107"/>
      <c r="Q51" s="107"/>
      <c r="R51" s="107"/>
      <c r="S51" s="107"/>
      <c r="U51" s="262"/>
    </row>
    <row r="52" spans="1:79" ht="13" customHeight="1" x14ac:dyDescent="0.3">
      <c r="C52" s="193" t="str">
        <f>VLOOKUP(47,Textbausteine_203[],Hilfsgrössen!$D$2,FALSE)</f>
        <v>Filiales PostFinance</v>
      </c>
      <c r="D52" s="67" t="str">
        <f>VLOOKUP(13,Textbausteine_203[],Hilfsgrössen!$D$2,FALSE)</f>
        <v>Nombre</v>
      </c>
      <c r="E52" s="196"/>
      <c r="F52" s="11" t="s">
        <v>210</v>
      </c>
      <c r="G52" s="49"/>
      <c r="H52" s="168" t="s">
        <v>1595</v>
      </c>
      <c r="I52" s="181" t="s">
        <v>1595</v>
      </c>
      <c r="J52" s="107">
        <v>28</v>
      </c>
      <c r="K52" s="107">
        <v>29</v>
      </c>
      <c r="L52" s="107">
        <v>32</v>
      </c>
      <c r="M52" s="107">
        <v>38</v>
      </c>
      <c r="N52" s="107">
        <v>40</v>
      </c>
      <c r="O52" s="107">
        <v>44</v>
      </c>
      <c r="P52" s="107">
        <v>45</v>
      </c>
      <c r="Q52" s="107">
        <v>45</v>
      </c>
      <c r="R52" s="107">
        <v>44</v>
      </c>
      <c r="S52" s="107">
        <v>43</v>
      </c>
      <c r="T52" s="20">
        <v>43</v>
      </c>
      <c r="U52" s="262">
        <v>39</v>
      </c>
      <c r="V52" s="11"/>
    </row>
    <row r="53" spans="1:79" ht="13" customHeight="1" x14ac:dyDescent="0.3">
      <c r="C53" s="194" t="str">
        <f>VLOOKUP(48,Textbausteine_203[],Hilfsgrössen!$D$2,FALSE)</f>
        <v>Postomat</v>
      </c>
      <c r="D53" s="67" t="str">
        <f>VLOOKUP(13,Textbausteine_203[],Hilfsgrössen!$D$2,FALSE)</f>
        <v>Nombre</v>
      </c>
      <c r="E53" s="196"/>
      <c r="F53" s="11" t="s">
        <v>210</v>
      </c>
      <c r="G53" s="49"/>
      <c r="H53" s="168" t="s">
        <v>1595</v>
      </c>
      <c r="I53" s="181" t="s">
        <v>1595</v>
      </c>
      <c r="J53" s="107">
        <v>732</v>
      </c>
      <c r="K53" s="107">
        <v>749</v>
      </c>
      <c r="L53" s="107">
        <v>774</v>
      </c>
      <c r="M53" s="107">
        <v>819</v>
      </c>
      <c r="N53" s="107">
        <v>858</v>
      </c>
      <c r="O53" s="107">
        <v>933</v>
      </c>
      <c r="P53" s="107">
        <v>971</v>
      </c>
      <c r="Q53" s="107">
        <v>982</v>
      </c>
      <c r="R53" s="107">
        <v>985</v>
      </c>
      <c r="S53" s="107">
        <v>995</v>
      </c>
      <c r="T53" s="20">
        <v>1004</v>
      </c>
      <c r="U53" s="262">
        <v>999</v>
      </c>
    </row>
    <row r="54" spans="1:79" ht="13" customHeight="1" x14ac:dyDescent="0.3">
      <c r="B54" s="21"/>
      <c r="E54" s="11"/>
      <c r="F54" s="11"/>
      <c r="G54" s="50"/>
      <c r="T54" s="107"/>
      <c r="U54" s="107"/>
    </row>
    <row r="55" spans="1:79" ht="13" customHeight="1" x14ac:dyDescent="0.3">
      <c r="B55" s="21" t="str">
        <f>VLOOKUP(205,Textbausteine_203[],Hilfsgrössen!$D$2,FALSE)</f>
        <v>1) Y compris les points clientèle commerciale de PostMail et de PostLogistics à compter de 2017</v>
      </c>
      <c r="E55" s="11"/>
      <c r="F55" s="11"/>
      <c r="G55" s="50"/>
      <c r="T55" s="107"/>
      <c r="U55" s="107"/>
    </row>
    <row r="56" spans="1:79" ht="13" customHeight="1" x14ac:dyDescent="0.3">
      <c r="E56" s="11"/>
      <c r="F56" s="11"/>
      <c r="G56" s="49"/>
      <c r="T56" s="107"/>
      <c r="U56" s="107"/>
    </row>
    <row r="57" spans="1:79" ht="13" customHeight="1" x14ac:dyDescent="0.3">
      <c r="E57" s="11"/>
      <c r="F57" s="11"/>
      <c r="G57" s="49"/>
      <c r="T57" s="107"/>
      <c r="U57" s="107"/>
    </row>
    <row r="58" spans="1:79" s="31" customFormat="1" ht="13" customHeight="1" x14ac:dyDescent="0.3">
      <c r="A58" s="56" t="s">
        <v>900</v>
      </c>
      <c r="B58" s="385" t="str">
        <f>$C$9</f>
        <v>Emplois dans les régions</v>
      </c>
      <c r="C58" s="385"/>
      <c r="D58" s="6" t="str">
        <f>VLOOKUP(32,Textbausteine_Menu[],Hilfsgrössen!$D$2,FALSE)</f>
        <v>Unité</v>
      </c>
      <c r="E58" s="39" t="str">
        <f>VLOOKUP(33,Textbausteine_Menu[],Hilfsgrössen!$D$2,FALSE)</f>
        <v>Notes</v>
      </c>
      <c r="F58" s="39" t="str">
        <f>VLOOKUP(34,Textbausteine_Menu[],Hilfsgrössen!$D$2,FALSE)</f>
        <v>GRI</v>
      </c>
      <c r="G58" s="53"/>
      <c r="H58" s="117">
        <v>2004</v>
      </c>
      <c r="I58" s="117">
        <v>2005</v>
      </c>
      <c r="J58" s="117">
        <v>2006</v>
      </c>
      <c r="K58" s="117">
        <v>2007</v>
      </c>
      <c r="L58" s="117">
        <v>2008</v>
      </c>
      <c r="M58" s="117">
        <v>2009</v>
      </c>
      <c r="N58" s="117">
        <v>2010</v>
      </c>
      <c r="O58" s="117">
        <v>2011</v>
      </c>
      <c r="P58" s="117">
        <v>2012</v>
      </c>
      <c r="Q58" s="117">
        <v>2013</v>
      </c>
      <c r="R58" s="117">
        <v>2014</v>
      </c>
      <c r="S58" s="117">
        <v>2015</v>
      </c>
      <c r="T58" s="117">
        <v>2016</v>
      </c>
      <c r="U58" s="261">
        <v>2017</v>
      </c>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row>
    <row r="59" spans="1:79" s="31" customFormat="1" ht="13" customHeight="1" x14ac:dyDescent="0.3">
      <c r="A59" s="55"/>
      <c r="B59" s="385"/>
      <c r="C59" s="385"/>
      <c r="D59" s="6"/>
      <c r="E59" s="37"/>
      <c r="F59" s="37"/>
      <c r="G59" s="47"/>
      <c r="H59" s="117"/>
      <c r="I59" s="117"/>
      <c r="J59" s="117"/>
      <c r="K59" s="117"/>
      <c r="L59" s="106"/>
      <c r="M59" s="106"/>
      <c r="N59" s="107"/>
      <c r="O59" s="107"/>
      <c r="P59" s="107"/>
      <c r="Q59" s="107"/>
      <c r="R59" s="107"/>
      <c r="S59" s="107"/>
      <c r="T59" s="20"/>
      <c r="U59" s="262"/>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row>
    <row r="60" spans="1:79" ht="13" customHeight="1" x14ac:dyDescent="0.3">
      <c r="A60" s="66"/>
      <c r="B60" s="8"/>
      <c r="C60" s="9"/>
      <c r="D60" s="9"/>
      <c r="E60" s="40"/>
      <c r="F60" s="40"/>
      <c r="H60" s="117"/>
      <c r="I60" s="117"/>
      <c r="J60" s="117"/>
      <c r="K60" s="117"/>
      <c r="L60" s="106"/>
      <c r="M60" s="106"/>
      <c r="N60" s="107"/>
      <c r="O60" s="107"/>
      <c r="P60" s="107"/>
      <c r="Q60" s="107"/>
      <c r="R60" s="107"/>
      <c r="S60" s="107"/>
      <c r="U60" s="262"/>
    </row>
    <row r="61" spans="1:79" ht="13" customHeight="1" x14ac:dyDescent="0.3">
      <c r="A61" s="66"/>
      <c r="B61" s="8" t="str">
        <f>VLOOKUP(37,Textbausteine_Menu[],Hilfsgrössen!$D$2,FALSE)</f>
        <v>Groupe Suisse</v>
      </c>
      <c r="C61" s="9"/>
      <c r="D61" s="9"/>
      <c r="E61" s="40"/>
      <c r="F61" s="40"/>
      <c r="H61" s="117"/>
      <c r="I61" s="117"/>
      <c r="J61" s="117"/>
      <c r="K61" s="117"/>
      <c r="L61" s="106"/>
      <c r="M61" s="106"/>
      <c r="N61" s="107"/>
      <c r="O61" s="107"/>
      <c r="P61" s="107"/>
      <c r="Q61" s="107"/>
      <c r="R61" s="107"/>
      <c r="S61" s="107"/>
      <c r="U61" s="262"/>
    </row>
    <row r="62" spans="1:79" ht="13" customHeight="1" x14ac:dyDescent="0.3">
      <c r="A62" s="66"/>
      <c r="B62" s="149"/>
      <c r="C62" s="8" t="str">
        <f>VLOOKUP(61,Textbausteine_203[],Hilfsgrössen!$D$2,FALSE)</f>
        <v>Emplois par canton</v>
      </c>
      <c r="D62" s="67"/>
      <c r="E62" s="40"/>
      <c r="F62" s="40"/>
      <c r="H62" s="107"/>
      <c r="I62" s="107"/>
      <c r="J62" s="107"/>
      <c r="K62" s="107"/>
      <c r="L62" s="107"/>
      <c r="M62" s="107"/>
      <c r="N62" s="107"/>
      <c r="O62" s="107"/>
      <c r="P62" s="107"/>
      <c r="Q62" s="107"/>
      <c r="R62" s="107"/>
      <c r="S62" s="107"/>
      <c r="U62" s="262"/>
    </row>
    <row r="63" spans="1:79" ht="13" customHeight="1" x14ac:dyDescent="0.3">
      <c r="C63" s="36" t="str">
        <f>VLOOKUP(89,Textbausteine_203[],Hilfsgrössen!$D$2,FALSE)</f>
        <v>Suisse</v>
      </c>
      <c r="D63" s="1" t="str">
        <f>VLOOKUP(15,Textbausteine_203[],Hilfsgrössen!$D$2,FALSE)</f>
        <v>Unités de personnel</v>
      </c>
      <c r="E63" s="37" t="s">
        <v>1703</v>
      </c>
      <c r="F63" s="11" t="s">
        <v>210</v>
      </c>
      <c r="H63" s="100">
        <v>41125</v>
      </c>
      <c r="I63" s="100">
        <v>39727</v>
      </c>
      <c r="J63" s="100">
        <v>38799</v>
      </c>
      <c r="K63" s="100">
        <v>37935</v>
      </c>
      <c r="L63" s="100">
        <v>37902</v>
      </c>
      <c r="M63" s="100">
        <v>37817</v>
      </c>
      <c r="N63" s="100">
        <v>37873</v>
      </c>
      <c r="O63" s="100">
        <v>37703</v>
      </c>
      <c r="P63" s="100">
        <v>37984</v>
      </c>
      <c r="Q63" s="100">
        <v>37326</v>
      </c>
      <c r="R63" s="100">
        <v>37054.487249999998</v>
      </c>
      <c r="S63" s="100">
        <v>36681</v>
      </c>
      <c r="T63" s="20">
        <v>36223</v>
      </c>
      <c r="U63" s="262">
        <v>35278</v>
      </c>
    </row>
    <row r="64" spans="1:79" ht="13" customHeight="1" x14ac:dyDescent="0.3">
      <c r="C64" s="144" t="str">
        <f>VLOOKUP(88,Textbausteine_203[],Hilfsgrössen!$D$2,FALSE)</f>
        <v>Zurich</v>
      </c>
      <c r="D64" s="1" t="str">
        <f>VLOOKUP(15,Textbausteine_203[],Hilfsgrössen!$D$2,FALSE)</f>
        <v>Unités de personnel</v>
      </c>
      <c r="E64" s="37" t="s">
        <v>1703</v>
      </c>
      <c r="F64" s="11" t="s">
        <v>210</v>
      </c>
      <c r="H64" s="100">
        <v>6784</v>
      </c>
      <c r="I64" s="100">
        <v>6451</v>
      </c>
      <c r="J64" s="100">
        <v>6310</v>
      </c>
      <c r="K64" s="100">
        <v>6016</v>
      </c>
      <c r="L64" s="100">
        <v>5938</v>
      </c>
      <c r="M64" s="100">
        <v>6084.2270000000008</v>
      </c>
      <c r="N64" s="100">
        <v>6331.5433466505292</v>
      </c>
      <c r="O64" s="100">
        <v>6248</v>
      </c>
      <c r="P64" s="100">
        <v>6351</v>
      </c>
      <c r="Q64" s="100">
        <v>6244.6764999999996</v>
      </c>
      <c r="R64" s="100">
        <v>6178.0165000000006</v>
      </c>
      <c r="S64" s="100">
        <v>6059</v>
      </c>
      <c r="T64" s="20">
        <v>6063</v>
      </c>
      <c r="U64" s="262">
        <v>5917</v>
      </c>
    </row>
    <row r="65" spans="3:22" ht="13" customHeight="1" x14ac:dyDescent="0.3">
      <c r="C65" s="221" t="str">
        <f>VLOOKUP(66,Textbausteine_203[],Hilfsgrössen!$D$2,FALSE)</f>
        <v>Berne</v>
      </c>
      <c r="D65" s="67" t="str">
        <f>VLOOKUP(15,Textbausteine_203[],Hilfsgrössen!$D$2,FALSE)</f>
        <v>Unités de personnel</v>
      </c>
      <c r="E65" s="13" t="s">
        <v>1703</v>
      </c>
      <c r="F65" s="11" t="s">
        <v>210</v>
      </c>
      <c r="G65" s="50"/>
      <c r="H65" s="100">
        <v>8405</v>
      </c>
      <c r="I65" s="100">
        <v>8277</v>
      </c>
      <c r="J65" s="100">
        <v>8240</v>
      </c>
      <c r="K65" s="100">
        <v>8349</v>
      </c>
      <c r="L65" s="100">
        <v>8269</v>
      </c>
      <c r="M65" s="100">
        <v>7938.2110000000002</v>
      </c>
      <c r="N65" s="100">
        <v>7973.0468378380756</v>
      </c>
      <c r="O65" s="100">
        <v>7929</v>
      </c>
      <c r="P65" s="100">
        <v>8080</v>
      </c>
      <c r="Q65" s="100">
        <v>7981.5377499999995</v>
      </c>
      <c r="R65" s="100">
        <v>7975.4466666666667</v>
      </c>
      <c r="S65" s="100">
        <v>8048</v>
      </c>
      <c r="T65" s="20">
        <v>8037</v>
      </c>
      <c r="U65" s="262">
        <v>7870</v>
      </c>
    </row>
    <row r="66" spans="3:22" ht="13" customHeight="1" x14ac:dyDescent="0.3">
      <c r="C66" s="144" t="str">
        <f>VLOOKUP(74,Textbausteine_203[],Hilfsgrössen!$D$2,FALSE)</f>
        <v>Lucerne</v>
      </c>
      <c r="D66" s="1" t="str">
        <f>VLOOKUP(15,Textbausteine_203[],Hilfsgrössen!$D$2,FALSE)</f>
        <v>Unités de personnel</v>
      </c>
      <c r="E66" s="11" t="s">
        <v>1703</v>
      </c>
      <c r="F66" s="11" t="s">
        <v>210</v>
      </c>
      <c r="G66" s="49"/>
      <c r="H66" s="100">
        <v>1832</v>
      </c>
      <c r="I66" s="100">
        <v>1759</v>
      </c>
      <c r="J66" s="100">
        <v>1753</v>
      </c>
      <c r="K66" s="100">
        <v>1738</v>
      </c>
      <c r="L66" s="100">
        <v>1647</v>
      </c>
      <c r="M66" s="100">
        <v>1531.7330000000002</v>
      </c>
      <c r="N66" s="100">
        <v>1696.4962445402036</v>
      </c>
      <c r="O66" s="100">
        <v>1672</v>
      </c>
      <c r="P66" s="100">
        <v>1656</v>
      </c>
      <c r="Q66" s="100">
        <v>1631.0616666666667</v>
      </c>
      <c r="R66" s="100">
        <v>1574.9935833333334</v>
      </c>
      <c r="S66" s="100">
        <v>1644</v>
      </c>
      <c r="T66" s="107">
        <v>1612</v>
      </c>
      <c r="U66" s="264">
        <v>1532</v>
      </c>
      <c r="V66" s="11"/>
    </row>
    <row r="67" spans="3:22" ht="13" customHeight="1" x14ac:dyDescent="0.3">
      <c r="C67" s="144" t="str">
        <f>VLOOKUP(84,Textbausteine_203[],Hilfsgrössen!$D$2,FALSE)</f>
        <v>Uri</v>
      </c>
      <c r="D67" s="1" t="str">
        <f>VLOOKUP(15,Textbausteine_203[],Hilfsgrössen!$D$2,FALSE)</f>
        <v>Unités de personnel</v>
      </c>
      <c r="E67" s="11" t="s">
        <v>1703</v>
      </c>
      <c r="F67" s="11" t="s">
        <v>210</v>
      </c>
      <c r="G67" s="51"/>
      <c r="H67" s="100">
        <v>103</v>
      </c>
      <c r="I67" s="100">
        <v>98</v>
      </c>
      <c r="J67" s="100">
        <v>99</v>
      </c>
      <c r="K67" s="100">
        <v>97</v>
      </c>
      <c r="L67" s="100">
        <v>95</v>
      </c>
      <c r="M67" s="100">
        <v>96.533999999999992</v>
      </c>
      <c r="N67" s="100">
        <v>92.973333333333343</v>
      </c>
      <c r="O67" s="100">
        <v>93</v>
      </c>
      <c r="P67" s="100">
        <v>91</v>
      </c>
      <c r="Q67" s="100">
        <v>86.510083333333327</v>
      </c>
      <c r="R67" s="100">
        <v>85.333749999999995</v>
      </c>
      <c r="S67" s="100">
        <v>83</v>
      </c>
      <c r="T67" s="20">
        <v>80</v>
      </c>
      <c r="U67" s="262">
        <v>76</v>
      </c>
      <c r="V67" s="11"/>
    </row>
    <row r="68" spans="3:22" ht="13" customHeight="1" x14ac:dyDescent="0.3">
      <c r="C68" s="144" t="str">
        <f>VLOOKUP(81,Textbausteine_203[],Hilfsgrössen!$D$2,FALSE)</f>
        <v>Schwyz</v>
      </c>
      <c r="D68" s="1" t="str">
        <f>VLOOKUP(15,Textbausteine_203[],Hilfsgrössen!$D$2,FALSE)</f>
        <v>Unités de personnel</v>
      </c>
      <c r="E68" s="11" t="s">
        <v>1703</v>
      </c>
      <c r="F68" s="11" t="s">
        <v>210</v>
      </c>
      <c r="G68" s="49"/>
      <c r="H68" s="100">
        <v>371</v>
      </c>
      <c r="I68" s="100">
        <v>365</v>
      </c>
      <c r="J68" s="100">
        <v>361</v>
      </c>
      <c r="K68" s="100">
        <v>345</v>
      </c>
      <c r="L68" s="100">
        <v>390</v>
      </c>
      <c r="M68" s="100">
        <v>386.738</v>
      </c>
      <c r="N68" s="100">
        <v>347.43000000000006</v>
      </c>
      <c r="O68" s="100">
        <v>346</v>
      </c>
      <c r="P68" s="100">
        <v>328</v>
      </c>
      <c r="Q68" s="100">
        <v>314.661</v>
      </c>
      <c r="R68" s="100">
        <v>305.14208333333335</v>
      </c>
      <c r="S68" s="100">
        <v>292</v>
      </c>
      <c r="T68" s="107">
        <v>286</v>
      </c>
      <c r="U68" s="264">
        <v>278</v>
      </c>
      <c r="V68" s="11"/>
    </row>
    <row r="69" spans="3:22" ht="13" customHeight="1" x14ac:dyDescent="0.3">
      <c r="C69" s="144" t="str">
        <f>VLOOKUP(77,Textbausteine_203[],Hilfsgrössen!$D$2,FALSE)</f>
        <v>Obwald</v>
      </c>
      <c r="D69" s="1" t="str">
        <f>VLOOKUP(15,Textbausteine_203[],Hilfsgrössen!$D$2,FALSE)</f>
        <v>Unités de personnel</v>
      </c>
      <c r="E69" s="13" t="s">
        <v>1703</v>
      </c>
      <c r="F69" s="11" t="s">
        <v>210</v>
      </c>
      <c r="G69" s="49"/>
      <c r="H69" s="100">
        <v>91</v>
      </c>
      <c r="I69" s="100">
        <v>86</v>
      </c>
      <c r="J69" s="100">
        <v>86</v>
      </c>
      <c r="K69" s="100">
        <v>86</v>
      </c>
      <c r="L69" s="100">
        <v>87</v>
      </c>
      <c r="M69" s="100">
        <v>89.718000000000004</v>
      </c>
      <c r="N69" s="100">
        <v>84.689166666666679</v>
      </c>
      <c r="O69" s="100">
        <v>85</v>
      </c>
      <c r="P69" s="100">
        <v>79</v>
      </c>
      <c r="Q69" s="100">
        <v>79.333749999999995</v>
      </c>
      <c r="R69" s="100">
        <v>76.456583333333327</v>
      </c>
      <c r="S69" s="100">
        <v>76</v>
      </c>
      <c r="T69" s="107">
        <v>70</v>
      </c>
      <c r="U69" s="264">
        <v>67</v>
      </c>
      <c r="V69" s="11"/>
    </row>
    <row r="70" spans="3:22" ht="13" customHeight="1" x14ac:dyDescent="0.3">
      <c r="C70" s="144" t="str">
        <f>VLOOKUP(76,Textbausteine_203[],Hilfsgrössen!$D$2,FALSE)</f>
        <v>Nidwald</v>
      </c>
      <c r="D70" s="1" t="str">
        <f>VLOOKUP(15,Textbausteine_203[],Hilfsgrössen!$D$2,FALSE)</f>
        <v>Unités de personnel</v>
      </c>
      <c r="E70" s="13" t="s">
        <v>1703</v>
      </c>
      <c r="F70" s="11" t="s">
        <v>210</v>
      </c>
      <c r="G70" s="49"/>
      <c r="H70" s="100">
        <v>110</v>
      </c>
      <c r="I70" s="100">
        <v>108</v>
      </c>
      <c r="J70" s="100">
        <v>112</v>
      </c>
      <c r="K70" s="100">
        <v>110</v>
      </c>
      <c r="L70" s="100">
        <v>110</v>
      </c>
      <c r="M70" s="100">
        <v>109.753</v>
      </c>
      <c r="N70" s="100">
        <v>100.94333333333333</v>
      </c>
      <c r="O70" s="100">
        <v>97</v>
      </c>
      <c r="P70" s="100">
        <v>84</v>
      </c>
      <c r="Q70" s="100">
        <v>81.878500000000003</v>
      </c>
      <c r="R70" s="100">
        <v>82.684583333333336</v>
      </c>
      <c r="S70" s="100">
        <v>79</v>
      </c>
      <c r="T70" s="107">
        <v>75</v>
      </c>
      <c r="U70" s="264">
        <v>71</v>
      </c>
      <c r="V70" s="11"/>
    </row>
    <row r="71" spans="3:22" ht="13" customHeight="1" x14ac:dyDescent="0.3">
      <c r="C71" s="144" t="str">
        <f>VLOOKUP(71,Textbausteine_203[],Hilfsgrössen!$D$2,FALSE)</f>
        <v>Glaris</v>
      </c>
      <c r="D71" s="1" t="str">
        <f>VLOOKUP(15,Textbausteine_203[],Hilfsgrössen!$D$2,FALSE)</f>
        <v>Unités de personnel</v>
      </c>
      <c r="E71" s="11" t="s">
        <v>1703</v>
      </c>
      <c r="F71" s="11" t="s">
        <v>210</v>
      </c>
      <c r="G71" s="49"/>
      <c r="H71" s="100">
        <v>259</v>
      </c>
      <c r="I71" s="100">
        <v>269</v>
      </c>
      <c r="J71" s="100">
        <v>256</v>
      </c>
      <c r="K71" s="100">
        <v>246</v>
      </c>
      <c r="L71" s="100">
        <v>261</v>
      </c>
      <c r="M71" s="100">
        <v>270.69299999999998</v>
      </c>
      <c r="N71" s="100">
        <v>269.86</v>
      </c>
      <c r="O71" s="100">
        <v>268</v>
      </c>
      <c r="P71" s="100">
        <v>260</v>
      </c>
      <c r="Q71" s="100">
        <v>249.26050000000001</v>
      </c>
      <c r="R71" s="100">
        <v>239.46583333333334</v>
      </c>
      <c r="S71" s="100">
        <v>241</v>
      </c>
      <c r="T71" s="107">
        <v>239</v>
      </c>
      <c r="U71" s="264">
        <v>228</v>
      </c>
      <c r="V71" s="11"/>
    </row>
    <row r="72" spans="3:22" ht="13" customHeight="1" x14ac:dyDescent="0.3">
      <c r="C72" s="144" t="str">
        <f>VLOOKUP(87,Textbausteine_203[],Hilfsgrössen!$D$2,FALSE)</f>
        <v>Zoug</v>
      </c>
      <c r="D72" s="1" t="str">
        <f>VLOOKUP(15,Textbausteine_203[],Hilfsgrössen!$D$2,FALSE)</f>
        <v>Unités de personnel</v>
      </c>
      <c r="E72" s="11" t="s">
        <v>1703</v>
      </c>
      <c r="F72" s="11" t="s">
        <v>210</v>
      </c>
      <c r="G72" s="53"/>
      <c r="H72" s="100">
        <v>393</v>
      </c>
      <c r="I72" s="100">
        <v>378</v>
      </c>
      <c r="J72" s="100">
        <v>375</v>
      </c>
      <c r="K72" s="100">
        <v>367</v>
      </c>
      <c r="L72" s="100">
        <v>343</v>
      </c>
      <c r="M72" s="100">
        <v>351.76799999999997</v>
      </c>
      <c r="N72" s="100">
        <v>328.64416666666665</v>
      </c>
      <c r="O72" s="100">
        <v>327</v>
      </c>
      <c r="P72" s="100">
        <v>387</v>
      </c>
      <c r="Q72" s="100">
        <v>384.39941666666664</v>
      </c>
      <c r="R72" s="100">
        <v>367.84800000000001</v>
      </c>
      <c r="S72" s="100">
        <v>358</v>
      </c>
      <c r="T72" s="20">
        <v>344</v>
      </c>
      <c r="U72" s="262">
        <v>328</v>
      </c>
      <c r="V72" s="11"/>
    </row>
    <row r="73" spans="3:22" ht="13" customHeight="1" x14ac:dyDescent="0.3">
      <c r="C73" s="233" t="str">
        <f>VLOOKUP(69,Textbausteine_203[],Hilfsgrössen!$D$2,FALSE)</f>
        <v>Fribourg</v>
      </c>
      <c r="D73" s="195" t="str">
        <f>VLOOKUP(15,Textbausteine_203[],Hilfsgrössen!$D$2,FALSE)</f>
        <v>Unités de personnel</v>
      </c>
      <c r="E73" s="197" t="s">
        <v>1703</v>
      </c>
      <c r="F73" s="11" t="s">
        <v>210</v>
      </c>
      <c r="G73" s="49"/>
      <c r="H73" s="100">
        <v>1150</v>
      </c>
      <c r="I73" s="100">
        <v>1187</v>
      </c>
      <c r="J73" s="100">
        <v>1164</v>
      </c>
      <c r="K73" s="100">
        <v>1136</v>
      </c>
      <c r="L73" s="100">
        <v>1117</v>
      </c>
      <c r="M73" s="100">
        <v>1092.145</v>
      </c>
      <c r="N73" s="100">
        <v>1078.5083333333332</v>
      </c>
      <c r="O73" s="100">
        <v>1083</v>
      </c>
      <c r="P73" s="100">
        <v>1096</v>
      </c>
      <c r="Q73" s="100">
        <v>1116.1558333333332</v>
      </c>
      <c r="R73" s="100">
        <v>1138.31925</v>
      </c>
      <c r="S73" s="100">
        <v>1132</v>
      </c>
      <c r="T73" s="20">
        <v>1098</v>
      </c>
      <c r="U73" s="262">
        <v>1054</v>
      </c>
      <c r="V73" s="11"/>
    </row>
    <row r="74" spans="3:22" ht="13" customHeight="1" x14ac:dyDescent="0.3">
      <c r="C74" s="144" t="str">
        <f>VLOOKUP(80,Textbausteine_203[],Hilfsgrössen!$D$2,FALSE)</f>
        <v>Soleure</v>
      </c>
      <c r="D74" s="1" t="str">
        <f>VLOOKUP(15,Textbausteine_203[],Hilfsgrössen!$D$2,FALSE)</f>
        <v>Unités de personnel</v>
      </c>
      <c r="E74" s="11" t="s">
        <v>1703</v>
      </c>
      <c r="F74" s="11" t="s">
        <v>210</v>
      </c>
      <c r="G74" s="49"/>
      <c r="H74" s="100">
        <v>1512</v>
      </c>
      <c r="I74" s="100">
        <v>1374</v>
      </c>
      <c r="J74" s="100">
        <v>1310</v>
      </c>
      <c r="K74" s="100">
        <v>1334</v>
      </c>
      <c r="L74" s="100">
        <v>1539</v>
      </c>
      <c r="M74" s="100">
        <v>2059.9280000000003</v>
      </c>
      <c r="N74" s="100">
        <v>2099.9425000000001</v>
      </c>
      <c r="O74" s="100">
        <v>2134</v>
      </c>
      <c r="P74" s="100">
        <v>2228</v>
      </c>
      <c r="Q74" s="100">
        <v>2162.4022500000001</v>
      </c>
      <c r="R74" s="100">
        <v>2154.30375</v>
      </c>
      <c r="S74" s="100">
        <v>2176</v>
      </c>
      <c r="T74" s="107">
        <v>2136</v>
      </c>
      <c r="U74" s="264">
        <v>2169</v>
      </c>
      <c r="V74" s="11"/>
    </row>
    <row r="75" spans="3:22" ht="13" customHeight="1" x14ac:dyDescent="0.3">
      <c r="C75" s="220" t="str">
        <f>VLOOKUP(68,Textbausteine_203[],Hilfsgrössen!$D$2,FALSE)</f>
        <v>Bâle-Ville</v>
      </c>
      <c r="D75" s="67" t="str">
        <f>VLOOKUP(15,Textbausteine_203[],Hilfsgrössen!$D$2,FALSE)</f>
        <v>Unités de personnel</v>
      </c>
      <c r="E75" s="13" t="s">
        <v>1703</v>
      </c>
      <c r="F75" s="11" t="s">
        <v>210</v>
      </c>
      <c r="G75" s="49"/>
      <c r="H75" s="100">
        <v>1692</v>
      </c>
      <c r="I75" s="100">
        <v>1573</v>
      </c>
      <c r="J75" s="100">
        <v>1527</v>
      </c>
      <c r="K75" s="100">
        <v>1495</v>
      </c>
      <c r="L75" s="100">
        <v>1426</v>
      </c>
      <c r="M75" s="100">
        <v>1264.5559999999998</v>
      </c>
      <c r="N75" s="100">
        <v>1287.9200056752909</v>
      </c>
      <c r="O75" s="100">
        <v>1198</v>
      </c>
      <c r="P75" s="100">
        <v>1501</v>
      </c>
      <c r="Q75" s="100">
        <v>1511.6490833333332</v>
      </c>
      <c r="R75" s="100">
        <v>1551.9482500000001</v>
      </c>
      <c r="S75" s="100">
        <v>1404</v>
      </c>
      <c r="T75" s="20">
        <v>1408</v>
      </c>
      <c r="U75" s="262">
        <v>1340</v>
      </c>
      <c r="V75" s="11"/>
    </row>
    <row r="76" spans="3:22" ht="13" customHeight="1" x14ac:dyDescent="0.3">
      <c r="C76" s="221" t="str">
        <f>VLOOKUP(67,Textbausteine_203[],Hilfsgrössen!$D$2,FALSE)</f>
        <v>Bâle-Campagne</v>
      </c>
      <c r="D76" s="67" t="str">
        <f>VLOOKUP(15,Textbausteine_203[],Hilfsgrössen!$D$2,FALSE)</f>
        <v>Unités de personnel</v>
      </c>
      <c r="E76" s="13" t="s">
        <v>1703</v>
      </c>
      <c r="F76" s="11" t="s">
        <v>210</v>
      </c>
      <c r="G76" s="49"/>
      <c r="H76" s="100">
        <v>1116</v>
      </c>
      <c r="I76" s="100">
        <v>1013</v>
      </c>
      <c r="J76" s="100">
        <v>972</v>
      </c>
      <c r="K76" s="100">
        <v>983</v>
      </c>
      <c r="L76" s="100">
        <v>1054</v>
      </c>
      <c r="M76" s="100">
        <v>1100.6089999999999</v>
      </c>
      <c r="N76" s="100">
        <v>954.14249999999993</v>
      </c>
      <c r="O76" s="100">
        <v>931</v>
      </c>
      <c r="P76" s="100">
        <v>906</v>
      </c>
      <c r="Q76" s="100">
        <v>874.64083333333338</v>
      </c>
      <c r="R76" s="100">
        <v>813.07783333333339</v>
      </c>
      <c r="S76" s="100">
        <v>784</v>
      </c>
      <c r="T76" s="20">
        <v>756</v>
      </c>
      <c r="U76" s="262">
        <v>732</v>
      </c>
      <c r="V76" s="11"/>
    </row>
    <row r="77" spans="3:22" ht="13" customHeight="1" x14ac:dyDescent="0.3">
      <c r="C77" s="144" t="str">
        <f>VLOOKUP(79,Textbausteine_203[],Hilfsgrössen!$D$2,FALSE)</f>
        <v>Schaffhouse</v>
      </c>
      <c r="D77" s="1" t="str">
        <f>VLOOKUP(15,Textbausteine_203[],Hilfsgrössen!$D$2,FALSE)</f>
        <v>Unités de personnel</v>
      </c>
      <c r="E77" s="11" t="s">
        <v>1703</v>
      </c>
      <c r="F77" s="11" t="s">
        <v>210</v>
      </c>
      <c r="G77" s="49"/>
      <c r="H77" s="100">
        <v>250</v>
      </c>
      <c r="I77" s="100">
        <v>263</v>
      </c>
      <c r="J77" s="100">
        <v>272</v>
      </c>
      <c r="K77" s="100">
        <v>257</v>
      </c>
      <c r="L77" s="100">
        <v>258</v>
      </c>
      <c r="M77" s="100">
        <v>270.46499999999997</v>
      </c>
      <c r="N77" s="100">
        <v>274.57583333333332</v>
      </c>
      <c r="O77" s="100">
        <v>300</v>
      </c>
      <c r="P77" s="100">
        <v>298</v>
      </c>
      <c r="Q77" s="100">
        <v>301.18891666666667</v>
      </c>
      <c r="R77" s="100">
        <v>293.68608333333333</v>
      </c>
      <c r="S77" s="100">
        <v>307</v>
      </c>
      <c r="T77" s="107">
        <v>280</v>
      </c>
      <c r="U77" s="264">
        <v>288</v>
      </c>
      <c r="V77" s="11"/>
    </row>
    <row r="78" spans="3:22" ht="13" customHeight="1" x14ac:dyDescent="0.3">
      <c r="C78" s="220" t="str">
        <f>VLOOKUP(65,Textbausteine_203[],Hilfsgrössen!$D$2,FALSE)</f>
        <v>Appenzell Rhodes-Extérieures</v>
      </c>
      <c r="D78" s="67" t="str">
        <f>VLOOKUP(15,Textbausteine_203[],Hilfsgrössen!$D$2,FALSE)</f>
        <v>Unités de personnel</v>
      </c>
      <c r="E78" s="13" t="s">
        <v>1703</v>
      </c>
      <c r="F78" s="11" t="s">
        <v>210</v>
      </c>
      <c r="G78" s="50"/>
      <c r="H78" s="100">
        <v>200</v>
      </c>
      <c r="I78" s="100">
        <v>192</v>
      </c>
      <c r="J78" s="100">
        <v>186</v>
      </c>
      <c r="K78" s="100">
        <v>174</v>
      </c>
      <c r="L78" s="100">
        <v>170</v>
      </c>
      <c r="M78" s="100">
        <v>169.29000000000002</v>
      </c>
      <c r="N78" s="100">
        <v>147.40916666666666</v>
      </c>
      <c r="O78" s="100">
        <v>142</v>
      </c>
      <c r="P78" s="100">
        <v>137</v>
      </c>
      <c r="Q78" s="100">
        <v>132.54058333333333</v>
      </c>
      <c r="R78" s="100">
        <v>129.78966666666668</v>
      </c>
      <c r="S78" s="100">
        <v>124</v>
      </c>
      <c r="T78" s="20">
        <v>121</v>
      </c>
      <c r="U78" s="262">
        <v>119</v>
      </c>
      <c r="V78" s="11"/>
    </row>
    <row r="79" spans="3:22" ht="13" customHeight="1" x14ac:dyDescent="0.3">
      <c r="C79" s="220" t="str">
        <f>VLOOKUP(64,Textbausteine_203[],Hilfsgrössen!$D$2,FALSE)</f>
        <v>Appenzell Rhodes-Intérieures</v>
      </c>
      <c r="D79" s="67" t="str">
        <f>VLOOKUP(15,Textbausteine_203[],Hilfsgrössen!$D$2,FALSE)</f>
        <v>Unités de personnel</v>
      </c>
      <c r="E79" s="13" t="s">
        <v>1703</v>
      </c>
      <c r="F79" s="11" t="s">
        <v>210</v>
      </c>
      <c r="G79" s="49"/>
      <c r="H79" s="100">
        <v>39</v>
      </c>
      <c r="I79" s="100">
        <v>40</v>
      </c>
      <c r="J79" s="100">
        <v>41</v>
      </c>
      <c r="K79" s="100">
        <v>40</v>
      </c>
      <c r="L79" s="100">
        <v>40</v>
      </c>
      <c r="M79" s="100">
        <v>41.997999999999998</v>
      </c>
      <c r="N79" s="100">
        <v>39.446666666666673</v>
      </c>
      <c r="O79" s="100">
        <v>39</v>
      </c>
      <c r="P79" s="100">
        <v>37</v>
      </c>
      <c r="Q79" s="100">
        <v>39.22291666666667</v>
      </c>
      <c r="R79" s="100">
        <v>40.095416666666665</v>
      </c>
      <c r="S79" s="100">
        <v>37</v>
      </c>
      <c r="T79" s="20">
        <v>40</v>
      </c>
      <c r="U79" s="262">
        <v>39</v>
      </c>
      <c r="V79" s="11"/>
    </row>
    <row r="80" spans="3:22" ht="13" customHeight="1" x14ac:dyDescent="0.3">
      <c r="C80" s="144" t="str">
        <f>VLOOKUP(78,Textbausteine_203[],Hilfsgrössen!$D$2,FALSE)</f>
        <v>Saint-Gall</v>
      </c>
      <c r="D80" s="1" t="str">
        <f>VLOOKUP(15,Textbausteine_203[],Hilfsgrössen!$D$2,FALSE)</f>
        <v>Unités de personnel</v>
      </c>
      <c r="E80" s="13" t="s">
        <v>1703</v>
      </c>
      <c r="F80" s="11" t="s">
        <v>210</v>
      </c>
      <c r="G80" s="49"/>
      <c r="H80" s="100">
        <v>2001</v>
      </c>
      <c r="I80" s="100">
        <v>1922</v>
      </c>
      <c r="J80" s="100">
        <v>1901</v>
      </c>
      <c r="K80" s="100">
        <v>1854</v>
      </c>
      <c r="L80" s="100">
        <v>1803</v>
      </c>
      <c r="M80" s="100">
        <v>1818.3240000000001</v>
      </c>
      <c r="N80" s="100">
        <v>1912.5952319625715</v>
      </c>
      <c r="O80" s="100">
        <v>1945</v>
      </c>
      <c r="P80" s="100">
        <v>1929</v>
      </c>
      <c r="Q80" s="100">
        <v>1947.7953333333332</v>
      </c>
      <c r="R80" s="100">
        <v>2056.2443333333331</v>
      </c>
      <c r="S80" s="100">
        <v>2026</v>
      </c>
      <c r="T80" s="107">
        <v>1976</v>
      </c>
      <c r="U80" s="264">
        <v>1803</v>
      </c>
      <c r="V80" s="11"/>
    </row>
    <row r="81" spans="2:22" ht="13" customHeight="1" x14ac:dyDescent="0.3">
      <c r="C81" s="144" t="str">
        <f>VLOOKUP(72,Textbausteine_203[],Hilfsgrössen!$D$2,FALSE)</f>
        <v>Grisons</v>
      </c>
      <c r="D81" s="1" t="str">
        <f>VLOOKUP(15,Textbausteine_203[],Hilfsgrössen!$D$2,FALSE)</f>
        <v>Unités de personnel</v>
      </c>
      <c r="E81" s="11" t="s">
        <v>1703</v>
      </c>
      <c r="F81" s="11" t="s">
        <v>210</v>
      </c>
      <c r="G81" s="49"/>
      <c r="H81" s="100">
        <v>1120</v>
      </c>
      <c r="I81" s="100">
        <v>1053</v>
      </c>
      <c r="J81" s="100">
        <v>1005</v>
      </c>
      <c r="K81" s="100">
        <v>966</v>
      </c>
      <c r="L81" s="100">
        <v>946</v>
      </c>
      <c r="M81" s="100">
        <v>944.60699999999997</v>
      </c>
      <c r="N81" s="100">
        <v>934.55416666666645</v>
      </c>
      <c r="O81" s="100">
        <v>930</v>
      </c>
      <c r="P81" s="100">
        <v>911</v>
      </c>
      <c r="Q81" s="100">
        <v>899.74924999999996</v>
      </c>
      <c r="R81" s="100">
        <v>920.70725000000004</v>
      </c>
      <c r="S81" s="100">
        <v>901</v>
      </c>
      <c r="T81" s="107">
        <v>875</v>
      </c>
      <c r="U81" s="264">
        <v>861</v>
      </c>
      <c r="V81" s="11"/>
    </row>
    <row r="82" spans="2:22" ht="13" customHeight="1" x14ac:dyDescent="0.3">
      <c r="C82" s="312" t="str">
        <f>VLOOKUP(63,Textbausteine_203[],Hilfsgrössen!$D$2,FALSE)</f>
        <v>Argovie</v>
      </c>
      <c r="D82" s="67" t="str">
        <f>VLOOKUP(15,Textbausteine_203[],Hilfsgrössen!$D$2,FALSE)</f>
        <v>Unités de personnel</v>
      </c>
      <c r="E82" s="13" t="s">
        <v>1703</v>
      </c>
      <c r="F82" s="11" t="s">
        <v>210</v>
      </c>
      <c r="G82" s="49"/>
      <c r="H82" s="100">
        <v>2575</v>
      </c>
      <c r="I82" s="100">
        <v>2546</v>
      </c>
      <c r="J82" s="100">
        <v>2452</v>
      </c>
      <c r="K82" s="100">
        <v>2354</v>
      </c>
      <c r="L82" s="100">
        <v>2570</v>
      </c>
      <c r="M82" s="100">
        <v>2557.2199999999998</v>
      </c>
      <c r="N82" s="100">
        <v>2505.5350000000003</v>
      </c>
      <c r="O82" s="100">
        <v>2504</v>
      </c>
      <c r="P82" s="100">
        <v>2406</v>
      </c>
      <c r="Q82" s="100">
        <v>2228.5073333333335</v>
      </c>
      <c r="R82" s="100">
        <v>2103.5278333333335</v>
      </c>
      <c r="S82" s="100">
        <v>2008</v>
      </c>
      <c r="T82" s="20">
        <v>1983</v>
      </c>
      <c r="U82" s="262">
        <v>1904</v>
      </c>
      <c r="V82" s="11"/>
    </row>
    <row r="83" spans="2:22" ht="13" customHeight="1" x14ac:dyDescent="0.3">
      <c r="C83" s="144" t="str">
        <f>VLOOKUP(82,Textbausteine_203[],Hilfsgrössen!$D$2,FALSE)</f>
        <v>Thurgovie</v>
      </c>
      <c r="D83" s="1" t="str">
        <f>VLOOKUP(15,Textbausteine_203[],Hilfsgrössen!$D$2,FALSE)</f>
        <v>Unités de personnel</v>
      </c>
      <c r="E83" s="11" t="s">
        <v>1703</v>
      </c>
      <c r="F83" s="11" t="s">
        <v>210</v>
      </c>
      <c r="G83" s="51"/>
      <c r="H83" s="100">
        <v>1103</v>
      </c>
      <c r="I83" s="100">
        <v>1051</v>
      </c>
      <c r="J83" s="100">
        <v>1028</v>
      </c>
      <c r="K83" s="100">
        <v>1017</v>
      </c>
      <c r="L83" s="100">
        <v>1054</v>
      </c>
      <c r="M83" s="100">
        <v>1053.6889999999999</v>
      </c>
      <c r="N83" s="100">
        <v>998.76166666666666</v>
      </c>
      <c r="O83" s="100">
        <v>1014</v>
      </c>
      <c r="P83" s="100">
        <v>1018</v>
      </c>
      <c r="Q83" s="100">
        <v>1028.6684166666666</v>
      </c>
      <c r="R83" s="100">
        <v>995.8000833333333</v>
      </c>
      <c r="S83" s="100">
        <v>993</v>
      </c>
      <c r="T83" s="107">
        <v>973</v>
      </c>
      <c r="U83" s="264">
        <v>1078</v>
      </c>
    </row>
    <row r="84" spans="2:22" ht="13" customHeight="1" x14ac:dyDescent="0.3">
      <c r="C84" s="144" t="str">
        <f>VLOOKUP(83,Textbausteine_203[],Hilfsgrössen!$D$2,FALSE)</f>
        <v>Tessin</v>
      </c>
      <c r="D84" s="1" t="str">
        <f>VLOOKUP(15,Textbausteine_203[],Hilfsgrössen!$D$2,FALSE)</f>
        <v>Unités de personnel</v>
      </c>
      <c r="E84" s="11" t="s">
        <v>1703</v>
      </c>
      <c r="F84" s="11" t="s">
        <v>210</v>
      </c>
      <c r="G84" s="51"/>
      <c r="H84" s="100">
        <v>1845</v>
      </c>
      <c r="I84" s="100">
        <v>1768</v>
      </c>
      <c r="J84" s="100">
        <v>1703</v>
      </c>
      <c r="K84" s="100">
        <v>1640</v>
      </c>
      <c r="L84" s="100">
        <v>1603</v>
      </c>
      <c r="M84" s="100">
        <v>1572.279</v>
      </c>
      <c r="N84" s="100">
        <v>1560.2808333333335</v>
      </c>
      <c r="O84" s="100">
        <v>1545</v>
      </c>
      <c r="P84" s="100">
        <v>1575</v>
      </c>
      <c r="Q84" s="100">
        <v>1547.4628333333333</v>
      </c>
      <c r="R84" s="100">
        <v>1523.1366666666665</v>
      </c>
      <c r="S84" s="100">
        <v>1512</v>
      </c>
      <c r="T84" s="107">
        <v>1482</v>
      </c>
      <c r="U84" s="264">
        <v>1443</v>
      </c>
    </row>
    <row r="85" spans="2:22" ht="13" customHeight="1" x14ac:dyDescent="0.3">
      <c r="C85" s="144" t="str">
        <f>VLOOKUP(85,Textbausteine_203[],Hilfsgrössen!$D$2,FALSE)</f>
        <v>Vaud</v>
      </c>
      <c r="D85" s="1" t="str">
        <f>VLOOKUP(15,Textbausteine_203[],Hilfsgrössen!$D$2,FALSE)</f>
        <v>Unités de personnel</v>
      </c>
      <c r="E85" s="11" t="s">
        <v>1703</v>
      </c>
      <c r="F85" s="11" t="s">
        <v>210</v>
      </c>
      <c r="G85" s="52"/>
      <c r="H85" s="100">
        <v>3764</v>
      </c>
      <c r="I85" s="100">
        <v>3637</v>
      </c>
      <c r="J85" s="100">
        <v>3477</v>
      </c>
      <c r="K85" s="100">
        <v>3348</v>
      </c>
      <c r="L85" s="100">
        <v>3367</v>
      </c>
      <c r="M85" s="100">
        <v>3392.8409999999999</v>
      </c>
      <c r="N85" s="100">
        <v>3303.060833333333</v>
      </c>
      <c r="O85" s="100">
        <v>3316</v>
      </c>
      <c r="P85" s="100">
        <v>3177</v>
      </c>
      <c r="Q85" s="100">
        <v>3084.159916666667</v>
      </c>
      <c r="R85" s="100">
        <v>3059.771666666667</v>
      </c>
      <c r="S85" s="100">
        <v>3038</v>
      </c>
      <c r="T85" s="20">
        <v>2982</v>
      </c>
      <c r="U85" s="262">
        <v>2890</v>
      </c>
    </row>
    <row r="86" spans="2:22" ht="13" customHeight="1" x14ac:dyDescent="0.3">
      <c r="C86" s="144" t="str">
        <f>VLOOKUP(86,Textbausteine_203[],Hilfsgrössen!$D$2,FALSE)</f>
        <v>Valais</v>
      </c>
      <c r="D86" s="1" t="str">
        <f>VLOOKUP(15,Textbausteine_203[],Hilfsgrössen!$D$2,FALSE)</f>
        <v>Unités de personnel</v>
      </c>
      <c r="E86" s="11" t="s">
        <v>1703</v>
      </c>
      <c r="F86" s="11" t="s">
        <v>210</v>
      </c>
      <c r="G86" s="52"/>
      <c r="H86" s="100">
        <v>1142</v>
      </c>
      <c r="I86" s="100">
        <v>1109</v>
      </c>
      <c r="J86" s="100">
        <v>1074</v>
      </c>
      <c r="K86" s="100">
        <v>1038</v>
      </c>
      <c r="L86" s="100">
        <v>1047</v>
      </c>
      <c r="M86" s="100">
        <v>1047.3909999999998</v>
      </c>
      <c r="N86" s="100">
        <v>1042.2274999999997</v>
      </c>
      <c r="O86" s="100">
        <v>1059</v>
      </c>
      <c r="P86" s="100">
        <v>1062</v>
      </c>
      <c r="Q86" s="100">
        <v>1062.9904166666668</v>
      </c>
      <c r="R86" s="100">
        <v>1086.8663333333334</v>
      </c>
      <c r="S86" s="100">
        <v>1082</v>
      </c>
      <c r="T86" s="20">
        <v>1071</v>
      </c>
      <c r="U86" s="262">
        <v>1057</v>
      </c>
    </row>
    <row r="87" spans="2:22" ht="13" customHeight="1" x14ac:dyDescent="0.3">
      <c r="C87" s="144" t="str">
        <f>VLOOKUP(75,Textbausteine_203[],Hilfsgrössen!$D$2,FALSE)</f>
        <v>Neuchâtel</v>
      </c>
      <c r="D87" s="1" t="str">
        <f>VLOOKUP(15,Textbausteine_203[],Hilfsgrössen!$D$2,FALSE)</f>
        <v>Unités de personnel</v>
      </c>
      <c r="E87" s="11" t="s">
        <v>1703</v>
      </c>
      <c r="F87" s="11" t="s">
        <v>210</v>
      </c>
      <c r="G87" s="49"/>
      <c r="H87" s="100">
        <v>743</v>
      </c>
      <c r="I87" s="100">
        <v>709</v>
      </c>
      <c r="J87" s="100">
        <v>680</v>
      </c>
      <c r="K87" s="100">
        <v>655</v>
      </c>
      <c r="L87" s="100">
        <v>645</v>
      </c>
      <c r="M87" s="100">
        <v>644.33799999999997</v>
      </c>
      <c r="N87" s="100">
        <v>632.70416666666654</v>
      </c>
      <c r="O87" s="100">
        <v>626</v>
      </c>
      <c r="P87" s="100">
        <v>597</v>
      </c>
      <c r="Q87" s="100">
        <v>590.3054166666667</v>
      </c>
      <c r="R87" s="100">
        <v>580.35141666666664</v>
      </c>
      <c r="S87" s="100">
        <v>567</v>
      </c>
      <c r="T87" s="107">
        <v>546</v>
      </c>
      <c r="U87" s="264">
        <v>519</v>
      </c>
    </row>
    <row r="88" spans="2:22" ht="13" customHeight="1" x14ac:dyDescent="0.3">
      <c r="C88" s="144" t="str">
        <f>VLOOKUP(70,Textbausteine_203[],Hilfsgrössen!$D$2,FALSE)</f>
        <v>Genève</v>
      </c>
      <c r="D88" s="1" t="str">
        <f>VLOOKUP(15,Textbausteine_203[],Hilfsgrössen!$D$2,FALSE)</f>
        <v>Unités de personnel</v>
      </c>
      <c r="E88" s="11" t="s">
        <v>1703</v>
      </c>
      <c r="F88" s="11" t="s">
        <v>210</v>
      </c>
      <c r="G88" s="49"/>
      <c r="H88" s="100">
        <v>2187</v>
      </c>
      <c r="I88" s="100">
        <v>2169</v>
      </c>
      <c r="J88" s="100">
        <v>2097</v>
      </c>
      <c r="K88" s="100">
        <v>1979</v>
      </c>
      <c r="L88" s="100">
        <v>1806</v>
      </c>
      <c r="M88" s="100">
        <v>1612.6959999999999</v>
      </c>
      <c r="N88" s="100">
        <v>1570.3766666666666</v>
      </c>
      <c r="O88" s="100">
        <v>1575</v>
      </c>
      <c r="P88" s="100">
        <v>1504</v>
      </c>
      <c r="Q88" s="100">
        <v>1465.8400833333335</v>
      </c>
      <c r="R88" s="100">
        <v>1431.9389999999999</v>
      </c>
      <c r="S88" s="100">
        <v>1392</v>
      </c>
      <c r="T88" s="107">
        <v>1357</v>
      </c>
      <c r="U88" s="264">
        <v>1289</v>
      </c>
    </row>
    <row r="89" spans="2:22" ht="13" customHeight="1" x14ac:dyDescent="0.3">
      <c r="C89" s="144" t="str">
        <f>VLOOKUP(73,Textbausteine_203[],Hilfsgrössen!$D$2,FALSE)</f>
        <v>Jura</v>
      </c>
      <c r="D89" s="1" t="str">
        <f>VLOOKUP(15,Textbausteine_203[],Hilfsgrössen!$D$2,FALSE)</f>
        <v>Unités de personnel</v>
      </c>
      <c r="E89" s="11" t="s">
        <v>1703</v>
      </c>
      <c r="F89" s="11" t="s">
        <v>210</v>
      </c>
      <c r="G89" s="49"/>
      <c r="H89" s="100">
        <v>338</v>
      </c>
      <c r="I89" s="100">
        <v>329</v>
      </c>
      <c r="J89" s="100">
        <v>318</v>
      </c>
      <c r="K89" s="100">
        <v>311</v>
      </c>
      <c r="L89" s="100">
        <v>317</v>
      </c>
      <c r="M89" s="100">
        <v>315.41800000000001</v>
      </c>
      <c r="N89" s="100">
        <v>305.7</v>
      </c>
      <c r="O89" s="100">
        <v>297</v>
      </c>
      <c r="P89" s="100">
        <v>286</v>
      </c>
      <c r="Q89" s="100">
        <v>279.67633333333333</v>
      </c>
      <c r="R89" s="100">
        <v>289.53483333333332</v>
      </c>
      <c r="S89" s="100">
        <v>317</v>
      </c>
      <c r="T89" s="107">
        <v>334</v>
      </c>
      <c r="U89" s="264">
        <v>326</v>
      </c>
    </row>
    <row r="90" spans="2:22" ht="13" customHeight="1" x14ac:dyDescent="0.3">
      <c r="E90" s="13"/>
      <c r="F90" s="11"/>
      <c r="G90" s="48"/>
      <c r="T90" s="119"/>
      <c r="U90" s="263"/>
    </row>
    <row r="91" spans="2:22" ht="13" customHeight="1" x14ac:dyDescent="0.3">
      <c r="B91" s="149"/>
      <c r="C91" s="8" t="str">
        <f>VLOOKUP(62,Textbausteine_203[],Hilfsgrössen!$D$2,FALSE)</f>
        <v>Personnel Poste sur 100 employés par canton</v>
      </c>
      <c r="E91" s="39"/>
      <c r="F91" s="39"/>
      <c r="G91" s="49"/>
      <c r="T91" s="119"/>
      <c r="U91" s="263"/>
    </row>
    <row r="92" spans="2:22" ht="13" customHeight="1" x14ac:dyDescent="0.3">
      <c r="C92" s="36" t="str">
        <f>VLOOKUP(89,Textbausteine_203[],Hilfsgrössen!$D$2,FALSE)</f>
        <v>Suisse</v>
      </c>
      <c r="D92" s="67" t="str">
        <f>VLOOKUP(12,Textbausteine_203[],Hilfsgrössen!$D$2,FALSE)</f>
        <v>%</v>
      </c>
      <c r="E92" s="13">
        <v>4</v>
      </c>
      <c r="F92" s="11" t="s">
        <v>210</v>
      </c>
      <c r="G92" s="49"/>
      <c r="H92" s="191">
        <v>1.4108364367286998</v>
      </c>
      <c r="I92" s="191">
        <v>1.3763565711030843</v>
      </c>
      <c r="J92" s="191">
        <v>1.3358271694868376</v>
      </c>
      <c r="K92" s="191">
        <v>1.2925343995785739</v>
      </c>
      <c r="L92" s="191">
        <v>1.3026169595629598</v>
      </c>
      <c r="M92" s="191">
        <v>1.3263171993287255</v>
      </c>
      <c r="N92" s="191">
        <v>1.3361010167950553</v>
      </c>
      <c r="O92" s="191">
        <v>1.3084444302818399</v>
      </c>
      <c r="P92" s="191">
        <v>1.1599999999999999</v>
      </c>
      <c r="Q92" s="191">
        <v>1.1499999999999999</v>
      </c>
      <c r="R92" s="191">
        <v>1.1599999999999999</v>
      </c>
      <c r="S92" s="191">
        <v>1.1299999999999999</v>
      </c>
      <c r="T92" s="162">
        <v>1.1200000000000001</v>
      </c>
      <c r="U92" s="266">
        <v>1.08</v>
      </c>
    </row>
    <row r="93" spans="2:22" ht="13" customHeight="1" x14ac:dyDescent="0.3">
      <c r="C93" s="144" t="str">
        <f>VLOOKUP(88,Textbausteine_203[],Hilfsgrössen!$D$2,FALSE)</f>
        <v>Zurich</v>
      </c>
      <c r="D93" s="67" t="str">
        <f>VLOOKUP(12,Textbausteine_203[],Hilfsgrössen!$D$2,FALSE)</f>
        <v>%</v>
      </c>
      <c r="E93" s="13">
        <v>4</v>
      </c>
      <c r="F93" s="11" t="s">
        <v>210</v>
      </c>
      <c r="G93" s="49"/>
      <c r="H93" s="191">
        <v>1.1052724449021936</v>
      </c>
      <c r="I93" s="191">
        <v>1.052315759520462</v>
      </c>
      <c r="J93" s="191">
        <v>1.017758101117737</v>
      </c>
      <c r="K93" s="191">
        <v>0.95760243980882986</v>
      </c>
      <c r="L93" s="191">
        <v>0.9426998665547045</v>
      </c>
      <c r="M93" s="191">
        <v>1.0534211260713899</v>
      </c>
      <c r="N93" s="191">
        <v>1.2699964835664153</v>
      </c>
      <c r="O93" s="191">
        <v>1.1967319042714593</v>
      </c>
      <c r="P93" s="191">
        <v>1.08</v>
      </c>
      <c r="Q93" s="191">
        <v>1.05</v>
      </c>
      <c r="R93" s="191">
        <v>1.07</v>
      </c>
      <c r="S93" s="191">
        <v>1.04</v>
      </c>
      <c r="T93" s="162">
        <v>1.05</v>
      </c>
      <c r="U93" s="266">
        <v>1.02</v>
      </c>
    </row>
    <row r="94" spans="2:22" ht="13" customHeight="1" x14ac:dyDescent="0.3">
      <c r="C94" s="144" t="str">
        <f>VLOOKUP(66,Textbausteine_203[],Hilfsgrössen!$D$2,FALSE)</f>
        <v>Berne</v>
      </c>
      <c r="D94" s="67" t="str">
        <f>VLOOKUP(12,Textbausteine_203[],Hilfsgrössen!$D$2,FALSE)</f>
        <v>%</v>
      </c>
      <c r="E94" s="13">
        <v>4</v>
      </c>
      <c r="F94" s="11" t="s">
        <v>210</v>
      </c>
      <c r="H94" s="191">
        <v>2.4419239472726408</v>
      </c>
      <c r="I94" s="191">
        <v>2.4137907550425872</v>
      </c>
      <c r="J94" s="191">
        <v>2.3593339786042642</v>
      </c>
      <c r="K94" s="191">
        <v>2.2824917316791415</v>
      </c>
      <c r="L94" s="191">
        <v>2.2168363848316535</v>
      </c>
      <c r="M94" s="191">
        <v>2.1918632206098776</v>
      </c>
      <c r="N94" s="191">
        <v>2.1615220517799179</v>
      </c>
      <c r="O94" s="191">
        <v>2.1316871858169946</v>
      </c>
      <c r="P94" s="191">
        <v>1.93</v>
      </c>
      <c r="Q94" s="191">
        <v>1.91</v>
      </c>
      <c r="R94" s="191">
        <v>1.91</v>
      </c>
      <c r="S94" s="191">
        <v>1.92</v>
      </c>
      <c r="T94" s="162">
        <v>1.91</v>
      </c>
      <c r="U94" s="266">
        <v>1.86</v>
      </c>
    </row>
    <row r="95" spans="2:22" ht="13" customHeight="1" x14ac:dyDescent="0.3">
      <c r="C95" s="144" t="str">
        <f>VLOOKUP(74,Textbausteine_203[],Hilfsgrössen!$D$2,FALSE)</f>
        <v>Lucerne</v>
      </c>
      <c r="D95" s="67" t="str">
        <f>VLOOKUP(12,Textbausteine_203[],Hilfsgrössen!$D$2,FALSE)</f>
        <v>%</v>
      </c>
      <c r="E95" s="13">
        <v>4</v>
      </c>
      <c r="F95" s="11" t="s">
        <v>210</v>
      </c>
      <c r="H95" s="191">
        <v>1.3643902949750102</v>
      </c>
      <c r="I95" s="191">
        <v>1.3095296744252047</v>
      </c>
      <c r="J95" s="191">
        <v>1.2952407453242287</v>
      </c>
      <c r="K95" s="191">
        <v>1.276222909193103</v>
      </c>
      <c r="L95" s="191">
        <v>1.2420580472026141</v>
      </c>
      <c r="M95" s="191">
        <v>1.2223124101105949</v>
      </c>
      <c r="N95" s="191">
        <v>1.6291948436424248</v>
      </c>
      <c r="O95" s="191">
        <v>1.6048760237978468</v>
      </c>
      <c r="P95" s="191">
        <v>1.31</v>
      </c>
      <c r="Q95" s="191">
        <v>1.3</v>
      </c>
      <c r="R95" s="191">
        <v>1.25</v>
      </c>
      <c r="S95" s="191">
        <v>1.43</v>
      </c>
      <c r="T95" s="140">
        <v>1.42</v>
      </c>
      <c r="U95" s="265">
        <v>1.38</v>
      </c>
    </row>
    <row r="96" spans="2:22" ht="13" customHeight="1" x14ac:dyDescent="0.3">
      <c r="C96" s="144" t="str">
        <f>VLOOKUP(84,Textbausteine_203[],Hilfsgrössen!$D$2,FALSE)</f>
        <v>Uri</v>
      </c>
      <c r="D96" s="67" t="str">
        <f>VLOOKUP(12,Textbausteine_203[],Hilfsgrössen!$D$2,FALSE)</f>
        <v>%</v>
      </c>
      <c r="E96" s="13">
        <v>4</v>
      </c>
      <c r="F96" s="11" t="s">
        <v>210</v>
      </c>
      <c r="H96" s="191">
        <v>1.079694986166408</v>
      </c>
      <c r="I96" s="191">
        <v>1.0622624108689294</v>
      </c>
      <c r="J96" s="191">
        <v>1.0735092336414964</v>
      </c>
      <c r="K96" s="191">
        <v>1.1134354544841083</v>
      </c>
      <c r="L96" s="191">
        <v>1.1606721101288886</v>
      </c>
      <c r="M96" s="191">
        <v>1.1640461569606586</v>
      </c>
      <c r="N96" s="191">
        <v>0.97285016982702377</v>
      </c>
      <c r="O96" s="191">
        <v>0.95935398249994353</v>
      </c>
      <c r="P96" s="191">
        <v>0.85</v>
      </c>
      <c r="Q96" s="191">
        <v>0.81</v>
      </c>
      <c r="R96" s="191">
        <v>0.79</v>
      </c>
      <c r="S96" s="191">
        <v>0.78</v>
      </c>
      <c r="T96" s="162">
        <v>0.75</v>
      </c>
      <c r="U96" s="266">
        <v>0.7</v>
      </c>
    </row>
    <row r="97" spans="3:21" ht="13" customHeight="1" x14ac:dyDescent="0.3">
      <c r="C97" s="144" t="str">
        <f>VLOOKUP(81,Textbausteine_203[],Hilfsgrössen!$D$2,FALSE)</f>
        <v>Schwyz</v>
      </c>
      <c r="D97" s="67" t="str">
        <f>VLOOKUP(12,Textbausteine_203[],Hilfsgrössen!$D$2,FALSE)</f>
        <v>%</v>
      </c>
      <c r="E97" s="13">
        <v>4</v>
      </c>
      <c r="F97" s="11" t="s">
        <v>210</v>
      </c>
      <c r="H97" s="191">
        <v>0.98230842479827607</v>
      </c>
      <c r="I97" s="191">
        <v>0.95975542524933588</v>
      </c>
      <c r="J97" s="191">
        <v>0.94346714779732377</v>
      </c>
      <c r="K97" s="191">
        <v>0.91214353731268483</v>
      </c>
      <c r="L97" s="191">
        <v>1.0201751894730393</v>
      </c>
      <c r="M97" s="191">
        <v>1.0856061745100987</v>
      </c>
      <c r="N97" s="191">
        <v>0.82429821190909758</v>
      </c>
      <c r="O97" s="191">
        <v>0.79450597793704092</v>
      </c>
      <c r="P97" s="191">
        <v>0.62</v>
      </c>
      <c r="Q97" s="191">
        <v>0.59</v>
      </c>
      <c r="R97" s="191">
        <v>0.56999999999999995</v>
      </c>
      <c r="S97" s="191">
        <v>1.52</v>
      </c>
      <c r="T97" s="162">
        <v>0.51</v>
      </c>
      <c r="U97" s="266">
        <v>0.49</v>
      </c>
    </row>
    <row r="98" spans="3:21" ht="13" customHeight="1" x14ac:dyDescent="0.3">
      <c r="C98" s="144" t="str">
        <f>VLOOKUP(77,Textbausteine_203[],Hilfsgrössen!$D$2,FALSE)</f>
        <v>Obwald</v>
      </c>
      <c r="D98" s="67" t="str">
        <f>VLOOKUP(12,Textbausteine_203[],Hilfsgrössen!$D$2,FALSE)</f>
        <v>%</v>
      </c>
      <c r="E98" s="13">
        <v>4</v>
      </c>
      <c r="F98" s="11" t="s">
        <v>210</v>
      </c>
      <c r="H98" s="191">
        <v>0.77406869859700045</v>
      </c>
      <c r="I98" s="191">
        <v>0.72770520883728429</v>
      </c>
      <c r="J98" s="191">
        <v>0.73022496371552981</v>
      </c>
      <c r="K98" s="191">
        <v>0.74383164005805513</v>
      </c>
      <c r="L98" s="191">
        <v>0.78011611030478956</v>
      </c>
      <c r="M98" s="191">
        <v>0.89451499758103536</v>
      </c>
      <c r="N98" s="191">
        <v>0.77205289469440408</v>
      </c>
      <c r="O98" s="191">
        <v>0.76701338493791316</v>
      </c>
      <c r="P98" s="191">
        <v>0.61</v>
      </c>
      <c r="Q98" s="191">
        <v>0.61</v>
      </c>
      <c r="R98" s="191">
        <v>0.59</v>
      </c>
      <c r="S98" s="191">
        <v>0.56000000000000005</v>
      </c>
      <c r="T98" s="162">
        <v>0.52</v>
      </c>
      <c r="U98" s="266">
        <v>0.49</v>
      </c>
    </row>
    <row r="99" spans="3:21" ht="13" customHeight="1" x14ac:dyDescent="0.3">
      <c r="C99" s="144" t="str">
        <f>VLOOKUP(76,Textbausteine_203[],Hilfsgrössen!$D$2,FALSE)</f>
        <v>Nidwald</v>
      </c>
      <c r="D99" s="67" t="str">
        <f>VLOOKUP(12,Textbausteine_203[],Hilfsgrössen!$D$2,FALSE)</f>
        <v>%</v>
      </c>
      <c r="E99" s="13">
        <v>4</v>
      </c>
      <c r="F99" s="11" t="s">
        <v>210</v>
      </c>
      <c r="H99" s="191">
        <v>0.91697508700215435</v>
      </c>
      <c r="I99" s="191">
        <v>0.87186285882634562</v>
      </c>
      <c r="J99" s="191">
        <v>0.8704818722495351</v>
      </c>
      <c r="K99" s="191">
        <v>0.86725957023697731</v>
      </c>
      <c r="L99" s="191">
        <v>0.88935535546594491</v>
      </c>
      <c r="M99" s="191">
        <v>0.9648511296470198</v>
      </c>
      <c r="N99" s="191">
        <v>0.79867057025539057</v>
      </c>
      <c r="O99" s="191">
        <v>0.76138393268150772</v>
      </c>
      <c r="P99" s="191">
        <v>0.57999999999999996</v>
      </c>
      <c r="Q99" s="191">
        <v>0.55000000000000004</v>
      </c>
      <c r="R99" s="191">
        <v>0.55000000000000004</v>
      </c>
      <c r="S99" s="191">
        <v>0.51</v>
      </c>
      <c r="T99" s="140">
        <v>0.48</v>
      </c>
      <c r="U99" s="265">
        <v>0.46</v>
      </c>
    </row>
    <row r="100" spans="3:21" ht="13" customHeight="1" x14ac:dyDescent="0.3">
      <c r="C100" s="144" t="str">
        <f>VLOOKUP(71,Textbausteine_203[],Hilfsgrössen!$D$2,FALSE)</f>
        <v>Glaris</v>
      </c>
      <c r="D100" s="67" t="str">
        <f>VLOOKUP(12,Textbausteine_203[],Hilfsgrössen!$D$2,FALSE)</f>
        <v>%</v>
      </c>
      <c r="E100" s="13">
        <v>4</v>
      </c>
      <c r="F100" s="11" t="s">
        <v>210</v>
      </c>
      <c r="H100" s="191">
        <v>1.9809162435131966</v>
      </c>
      <c r="I100" s="191">
        <v>2.0980972043970763</v>
      </c>
      <c r="J100" s="191">
        <v>2.005561445603854</v>
      </c>
      <c r="K100" s="191">
        <v>1.9362758774621951</v>
      </c>
      <c r="L100" s="191">
        <v>2.0032364265386975</v>
      </c>
      <c r="M100" s="191">
        <v>2.0339266781987613</v>
      </c>
      <c r="N100" s="191">
        <v>1.9511559994791958</v>
      </c>
      <c r="O100" s="191">
        <v>1.9107006677454756</v>
      </c>
      <c r="P100" s="191">
        <v>1.61</v>
      </c>
      <c r="Q100" s="191">
        <v>1.55</v>
      </c>
      <c r="R100" s="191">
        <v>1.46</v>
      </c>
      <c r="S100" s="191">
        <v>1.46</v>
      </c>
      <c r="T100" s="162">
        <v>1.42</v>
      </c>
      <c r="U100" s="266">
        <v>1.33</v>
      </c>
    </row>
    <row r="101" spans="3:21" ht="13" customHeight="1" x14ac:dyDescent="0.3">
      <c r="C101" s="144" t="str">
        <f>VLOOKUP(87,Textbausteine_203[],Hilfsgrössen!$D$2,FALSE)</f>
        <v>Zoug</v>
      </c>
      <c r="D101" s="67" t="str">
        <f>VLOOKUP(12,Textbausteine_203[],Hilfsgrössen!$D$2,FALSE)</f>
        <v>%</v>
      </c>
      <c r="E101" s="13">
        <v>4</v>
      </c>
      <c r="F101" s="11" t="s">
        <v>210</v>
      </c>
      <c r="G101" s="49"/>
      <c r="H101" s="191">
        <v>0.61501676197988564</v>
      </c>
      <c r="I101" s="191">
        <v>0.59221553934135274</v>
      </c>
      <c r="J101" s="191">
        <v>0.57742555708933152</v>
      </c>
      <c r="K101" s="191">
        <v>0.56448432261881287</v>
      </c>
      <c r="L101" s="191">
        <v>0.57434431078682713</v>
      </c>
      <c r="M101" s="191">
        <v>0.65712753894695319</v>
      </c>
      <c r="N101" s="191">
        <v>0.5262768684677579</v>
      </c>
      <c r="O101" s="191">
        <v>0.51816291987116281</v>
      </c>
      <c r="P101" s="191">
        <v>0.71</v>
      </c>
      <c r="Q101" s="191">
        <v>0.71</v>
      </c>
      <c r="R101" s="191">
        <v>0.72</v>
      </c>
      <c r="S101" s="191">
        <v>0.7</v>
      </c>
      <c r="T101" s="162">
        <v>0.68</v>
      </c>
      <c r="U101" s="266">
        <v>0.65</v>
      </c>
    </row>
    <row r="102" spans="3:21" ht="13" customHeight="1" x14ac:dyDescent="0.3">
      <c r="C102" s="144" t="str">
        <f>VLOOKUP(69,Textbausteine_203[],Hilfsgrössen!$D$2,FALSE)</f>
        <v>Fribourg</v>
      </c>
      <c r="D102" s="67" t="str">
        <f>VLOOKUP(12,Textbausteine_203[],Hilfsgrössen!$D$2,FALSE)</f>
        <v>%</v>
      </c>
      <c r="E102" s="13">
        <v>4</v>
      </c>
      <c r="F102" s="11" t="s">
        <v>210</v>
      </c>
      <c r="H102" s="191">
        <v>1.5774245599718086</v>
      </c>
      <c r="I102" s="191">
        <v>1.6629277548375423</v>
      </c>
      <c r="J102" s="191">
        <v>1.6472077452380509</v>
      </c>
      <c r="K102" s="191">
        <v>1.6302835840273013</v>
      </c>
      <c r="L102" s="191">
        <v>1.6183432501391302</v>
      </c>
      <c r="M102" s="191">
        <v>1.5040868371756588</v>
      </c>
      <c r="N102" s="191">
        <v>1.4054781732415873</v>
      </c>
      <c r="O102" s="191">
        <v>1.3810579223621491</v>
      </c>
      <c r="P102" s="191">
        <v>1.1200000000000001</v>
      </c>
      <c r="Q102" s="191">
        <v>1.1399999999999999</v>
      </c>
      <c r="R102" s="191">
        <v>1.1499999999999999</v>
      </c>
      <c r="S102" s="191">
        <v>1.1299999999999999</v>
      </c>
      <c r="T102" s="162">
        <v>1.0900000000000001</v>
      </c>
      <c r="U102" s="266">
        <v>1.04</v>
      </c>
    </row>
    <row r="103" spans="3:21" ht="13" customHeight="1" x14ac:dyDescent="0.3">
      <c r="C103" s="144" t="str">
        <f>VLOOKUP(80,Textbausteine_203[],Hilfsgrössen!$D$2,FALSE)</f>
        <v>Soleure</v>
      </c>
      <c r="D103" s="67" t="str">
        <f>VLOOKUP(12,Textbausteine_203[],Hilfsgrössen!$D$2,FALSE)</f>
        <v>%</v>
      </c>
      <c r="E103" s="13">
        <v>4</v>
      </c>
      <c r="F103" s="11" t="s">
        <v>210</v>
      </c>
      <c r="H103" s="191">
        <v>1.8399741399843479</v>
      </c>
      <c r="I103" s="191">
        <v>1.7046672037910258</v>
      </c>
      <c r="J103" s="191">
        <v>1.5919677021271295</v>
      </c>
      <c r="K103" s="191">
        <v>1.5805233250535913</v>
      </c>
      <c r="L103" s="191">
        <v>1.8901629861512812</v>
      </c>
      <c r="M103" s="191">
        <v>2.2489281704038926</v>
      </c>
      <c r="N103" s="191">
        <v>2.1691080563022438</v>
      </c>
      <c r="O103" s="191">
        <v>2.1770475347919289</v>
      </c>
      <c r="P103" s="191">
        <v>2.2400000000000002</v>
      </c>
      <c r="Q103" s="191">
        <v>2.2000000000000002</v>
      </c>
      <c r="R103" s="191">
        <v>2.1800000000000002</v>
      </c>
      <c r="S103" s="191">
        <v>2.21</v>
      </c>
      <c r="T103" s="162">
        <v>2.15</v>
      </c>
      <c r="U103" s="266">
        <v>2.16</v>
      </c>
    </row>
    <row r="104" spans="3:21" ht="13" customHeight="1" x14ac:dyDescent="0.3">
      <c r="C104" s="144" t="str">
        <f>VLOOKUP(68,Textbausteine_203[],Hilfsgrössen!$D$2,FALSE)</f>
        <v>Bâle-Ville</v>
      </c>
      <c r="D104" s="67" t="str">
        <f>VLOOKUP(12,Textbausteine_203[],Hilfsgrössen!$D$2,FALSE)</f>
        <v>%</v>
      </c>
      <c r="E104" s="13">
        <v>4</v>
      </c>
      <c r="F104" s="11" t="s">
        <v>210</v>
      </c>
      <c r="H104" s="191">
        <v>1.3629080398378837</v>
      </c>
      <c r="I104" s="191">
        <v>1.272476881669756</v>
      </c>
      <c r="J104" s="191">
        <v>1.2224932515918825</v>
      </c>
      <c r="K104" s="191">
        <v>1.1794275660561122</v>
      </c>
      <c r="L104" s="191">
        <v>1.2391215558138804</v>
      </c>
      <c r="M104" s="191">
        <v>1.0637575795658047</v>
      </c>
      <c r="N104" s="191">
        <v>1.2916051254477872</v>
      </c>
      <c r="O104" s="191">
        <v>1.2049807827243497</v>
      </c>
      <c r="P104" s="191">
        <v>1.48</v>
      </c>
      <c r="Q104" s="191">
        <v>1.53</v>
      </c>
      <c r="R104" s="191">
        <v>1.64</v>
      </c>
      <c r="S104" s="191">
        <v>1.26</v>
      </c>
      <c r="T104" s="162">
        <v>1.25</v>
      </c>
      <c r="U104" s="266">
        <v>1.18</v>
      </c>
    </row>
    <row r="105" spans="3:21" ht="13" customHeight="1" x14ac:dyDescent="0.3">
      <c r="C105" s="144" t="str">
        <f>VLOOKUP(67,Textbausteine_203[],Hilfsgrössen!$D$2,FALSE)</f>
        <v>Bâle-Campagne</v>
      </c>
      <c r="D105" s="67" t="str">
        <f>VLOOKUP(12,Textbausteine_203[],Hilfsgrössen!$D$2,FALSE)</f>
        <v>%</v>
      </c>
      <c r="E105" s="13">
        <v>4</v>
      </c>
      <c r="F105" s="11" t="s">
        <v>210</v>
      </c>
      <c r="H105" s="191">
        <v>1.1903326662326492</v>
      </c>
      <c r="I105" s="191">
        <v>1.0989166034653897</v>
      </c>
      <c r="J105" s="191">
        <v>1.0472556222744078</v>
      </c>
      <c r="K105" s="191">
        <v>1.0488751717985194</v>
      </c>
      <c r="L105" s="191">
        <v>1.2795473360178107</v>
      </c>
      <c r="M105" s="191">
        <v>1.4396249768925968</v>
      </c>
      <c r="N105" s="191">
        <v>0.97787851266017789</v>
      </c>
      <c r="O105" s="191">
        <v>0.95249385811920462</v>
      </c>
      <c r="P105" s="191">
        <v>0.83</v>
      </c>
      <c r="Q105" s="191">
        <v>0.8</v>
      </c>
      <c r="R105" s="191">
        <v>0.75</v>
      </c>
      <c r="S105" s="191">
        <v>0.7</v>
      </c>
      <c r="T105" s="162">
        <v>0.67</v>
      </c>
      <c r="U105" s="266">
        <v>0.64</v>
      </c>
    </row>
    <row r="106" spans="3:21" ht="13" customHeight="1" x14ac:dyDescent="0.3">
      <c r="C106" s="144" t="str">
        <f>VLOOKUP(79,Textbausteine_203[],Hilfsgrössen!$D$2,FALSE)</f>
        <v>Schaffhouse</v>
      </c>
      <c r="D106" s="67" t="str">
        <f>VLOOKUP(12,Textbausteine_203[],Hilfsgrössen!$D$2,FALSE)</f>
        <v>%</v>
      </c>
      <c r="E106" s="13">
        <v>4</v>
      </c>
      <c r="F106" s="11" t="s">
        <v>210</v>
      </c>
      <c r="H106" s="191">
        <v>0.9880641846494348</v>
      </c>
      <c r="I106" s="191">
        <v>1.0240736349344364</v>
      </c>
      <c r="J106" s="191">
        <v>1.030880299317577</v>
      </c>
      <c r="K106" s="191">
        <v>0.98279450899797127</v>
      </c>
      <c r="L106" s="191">
        <v>0.9880641846494348</v>
      </c>
      <c r="M106" s="191">
        <v>1.0159486733591547</v>
      </c>
      <c r="N106" s="191">
        <v>0.96918118023168998</v>
      </c>
      <c r="O106" s="191">
        <v>1.0319781484116319</v>
      </c>
      <c r="P106" s="191">
        <v>0.89</v>
      </c>
      <c r="Q106" s="191">
        <v>0.87</v>
      </c>
      <c r="R106" s="191">
        <v>0.85</v>
      </c>
      <c r="S106" s="191">
        <v>0.53</v>
      </c>
      <c r="T106" s="162">
        <v>0.8</v>
      </c>
      <c r="U106" s="266">
        <v>0.81</v>
      </c>
    </row>
    <row r="107" spans="3:21" ht="13" customHeight="1" x14ac:dyDescent="0.3">
      <c r="C107" s="144" t="str">
        <f>VLOOKUP(65,Textbausteine_203[],Hilfsgrössen!$D$2,FALSE)</f>
        <v>Appenzell Rhodes-Extérieures</v>
      </c>
      <c r="D107" s="67" t="str">
        <f>VLOOKUP(12,Textbausteine_203[],Hilfsgrössen!$D$2,FALSE)</f>
        <v>%</v>
      </c>
      <c r="E107" s="13">
        <v>4</v>
      </c>
      <c r="F107" s="11" t="s">
        <v>210</v>
      </c>
      <c r="H107" s="191">
        <v>1.3698630136986301</v>
      </c>
      <c r="I107" s="191">
        <v>1.3588029893665765</v>
      </c>
      <c r="J107" s="191">
        <v>1.2975778546712802</v>
      </c>
      <c r="K107" s="191">
        <v>1.1850026070057353</v>
      </c>
      <c r="L107" s="191">
        <v>1.1707825757216666</v>
      </c>
      <c r="M107" s="191">
        <v>1.275456226003697</v>
      </c>
      <c r="N107" s="191">
        <v>0.94444707778357107</v>
      </c>
      <c r="O107" s="191">
        <v>0.89230696307531865</v>
      </c>
      <c r="P107" s="191">
        <v>0.77</v>
      </c>
      <c r="Q107" s="191">
        <v>0.76</v>
      </c>
      <c r="R107" s="191">
        <v>0.73</v>
      </c>
      <c r="S107" s="191">
        <v>0.67</v>
      </c>
      <c r="T107" s="162">
        <v>0.66</v>
      </c>
      <c r="U107" s="266">
        <v>0.64</v>
      </c>
    </row>
    <row r="108" spans="3:21" ht="13" customHeight="1" x14ac:dyDescent="0.3">
      <c r="C108" s="144" t="str">
        <f>VLOOKUP(64,Textbausteine_203[],Hilfsgrössen!$D$2,FALSE)</f>
        <v>Appenzell Rhodes-Intérieures</v>
      </c>
      <c r="D108" s="67" t="str">
        <f>VLOOKUP(12,Textbausteine_203[],Hilfsgrössen!$D$2,FALSE)</f>
        <v>%</v>
      </c>
      <c r="E108" s="13">
        <v>4</v>
      </c>
      <c r="F108" s="11" t="s">
        <v>210</v>
      </c>
      <c r="H108" s="191">
        <v>0.99901735997379626</v>
      </c>
      <c r="I108" s="191">
        <v>1.009935582487171</v>
      </c>
      <c r="J108" s="191">
        <v>1.0426902500272954</v>
      </c>
      <c r="K108" s="191">
        <v>1.0317720275139208</v>
      </c>
      <c r="L108" s="191">
        <v>1.0645266950540453</v>
      </c>
      <c r="M108" s="191">
        <v>1.151867016049787</v>
      </c>
      <c r="N108" s="191">
        <v>0.94579102522109415</v>
      </c>
      <c r="O108" s="191">
        <v>0.91849546893765699</v>
      </c>
      <c r="P108" s="191">
        <v>0.74</v>
      </c>
      <c r="Q108" s="191">
        <v>0.77</v>
      </c>
      <c r="R108" s="191">
        <v>0.79</v>
      </c>
      <c r="S108" s="191">
        <v>0.74</v>
      </c>
      <c r="T108" s="162">
        <v>0.79</v>
      </c>
      <c r="U108" s="266">
        <v>0.76</v>
      </c>
    </row>
    <row r="109" spans="3:21" ht="13" customHeight="1" x14ac:dyDescent="0.3">
      <c r="C109" s="144" t="str">
        <f>VLOOKUP(78,Textbausteine_203[],Hilfsgrössen!$D$2,FALSE)</f>
        <v>Saint-Gall</v>
      </c>
      <c r="D109" s="67" t="str">
        <f>VLOOKUP(12,Textbausteine_203[],Hilfsgrössen!$D$2,FALSE)</f>
        <v>%</v>
      </c>
      <c r="E109" s="13">
        <v>4</v>
      </c>
      <c r="F109" s="11" t="s">
        <v>210</v>
      </c>
      <c r="H109" s="191">
        <v>1.1738766005062162</v>
      </c>
      <c r="I109" s="191">
        <v>1.13272416721376</v>
      </c>
      <c r="J109" s="191">
        <v>1.1278878143017375</v>
      </c>
      <c r="K109" s="191">
        <v>1.1107027982278304</v>
      </c>
      <c r="L109" s="191">
        <v>1.0958383741623277</v>
      </c>
      <c r="M109" s="191">
        <v>1.1529908459921796</v>
      </c>
      <c r="N109" s="191">
        <v>1.3034404351429221</v>
      </c>
      <c r="O109" s="191">
        <v>1.3400347111828641</v>
      </c>
      <c r="P109" s="191">
        <v>1.17</v>
      </c>
      <c r="Q109" s="191">
        <v>1.3</v>
      </c>
      <c r="R109" s="191">
        <v>1.55</v>
      </c>
      <c r="S109" s="191">
        <v>0.99</v>
      </c>
      <c r="T109" s="162">
        <v>1.45</v>
      </c>
      <c r="U109" s="266">
        <v>1.34</v>
      </c>
    </row>
    <row r="110" spans="3:21" ht="13" customHeight="1" x14ac:dyDescent="0.3">
      <c r="C110" s="144" t="str">
        <f>VLOOKUP(72,Textbausteine_203[],Hilfsgrössen!$D$2,FALSE)</f>
        <v>Grisons</v>
      </c>
      <c r="D110" s="67" t="str">
        <f>VLOOKUP(12,Textbausteine_203[],Hilfsgrössen!$D$2,FALSE)</f>
        <v>%</v>
      </c>
      <c r="E110" s="13">
        <v>4</v>
      </c>
      <c r="F110" s="11" t="s">
        <v>210</v>
      </c>
      <c r="H110" s="191">
        <v>1.7506620150477072</v>
      </c>
      <c r="I110" s="191">
        <v>1.6917286649012935</v>
      </c>
      <c r="J110" s="191">
        <v>1.6386623793311195</v>
      </c>
      <c r="K110" s="191">
        <v>1.5867344794249925</v>
      </c>
      <c r="L110" s="191">
        <v>1.6266655457946282</v>
      </c>
      <c r="M110" s="191">
        <v>1.5851582531209281</v>
      </c>
      <c r="N110" s="191">
        <v>1.3943473022011126</v>
      </c>
      <c r="O110" s="191">
        <v>1.3599330278957029</v>
      </c>
      <c r="P110" s="191">
        <v>1.07</v>
      </c>
      <c r="Q110" s="191">
        <v>1.05</v>
      </c>
      <c r="R110" s="191">
        <v>1.06</v>
      </c>
      <c r="S110" s="191">
        <v>1.03</v>
      </c>
      <c r="T110" s="300">
        <v>1</v>
      </c>
      <c r="U110" s="267">
        <v>0.97</v>
      </c>
    </row>
    <row r="111" spans="3:21" ht="13" customHeight="1" x14ac:dyDescent="0.3">
      <c r="C111" s="144" t="str">
        <f>VLOOKUP(63,Textbausteine_203[],Hilfsgrössen!$D$2,FALSE)</f>
        <v>Argovie</v>
      </c>
      <c r="D111" s="67" t="str">
        <f>VLOOKUP(12,Textbausteine_203[],Hilfsgrössen!$D$2,FALSE)</f>
        <v>%</v>
      </c>
      <c r="E111" s="13">
        <v>4</v>
      </c>
      <c r="F111" s="11" t="s">
        <v>210</v>
      </c>
      <c r="G111" s="46"/>
      <c r="H111" s="191">
        <v>1.309817049549385</v>
      </c>
      <c r="I111" s="191">
        <v>1.3080356761751266</v>
      </c>
      <c r="J111" s="191">
        <v>1.2523431029207071</v>
      </c>
      <c r="K111" s="191">
        <v>1.206391205514096</v>
      </c>
      <c r="L111" s="191">
        <v>1.2970258674248791</v>
      </c>
      <c r="M111" s="191">
        <v>1.2784483199695935</v>
      </c>
      <c r="N111" s="191">
        <v>1.179590633443703</v>
      </c>
      <c r="O111" s="191">
        <v>1.1588067898031134</v>
      </c>
      <c r="P111" s="191">
        <v>0.98</v>
      </c>
      <c r="Q111" s="191">
        <v>0.91</v>
      </c>
      <c r="R111" s="191">
        <v>0.86</v>
      </c>
      <c r="S111" s="191">
        <v>0.81</v>
      </c>
      <c r="T111" s="140">
        <v>0.79</v>
      </c>
      <c r="U111" s="265">
        <v>0.75</v>
      </c>
    </row>
    <row r="112" spans="3:21" ht="13" customHeight="1" x14ac:dyDescent="0.3">
      <c r="C112" s="144" t="str">
        <f>VLOOKUP(82,Textbausteine_203[],Hilfsgrössen!$D$2,FALSE)</f>
        <v>Thurgovie</v>
      </c>
      <c r="D112" s="67" t="str">
        <f>VLOOKUP(12,Textbausteine_203[],Hilfsgrössen!$D$2,FALSE)</f>
        <v>%</v>
      </c>
      <c r="E112" s="13">
        <v>4</v>
      </c>
      <c r="F112" s="11" t="s">
        <v>210</v>
      </c>
      <c r="H112" s="191">
        <v>1.4557934734440263</v>
      </c>
      <c r="I112" s="191">
        <v>1.3977283084572423</v>
      </c>
      <c r="J112" s="191">
        <v>1.356634829041697</v>
      </c>
      <c r="K112" s="191">
        <v>1.3369916744453558</v>
      </c>
      <c r="L112" s="191">
        <v>1.3643349456434626</v>
      </c>
      <c r="M112" s="191">
        <v>1.4631007269538654</v>
      </c>
      <c r="N112" s="191">
        <v>1.2291114694022509</v>
      </c>
      <c r="O112" s="191">
        <v>1.2201541909063194</v>
      </c>
      <c r="P112" s="191">
        <v>1.0900000000000001</v>
      </c>
      <c r="Q112" s="191">
        <v>1.0900000000000001</v>
      </c>
      <c r="R112" s="191">
        <v>1.05</v>
      </c>
      <c r="S112" s="191">
        <v>0.97</v>
      </c>
      <c r="T112" s="162">
        <v>1</v>
      </c>
      <c r="U112" s="266">
        <v>1.0900000000000001</v>
      </c>
    </row>
    <row r="113" spans="1:79" ht="13" customHeight="1" x14ac:dyDescent="0.3">
      <c r="C113" s="144" t="str">
        <f>VLOOKUP(83,Textbausteine_203[],Hilfsgrössen!$D$2,FALSE)</f>
        <v>Tessin</v>
      </c>
      <c r="D113" s="67" t="str">
        <f>VLOOKUP(12,Textbausteine_203[],Hilfsgrössen!$D$2,FALSE)</f>
        <v>%</v>
      </c>
      <c r="E113" s="13">
        <v>4</v>
      </c>
      <c r="F113" s="11" t="s">
        <v>210</v>
      </c>
      <c r="H113" s="191">
        <v>1.3728575442540039</v>
      </c>
      <c r="I113" s="191">
        <v>1.3381983421021719</v>
      </c>
      <c r="J113" s="191">
        <v>1.3033178411692361</v>
      </c>
      <c r="K113" s="191">
        <v>1.2891261590334364</v>
      </c>
      <c r="L113" s="191">
        <v>1.2655240236021355</v>
      </c>
      <c r="M113" s="191">
        <v>1.2258595110986232</v>
      </c>
      <c r="N113" s="191">
        <v>1.1321063969279761</v>
      </c>
      <c r="O113" s="191">
        <v>1.1130467359745249</v>
      </c>
      <c r="P113" s="191">
        <v>1.03</v>
      </c>
      <c r="Q113" s="191">
        <v>1.02</v>
      </c>
      <c r="R113" s="191">
        <v>1.01</v>
      </c>
      <c r="S113" s="191">
        <v>1.02</v>
      </c>
      <c r="T113" s="162">
        <v>0.96</v>
      </c>
      <c r="U113" s="266">
        <v>0.93</v>
      </c>
    </row>
    <row r="114" spans="1:79" ht="13" customHeight="1" x14ac:dyDescent="0.3">
      <c r="C114" s="144" t="str">
        <f>VLOOKUP(85,Textbausteine_203[],Hilfsgrössen!$D$2,FALSE)</f>
        <v>Vaud</v>
      </c>
      <c r="D114" s="67" t="str">
        <f>VLOOKUP(12,Textbausteine_203[],Hilfsgrössen!$D$2,FALSE)</f>
        <v>%</v>
      </c>
      <c r="E114" s="13">
        <v>4</v>
      </c>
      <c r="F114" s="11" t="s">
        <v>210</v>
      </c>
      <c r="H114" s="191">
        <v>1.4888809754779768</v>
      </c>
      <c r="I114" s="191">
        <v>1.4629350775832723</v>
      </c>
      <c r="J114" s="191">
        <v>1.4029073464613198</v>
      </c>
      <c r="K114" s="191">
        <v>1.3547281948008889</v>
      </c>
      <c r="L114" s="191">
        <v>1.3767185481091746</v>
      </c>
      <c r="M114" s="191">
        <v>1.3737867922443114</v>
      </c>
      <c r="N114" s="191">
        <v>1.3050476646569329</v>
      </c>
      <c r="O114" s="191">
        <v>1.2909263193225029</v>
      </c>
      <c r="P114" s="191">
        <v>1.01</v>
      </c>
      <c r="Q114" s="191">
        <v>0.97</v>
      </c>
      <c r="R114" s="191">
        <v>0.96</v>
      </c>
      <c r="S114" s="191">
        <v>0.94</v>
      </c>
      <c r="T114" s="162">
        <v>0.93</v>
      </c>
      <c r="U114" s="266">
        <v>0.9</v>
      </c>
    </row>
    <row r="115" spans="1:79" ht="13" customHeight="1" x14ac:dyDescent="0.3">
      <c r="C115" s="144" t="str">
        <f>VLOOKUP(86,Textbausteine_203[],Hilfsgrössen!$D$2,FALSE)</f>
        <v>Valais</v>
      </c>
      <c r="D115" s="67" t="str">
        <f>VLOOKUP(12,Textbausteine_203[],Hilfsgrössen!$D$2,FALSE)</f>
        <v>%</v>
      </c>
      <c r="E115" s="13">
        <v>4</v>
      </c>
      <c r="F115" s="11" t="s">
        <v>210</v>
      </c>
      <c r="G115" s="49"/>
      <c r="H115" s="191">
        <v>1.2505175348473463</v>
      </c>
      <c r="I115" s="191">
        <v>1.2424765767561683</v>
      </c>
      <c r="J115" s="191">
        <v>1.218059793803894</v>
      </c>
      <c r="K115" s="191">
        <v>1.2198488031527457</v>
      </c>
      <c r="L115" s="191">
        <v>1.2390167604618711</v>
      </c>
      <c r="M115" s="191">
        <v>1.2230437182770306</v>
      </c>
      <c r="N115" s="191">
        <v>1.1165974064475896</v>
      </c>
      <c r="O115" s="191">
        <v>1.1214532889659017</v>
      </c>
      <c r="P115" s="191">
        <v>0.93</v>
      </c>
      <c r="Q115" s="191">
        <v>0.92</v>
      </c>
      <c r="R115" s="191">
        <v>0.93</v>
      </c>
      <c r="S115" s="191">
        <v>0.91</v>
      </c>
      <c r="T115" s="162">
        <v>0.9</v>
      </c>
      <c r="U115" s="266">
        <v>0.88</v>
      </c>
    </row>
    <row r="116" spans="1:79" ht="13" customHeight="1" x14ac:dyDescent="0.3">
      <c r="C116" s="144" t="str">
        <f>VLOOKUP(75,Textbausteine_203[],Hilfsgrössen!$D$2,FALSE)</f>
        <v>Neuchâtel</v>
      </c>
      <c r="D116" s="67" t="str">
        <f>VLOOKUP(12,Textbausteine_203[],Hilfsgrössen!$D$2,FALSE)</f>
        <v>%</v>
      </c>
      <c r="E116" s="13">
        <v>4</v>
      </c>
      <c r="F116" s="11" t="s">
        <v>210</v>
      </c>
      <c r="H116" s="191">
        <v>1.1246145474333396</v>
      </c>
      <c r="I116" s="191">
        <v>1.0840853437329947</v>
      </c>
      <c r="J116" s="191">
        <v>1.0398716669689823</v>
      </c>
      <c r="K116" s="191">
        <v>0.98970614910212218</v>
      </c>
      <c r="L116" s="191">
        <v>1.0051014439243662</v>
      </c>
      <c r="M116" s="191">
        <v>1.0235273444585524</v>
      </c>
      <c r="N116" s="191">
        <v>0.94596484067960585</v>
      </c>
      <c r="O116" s="191">
        <v>0.92943194872725088</v>
      </c>
      <c r="P116" s="191">
        <v>0.77</v>
      </c>
      <c r="Q116" s="191">
        <v>0.75</v>
      </c>
      <c r="R116" s="191">
        <v>0.73</v>
      </c>
      <c r="S116" s="191">
        <v>0.71</v>
      </c>
      <c r="T116" s="140">
        <v>0.68</v>
      </c>
      <c r="U116" s="265">
        <v>0.64</v>
      </c>
    </row>
    <row r="117" spans="1:79" ht="13" customHeight="1" x14ac:dyDescent="0.3">
      <c r="C117" s="144" t="str">
        <f>VLOOKUP(70,Textbausteine_203[],Hilfsgrössen!$D$2,FALSE)</f>
        <v>Genève</v>
      </c>
      <c r="D117" s="67" t="str">
        <f>VLOOKUP(12,Textbausteine_203[],Hilfsgrössen!$D$2,FALSE)</f>
        <v>%</v>
      </c>
      <c r="E117" s="13">
        <v>4</v>
      </c>
      <c r="F117" s="11" t="s">
        <v>210</v>
      </c>
      <c r="H117" s="191">
        <v>1.0265724612674139</v>
      </c>
      <c r="I117" s="191">
        <v>1.0448868142712704</v>
      </c>
      <c r="J117" s="191">
        <v>1.0070472419492527</v>
      </c>
      <c r="K117" s="191">
        <v>0.93067184917449197</v>
      </c>
      <c r="L117" s="191">
        <v>0.83065285863504756</v>
      </c>
      <c r="M117" s="191">
        <v>0.75197813175436368</v>
      </c>
      <c r="N117" s="191">
        <v>0.72600517039916201</v>
      </c>
      <c r="O117" s="191">
        <v>0.72821621228908218</v>
      </c>
      <c r="P117" s="191">
        <v>0.59</v>
      </c>
      <c r="Q117" s="191">
        <v>0.57999999999999996</v>
      </c>
      <c r="R117" s="191">
        <v>0.56999999999999995</v>
      </c>
      <c r="S117" s="191">
        <v>0.54</v>
      </c>
      <c r="T117" s="162">
        <v>0.53</v>
      </c>
      <c r="U117" s="266">
        <v>0.5</v>
      </c>
    </row>
    <row r="118" spans="1:79" ht="13" customHeight="1" x14ac:dyDescent="0.3">
      <c r="C118" s="144" t="str">
        <f>VLOOKUP(73,Textbausteine_203[],Hilfsgrössen!$D$2,FALSE)</f>
        <v>Jura</v>
      </c>
      <c r="D118" s="67" t="str">
        <f>VLOOKUP(12,Textbausteine_203[],Hilfsgrössen!$D$2,FALSE)</f>
        <v>%</v>
      </c>
      <c r="E118" s="13">
        <v>4</v>
      </c>
      <c r="F118" s="11" t="s">
        <v>210</v>
      </c>
      <c r="H118" s="191">
        <v>1.4999107196000239</v>
      </c>
      <c r="I118" s="191">
        <v>1.4547745173898379</v>
      </c>
      <c r="J118" s="191">
        <v>1.4014542785151678</v>
      </c>
      <c r="K118" s="191">
        <v>1.4255103862865306</v>
      </c>
      <c r="L118" s="191">
        <v>1.4582465329444676</v>
      </c>
      <c r="M118" s="191">
        <v>1.38781322540325</v>
      </c>
      <c r="N118" s="191">
        <v>1.2397575541138424</v>
      </c>
      <c r="O118" s="191">
        <v>1.179245283018868</v>
      </c>
      <c r="P118" s="191">
        <v>0.98</v>
      </c>
      <c r="Q118" s="191">
        <v>0.97</v>
      </c>
      <c r="R118" s="191">
        <v>1.01</v>
      </c>
      <c r="S118" s="191">
        <v>1.07</v>
      </c>
      <c r="T118" s="300">
        <v>1.1100000000000001</v>
      </c>
      <c r="U118" s="267">
        <v>1.07</v>
      </c>
    </row>
    <row r="119" spans="1:79" ht="13" customHeight="1" x14ac:dyDescent="0.3">
      <c r="E119" s="13"/>
      <c r="G119" s="49"/>
      <c r="T119" s="107"/>
      <c r="U119" s="264"/>
    </row>
    <row r="120" spans="1:79" ht="13" customHeight="1" x14ac:dyDescent="0.3">
      <c r="B120" s="229"/>
      <c r="C120" s="8" t="str">
        <f>VLOOKUP(101,Textbausteine_203[],Hilfsgrössen!$D$2,FALSE)</f>
        <v>Emplois dans les communes rurales</v>
      </c>
      <c r="E120" s="13"/>
      <c r="G120" s="49"/>
      <c r="T120" s="107"/>
      <c r="U120" s="264"/>
    </row>
    <row r="121" spans="1:79" s="31" customFormat="1" ht="13" customHeight="1" x14ac:dyDescent="0.3">
      <c r="A121" s="90"/>
      <c r="B121" s="229"/>
      <c r="C121" s="149" t="str">
        <f>VLOOKUP(102,Textbausteine_203[],Hilfsgrössen!$D$2,FALSE)</f>
        <v>Effectif</v>
      </c>
      <c r="E121" s="7"/>
      <c r="F121" s="39"/>
      <c r="G121" s="48"/>
      <c r="H121" s="96"/>
      <c r="I121" s="96"/>
      <c r="J121" s="96"/>
      <c r="K121" s="96"/>
      <c r="L121" s="96"/>
      <c r="M121" s="96"/>
      <c r="N121" s="96"/>
      <c r="O121" s="96"/>
      <c r="P121" s="96"/>
      <c r="Q121" s="96"/>
      <c r="R121" s="96"/>
      <c r="S121" s="96"/>
      <c r="T121" s="103"/>
      <c r="U121" s="333"/>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row>
    <row r="122" spans="1:79" ht="13" customHeight="1" x14ac:dyDescent="0.3">
      <c r="C122" s="144" t="str">
        <f>VLOOKUP(103,Textbausteine_203[],Hilfsgrössen!$D$2,FALSE)</f>
        <v>Emplois dans les communes rurales</v>
      </c>
      <c r="D122" s="1" t="str">
        <f>VLOOKUP(15,Textbausteine_203[],Hilfsgrössen!$D$2,FALSE)</f>
        <v>Unités de personnel</v>
      </c>
      <c r="E122" s="13" t="s">
        <v>1704</v>
      </c>
      <c r="F122" s="11" t="s">
        <v>210</v>
      </c>
      <c r="H122" s="100">
        <v>15818.296666666667</v>
      </c>
      <c r="I122" s="100">
        <v>15315.269166666663</v>
      </c>
      <c r="J122" s="100">
        <v>14931.553249999999</v>
      </c>
      <c r="K122" s="100">
        <v>14492.717416666666</v>
      </c>
      <c r="L122" s="100">
        <v>14628.051666666668</v>
      </c>
      <c r="M122" s="100">
        <v>14515.069166666668</v>
      </c>
      <c r="N122" s="100">
        <v>14523</v>
      </c>
      <c r="O122" s="100">
        <v>14338.631416666669</v>
      </c>
      <c r="P122" s="100">
        <v>14203</v>
      </c>
      <c r="Q122" s="100">
        <v>13668.8575833333</v>
      </c>
      <c r="R122" s="100">
        <v>13442</v>
      </c>
      <c r="S122" s="100">
        <v>13135</v>
      </c>
      <c r="T122" s="107">
        <v>12842.4985</v>
      </c>
      <c r="U122" s="264">
        <v>12539</v>
      </c>
    </row>
    <row r="123" spans="1:79" ht="13" customHeight="1" x14ac:dyDescent="0.3">
      <c r="C123" s="144" t="str">
        <f>VLOOKUP(104,Textbausteine_203[],Hilfsgrössen!$D$2,FALSE)</f>
        <v>Part de tous les emplois</v>
      </c>
      <c r="D123" s="1" t="str">
        <f>VLOOKUP(12,Textbausteine_203[],Hilfsgrössen!$D$2,FALSE)</f>
        <v>%</v>
      </c>
      <c r="E123" s="13" t="s">
        <v>1704</v>
      </c>
      <c r="F123" s="11" t="s">
        <v>210</v>
      </c>
      <c r="H123" s="100">
        <f>IFERROR(H122/('102'!H$187-'102'!H$188)*100,"—")</f>
        <v>38.463007991700302</v>
      </c>
      <c r="I123" s="100">
        <f>IFERROR(I122/('102'!I$187-'102'!I$188)*100,"—")</f>
        <v>38.552255869371855</v>
      </c>
      <c r="J123" s="100">
        <f>IFERROR(J122/('102'!J$187-'102'!J$188)*100,"—")</f>
        <v>38.484376530322947</v>
      </c>
      <c r="K123" s="100">
        <f>IFERROR(K122/('102'!K$187-'102'!K$188)*100,"—")</f>
        <v>38.205086246287415</v>
      </c>
      <c r="L123" s="100">
        <f>IFERROR(L122/('102'!L$187-'102'!L$188)*100,"—")</f>
        <v>38.594405748157534</v>
      </c>
      <c r="M123" s="100">
        <f>IFERROR(M122/('102'!M$187-'102'!M$188)*100,"—")</f>
        <v>38.382391957761506</v>
      </c>
      <c r="N123" s="100">
        <f>IFERROR(N122/('102'!N$187-'102'!N$188)*100,"—")</f>
        <v>38.345566879653589</v>
      </c>
      <c r="O123" s="100">
        <f>IFERROR(O122/('102'!O$187-'102'!O$188)*100,"—")</f>
        <v>38.030478785949839</v>
      </c>
      <c r="P123" s="100">
        <f>IFERROR(P122/('102'!P$187-'102'!P$188)*100,"—")</f>
        <v>37.392059814658801</v>
      </c>
      <c r="Q123" s="100">
        <f>IFERROR(Q122/('102'!Q$187-'102'!Q$188)*100,"—")</f>
        <v>36.620204638411025</v>
      </c>
      <c r="R123" s="100">
        <f>IFERROR(R122/('102'!R$187-'102'!R$188)*100,"—")</f>
        <v>36.276785232363579</v>
      </c>
      <c r="S123" s="100">
        <f>IFERROR(S122/('102'!S$187-'102'!S$188)*100,"—")</f>
        <v>35.807753121421953</v>
      </c>
      <c r="T123" s="20">
        <f>IFERROR(T122/('102'!T$187-'102'!T$188)*100,"—")</f>
        <v>35.388532653623592</v>
      </c>
      <c r="U123" s="262">
        <f>IFERROR(U122/('102'!U$187-'102'!U$188)*100,"—")</f>
        <v>35.476022068185031</v>
      </c>
    </row>
    <row r="124" spans="1:79" ht="13" customHeight="1" x14ac:dyDescent="0.3">
      <c r="E124" s="13"/>
      <c r="F124" s="11"/>
      <c r="U124" s="262"/>
    </row>
    <row r="125" spans="1:79" ht="13" customHeight="1" x14ac:dyDescent="0.3">
      <c r="C125" s="144" t="str">
        <f>VLOOKUP(103,Textbausteine_203[],Hilfsgrössen!$D$2,FALSE)</f>
        <v>Emplois dans les communes rurales</v>
      </c>
      <c r="D125" s="1" t="str">
        <f>VLOOKUP(16,Textbausteine_203[],Hilfsgrössen!$D$2,FALSE)</f>
        <v>Personnes</v>
      </c>
      <c r="E125" s="13" t="s">
        <v>1704</v>
      </c>
      <c r="F125" s="11" t="s">
        <v>210</v>
      </c>
      <c r="H125" s="100">
        <v>22395.25</v>
      </c>
      <c r="I125" s="100">
        <v>21916.416666666672</v>
      </c>
      <c r="J125" s="100">
        <v>21420</v>
      </c>
      <c r="K125" s="100">
        <v>21068.583333333332</v>
      </c>
      <c r="L125" s="100">
        <v>21319.083333333332</v>
      </c>
      <c r="M125" s="100">
        <v>20776.166666666668</v>
      </c>
      <c r="N125" s="100">
        <v>20603</v>
      </c>
      <c r="O125" s="100">
        <v>20417.5</v>
      </c>
      <c r="P125" s="100">
        <v>20172</v>
      </c>
      <c r="Q125" s="100">
        <v>19494.166666666668</v>
      </c>
      <c r="R125" s="100">
        <v>19106</v>
      </c>
      <c r="S125" s="100">
        <v>18633</v>
      </c>
      <c r="T125" s="20">
        <v>18175.666666666668</v>
      </c>
      <c r="U125" s="262">
        <v>17640</v>
      </c>
    </row>
    <row r="126" spans="1:79" ht="13" customHeight="1" x14ac:dyDescent="0.3">
      <c r="C126" s="144" t="str">
        <f>VLOOKUP(104,Textbausteine_203[],Hilfsgrössen!$D$2,FALSE)</f>
        <v>Part de tous les emplois</v>
      </c>
      <c r="D126" s="1" t="str">
        <f>VLOOKUP(12,Textbausteine_203[],Hilfsgrössen!$D$2,FALSE)</f>
        <v>%</v>
      </c>
      <c r="E126" s="13" t="s">
        <v>1704</v>
      </c>
      <c r="F126" s="11" t="s">
        <v>210</v>
      </c>
      <c r="H126" s="100" t="str">
        <f>IFERROR(H125/('102'!H$191-'102'!H$192)*100,"—")</f>
        <v>—</v>
      </c>
      <c r="I126" s="100" t="str">
        <f>IFERROR(I125/('102'!I$191-'102'!I$192)*100,"—")</f>
        <v>—</v>
      </c>
      <c r="J126" s="100" t="str">
        <f>IFERROR(J125/('102'!J$191-'102'!J$192)*100,"—")</f>
        <v>—</v>
      </c>
      <c r="K126" s="100" t="str">
        <f>IFERROR(K125/('102'!K$191-'102'!K$192)*100,"—")</f>
        <v>—</v>
      </c>
      <c r="L126" s="100" t="str">
        <f>IFERROR(L125/('102'!L$191-'102'!L$192)*100,"—")</f>
        <v>—</v>
      </c>
      <c r="M126" s="100">
        <f>IFERROR(M125/('102'!M$191-'102'!M$192)*100,"—")</f>
        <v>39.017008144127907</v>
      </c>
      <c r="N126" s="100">
        <f>IFERROR(N125/('102'!N$191-'102'!N$192)*100,"—")</f>
        <v>38.389729447715588</v>
      </c>
      <c r="O126" s="100">
        <f>IFERROR(O125/('102'!O$191-'102'!O$192)*100,"—")</f>
        <v>38.847558887324482</v>
      </c>
      <c r="P126" s="100">
        <f>IFERROR(P125/('102'!P$191-'102'!P$192)*100,"—")</f>
        <v>36.704392445139931</v>
      </c>
      <c r="Q126" s="100">
        <f>IFERROR(Q125/('102'!Q$191-'102'!Q$192)*100,"—")</f>
        <v>35.827620640434226</v>
      </c>
      <c r="R126" s="100">
        <f>IFERROR(R125/('102'!R$191-'102'!R$192)*100,"—")</f>
        <v>34.753979081400637</v>
      </c>
      <c r="S126" s="100">
        <f>IFERROR(S125/('102'!S$191-'102'!S$192)*100,"—")</f>
        <v>34.239250275633957</v>
      </c>
      <c r="T126" s="20">
        <f>IFERROR(T125/('102'!T$191-'102'!T$192)*100,"—")</f>
        <v>33.944657141967816</v>
      </c>
      <c r="U126" s="262">
        <f>IFERROR(U125/('102'!U$191-'102'!U$192)*100,"—")</f>
        <v>33.987129590381876</v>
      </c>
    </row>
    <row r="127" spans="1:79" ht="13" customHeight="1" x14ac:dyDescent="0.3">
      <c r="G127" s="49"/>
    </row>
    <row r="128" spans="1:79" s="21" customFormat="1" ht="13" customHeight="1" x14ac:dyDescent="0.25">
      <c r="A128" s="321"/>
      <c r="B128" s="22" t="str">
        <f>VLOOKUP(211,Textbausteine_203[],Hilfsgrössen!$D$2,FALSE)</f>
        <v>1) Sans les apprentis</v>
      </c>
      <c r="C128" s="22"/>
      <c r="D128" s="22"/>
      <c r="E128" s="22"/>
      <c r="F128" s="22"/>
      <c r="G128" s="22"/>
      <c r="H128" s="22"/>
      <c r="I128" s="22"/>
      <c r="J128" s="22"/>
      <c r="K128" s="22"/>
      <c r="L128" s="22"/>
      <c r="M128" s="22"/>
      <c r="N128" s="22"/>
      <c r="O128" s="22"/>
      <c r="P128" s="22"/>
      <c r="Q128" s="22"/>
      <c r="R128" s="22"/>
      <c r="S128" s="322"/>
      <c r="T128" s="323"/>
      <c r="U128" s="323"/>
      <c r="V128" s="324"/>
      <c r="W128" s="324"/>
      <c r="X128" s="324"/>
      <c r="Y128" s="324"/>
      <c r="Z128" s="324"/>
      <c r="AA128" s="324"/>
      <c r="AB128" s="324"/>
      <c r="AC128" s="324"/>
      <c r="AD128" s="324"/>
      <c r="AE128" s="324"/>
      <c r="AF128" s="324"/>
      <c r="AG128" s="324"/>
      <c r="AH128" s="324"/>
      <c r="AI128" s="324"/>
      <c r="AJ128" s="324"/>
      <c r="AK128" s="324"/>
      <c r="AL128" s="324"/>
      <c r="AM128" s="324"/>
      <c r="AN128" s="324"/>
      <c r="AO128" s="324"/>
      <c r="AP128" s="324"/>
      <c r="AQ128" s="324"/>
      <c r="AR128" s="324"/>
      <c r="AS128" s="324"/>
      <c r="AT128" s="324"/>
      <c r="AU128" s="324"/>
      <c r="AV128" s="324"/>
      <c r="AW128" s="324"/>
      <c r="AX128" s="324"/>
      <c r="AY128" s="324"/>
      <c r="AZ128" s="324"/>
      <c r="BA128" s="324"/>
      <c r="BB128" s="324"/>
      <c r="BC128" s="324"/>
      <c r="BD128" s="324"/>
      <c r="BE128" s="324"/>
      <c r="BF128" s="324"/>
      <c r="BG128" s="324"/>
      <c r="BH128" s="324"/>
      <c r="BI128" s="324"/>
      <c r="BJ128" s="324"/>
      <c r="BK128" s="324"/>
      <c r="BL128" s="324"/>
      <c r="BM128" s="324"/>
      <c r="BN128" s="324"/>
      <c r="BO128" s="324"/>
      <c r="BP128" s="324"/>
      <c r="BQ128" s="324"/>
      <c r="BR128" s="324"/>
      <c r="BS128" s="324"/>
      <c r="BT128" s="324"/>
      <c r="BU128" s="324"/>
      <c r="BV128" s="324"/>
      <c r="BW128" s="324"/>
      <c r="BX128" s="324"/>
      <c r="BY128" s="324"/>
      <c r="BZ128" s="324"/>
      <c r="CA128" s="324"/>
    </row>
    <row r="129" spans="1:79" s="21" customFormat="1" ht="13" customHeight="1" x14ac:dyDescent="0.25">
      <c r="A129" s="321"/>
      <c r="B129" s="22" t="str">
        <f>VLOOKUP(212,Textbausteine_203[],Hilfsgrössen!$D$2,FALSE)</f>
        <v>2) Une unité de personnel correspond à un poste à plein temps.</v>
      </c>
      <c r="C129" s="22"/>
      <c r="D129" s="22"/>
      <c r="E129" s="22"/>
      <c r="F129" s="22"/>
      <c r="G129" s="22"/>
      <c r="H129" s="22"/>
      <c r="I129" s="22"/>
      <c r="J129" s="22"/>
      <c r="K129" s="22"/>
      <c r="L129" s="22"/>
      <c r="M129" s="22"/>
      <c r="N129" s="22"/>
      <c r="O129" s="22"/>
      <c r="P129" s="22"/>
      <c r="Q129" s="22"/>
      <c r="R129" s="22"/>
      <c r="S129" s="322"/>
      <c r="T129" s="323"/>
      <c r="U129" s="323"/>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4"/>
      <c r="AY129" s="324"/>
      <c r="AZ129" s="324"/>
      <c r="BA129" s="324"/>
      <c r="BB129" s="324"/>
      <c r="BC129" s="324"/>
      <c r="BD129" s="324"/>
      <c r="BE129" s="324"/>
      <c r="BF129" s="324"/>
      <c r="BG129" s="324"/>
      <c r="BH129" s="324"/>
      <c r="BI129" s="324"/>
      <c r="BJ129" s="324"/>
      <c r="BK129" s="324"/>
      <c r="BL129" s="324"/>
      <c r="BM129" s="324"/>
      <c r="BN129" s="324"/>
      <c r="BO129" s="324"/>
      <c r="BP129" s="324"/>
      <c r="BQ129" s="324"/>
      <c r="BR129" s="324"/>
      <c r="BS129" s="324"/>
      <c r="BT129" s="324"/>
      <c r="BU129" s="324"/>
      <c r="BV129" s="324"/>
      <c r="BW129" s="324"/>
      <c r="BX129" s="324"/>
      <c r="BY129" s="324"/>
      <c r="BZ129" s="324"/>
      <c r="CA129" s="324"/>
    </row>
    <row r="130" spans="1:79" s="21" customFormat="1" ht="13" customHeight="1" x14ac:dyDescent="0.25">
      <c r="A130" s="321"/>
      <c r="B130" s="24" t="str">
        <f>VLOOKUP(213,Textbausteine_203[],Hilfsgrössen!$D$2,FALSE)</f>
        <v>3) Valeurs annuelles moyennes</v>
      </c>
      <c r="C130" s="24"/>
      <c r="D130" s="24"/>
      <c r="E130" s="24"/>
      <c r="F130" s="24"/>
      <c r="G130" s="24"/>
      <c r="H130" s="24"/>
      <c r="I130" s="24"/>
      <c r="J130" s="24"/>
      <c r="K130" s="24"/>
      <c r="L130" s="24"/>
      <c r="M130" s="24"/>
      <c r="N130" s="24"/>
      <c r="O130" s="24"/>
      <c r="P130" s="24"/>
      <c r="Q130" s="24"/>
      <c r="R130" s="24"/>
      <c r="S130" s="322"/>
      <c r="T130" s="325"/>
      <c r="U130" s="325"/>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c r="BC130" s="324"/>
      <c r="BD130" s="324"/>
      <c r="BE130" s="324"/>
      <c r="BF130" s="324"/>
      <c r="BG130" s="324"/>
      <c r="BH130" s="324"/>
      <c r="BI130" s="324"/>
      <c r="BJ130" s="324"/>
      <c r="BK130" s="324"/>
      <c r="BL130" s="324"/>
      <c r="BM130" s="324"/>
      <c r="BN130" s="324"/>
      <c r="BO130" s="324"/>
      <c r="BP130" s="324"/>
      <c r="BQ130" s="324"/>
      <c r="BR130" s="324"/>
      <c r="BS130" s="324"/>
      <c r="BT130" s="324"/>
      <c r="BU130" s="324"/>
      <c r="BV130" s="324"/>
      <c r="BW130" s="324"/>
      <c r="BX130" s="324"/>
      <c r="BY130" s="324"/>
      <c r="BZ130" s="324"/>
      <c r="CA130" s="324"/>
    </row>
    <row r="131" spans="1:79" s="21" customFormat="1" ht="13" customHeight="1" x14ac:dyDescent="0.25">
      <c r="A131" s="321"/>
      <c r="B131" s="24" t="str">
        <f>VLOOKUP(214,Textbausteine_203[],Hilfsgrössen!$D$2,FALSE)</f>
        <v>4) Depuis 2015, le nombre d'employés dans les cantons se fonde sur l'analyse STATENT 2013.</v>
      </c>
      <c r="C131" s="24"/>
      <c r="D131" s="24"/>
      <c r="E131" s="24"/>
      <c r="F131" s="24"/>
      <c r="G131" s="24"/>
      <c r="H131" s="24"/>
      <c r="I131" s="24"/>
      <c r="J131" s="24"/>
      <c r="K131" s="24"/>
      <c r="L131" s="24"/>
      <c r="M131" s="24"/>
      <c r="N131" s="24"/>
      <c r="O131" s="24"/>
      <c r="P131" s="24"/>
      <c r="Q131" s="24"/>
      <c r="R131" s="24"/>
      <c r="S131" s="322"/>
      <c r="T131" s="325"/>
      <c r="U131" s="325"/>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4"/>
      <c r="AY131" s="324"/>
      <c r="AZ131" s="324"/>
      <c r="BA131" s="324"/>
      <c r="BB131" s="324"/>
      <c r="BC131" s="324"/>
      <c r="BD131" s="324"/>
      <c r="BE131" s="324"/>
      <c r="BF131" s="324"/>
      <c r="BG131" s="324"/>
      <c r="BH131" s="324"/>
      <c r="BI131" s="324"/>
      <c r="BJ131" s="324"/>
      <c r="BK131" s="324"/>
      <c r="BL131" s="324"/>
      <c r="BM131" s="324"/>
      <c r="BN131" s="324"/>
      <c r="BO131" s="324"/>
      <c r="BP131" s="324"/>
      <c r="BQ131" s="324"/>
      <c r="BR131" s="324"/>
      <c r="BS131" s="324"/>
      <c r="BT131" s="324"/>
      <c r="BU131" s="324"/>
      <c r="BV131" s="324"/>
      <c r="BW131" s="324"/>
      <c r="BX131" s="324"/>
      <c r="BY131" s="324"/>
      <c r="BZ131" s="324"/>
      <c r="CA131" s="324"/>
    </row>
    <row r="132" spans="1:79" s="21" customFormat="1" ht="13" customHeight="1" x14ac:dyDescent="0.25">
      <c r="A132" s="321"/>
      <c r="B132" s="24" t="str">
        <f>VLOOKUP(215,Textbausteine_203[],Hilfsgrössen!$D$2,FALSE)</f>
        <v>5) La définition des communautés rurales est basée sur les typologies territoriales de l'Office fédéral de la statistique (OFS)</v>
      </c>
      <c r="C132" s="24"/>
      <c r="D132" s="24"/>
      <c r="E132" s="24"/>
      <c r="F132" s="24"/>
      <c r="G132" s="24"/>
      <c r="H132" s="24"/>
      <c r="I132" s="24"/>
      <c r="J132" s="24"/>
      <c r="K132" s="24"/>
      <c r="L132" s="24"/>
      <c r="M132" s="24"/>
      <c r="N132" s="24"/>
      <c r="O132" s="24"/>
      <c r="P132" s="24"/>
      <c r="Q132" s="24"/>
      <c r="R132" s="24"/>
      <c r="S132" s="322"/>
      <c r="T132" s="326"/>
      <c r="U132" s="326"/>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4"/>
      <c r="AY132" s="324"/>
      <c r="AZ132" s="324"/>
      <c r="BA132" s="324"/>
      <c r="BB132" s="324"/>
      <c r="BC132" s="324"/>
      <c r="BD132" s="324"/>
      <c r="BE132" s="324"/>
      <c r="BF132" s="324"/>
      <c r="BG132" s="324"/>
      <c r="BH132" s="324"/>
      <c r="BI132" s="324"/>
      <c r="BJ132" s="324"/>
      <c r="BK132" s="324"/>
      <c r="BL132" s="324"/>
      <c r="BM132" s="324"/>
      <c r="BN132" s="324"/>
      <c r="BO132" s="324"/>
      <c r="BP132" s="324"/>
      <c r="BQ132" s="324"/>
      <c r="BR132" s="324"/>
      <c r="BS132" s="324"/>
      <c r="BT132" s="324"/>
      <c r="BU132" s="324"/>
      <c r="BV132" s="324"/>
      <c r="BW132" s="324"/>
      <c r="BX132" s="324"/>
      <c r="BY132" s="324"/>
      <c r="BZ132" s="324"/>
      <c r="CA132" s="324"/>
    </row>
    <row r="133" spans="1:79" s="21" customFormat="1" ht="13" customHeight="1" x14ac:dyDescent="0.25">
      <c r="A133" s="321"/>
      <c r="B133" s="24" t="str">
        <f>VLOOKUP(216,Textbausteine_203[],Hilfsgrössen!$D$2,FALSE)</f>
        <v>6)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v>
      </c>
      <c r="C133" s="24"/>
      <c r="D133" s="24"/>
      <c r="E133" s="24"/>
      <c r="F133" s="24"/>
      <c r="G133" s="24"/>
      <c r="H133" s="24"/>
      <c r="I133" s="24"/>
      <c r="J133" s="24"/>
      <c r="K133" s="24"/>
      <c r="L133" s="24"/>
      <c r="M133" s="24"/>
      <c r="N133" s="24"/>
      <c r="O133" s="24"/>
      <c r="P133" s="24"/>
      <c r="Q133" s="24"/>
      <c r="R133" s="24"/>
      <c r="S133" s="322"/>
      <c r="T133" s="326"/>
      <c r="U133" s="326"/>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4"/>
      <c r="AY133" s="324"/>
      <c r="AZ133" s="324"/>
      <c r="BA133" s="324"/>
      <c r="BB133" s="324"/>
      <c r="BC133" s="324"/>
      <c r="BD133" s="324"/>
      <c r="BE133" s="324"/>
      <c r="BF133" s="324"/>
      <c r="BG133" s="324"/>
      <c r="BH133" s="324"/>
      <c r="BI133" s="324"/>
      <c r="BJ133" s="324"/>
      <c r="BK133" s="324"/>
      <c r="BL133" s="324"/>
      <c r="BM133" s="324"/>
      <c r="BN133" s="324"/>
      <c r="BO133" s="324"/>
      <c r="BP133" s="324"/>
      <c r="BQ133" s="324"/>
      <c r="BR133" s="324"/>
      <c r="BS133" s="324"/>
      <c r="BT133" s="324"/>
      <c r="BU133" s="324"/>
      <c r="BV133" s="324"/>
      <c r="BW133" s="324"/>
      <c r="BX133" s="324"/>
      <c r="BY133" s="324"/>
      <c r="BZ133" s="324"/>
      <c r="CA133" s="324"/>
    </row>
    <row r="134" spans="1:79" ht="13" customHeight="1" x14ac:dyDescent="0.3">
      <c r="B134" s="393"/>
      <c r="C134" s="393"/>
      <c r="D134" s="393"/>
      <c r="E134" s="393"/>
      <c r="F134" s="393"/>
      <c r="G134" s="393"/>
      <c r="H134" s="393"/>
      <c r="I134" s="393"/>
      <c r="J134" s="393"/>
      <c r="K134" s="393"/>
      <c r="L134" s="393"/>
      <c r="M134" s="393"/>
      <c r="N134" s="393"/>
      <c r="O134" s="393"/>
      <c r="P134" s="393"/>
      <c r="Q134" s="393"/>
      <c r="R134" s="393"/>
      <c r="T134" s="140"/>
      <c r="U134" s="140"/>
    </row>
    <row r="135" spans="1:79" ht="13" customHeight="1" x14ac:dyDescent="0.3">
      <c r="T135" s="140"/>
      <c r="U135" s="140"/>
    </row>
    <row r="136" spans="1:79" ht="13" customHeight="1" x14ac:dyDescent="0.3">
      <c r="T136" s="140"/>
      <c r="U136" s="140"/>
    </row>
    <row r="137" spans="1:79" s="31" customFormat="1" ht="13" customHeight="1" x14ac:dyDescent="0.3">
      <c r="A137" s="56" t="s">
        <v>900</v>
      </c>
      <c r="B137" s="385" t="str">
        <f>$C$10</f>
        <v>Comparaison des prix des services postaux</v>
      </c>
      <c r="C137" s="385"/>
      <c r="D137" s="6" t="str">
        <f>VLOOKUP(32,Textbausteine_Menu[],Hilfsgrössen!$D$2,FALSE)</f>
        <v>Unité</v>
      </c>
      <c r="E137" s="39" t="str">
        <f>VLOOKUP(33,Textbausteine_Menu[],Hilfsgrössen!$D$2,FALSE)</f>
        <v>Notes</v>
      </c>
      <c r="F137" s="39" t="str">
        <f>VLOOKUP(34,Textbausteine_Menu[],Hilfsgrössen!$D$2,FALSE)</f>
        <v>GRI</v>
      </c>
      <c r="G137" s="53"/>
      <c r="H137" s="117">
        <v>2004</v>
      </c>
      <c r="I137" s="117">
        <v>2005</v>
      </c>
      <c r="J137" s="117">
        <v>2006</v>
      </c>
      <c r="K137" s="117">
        <v>2007</v>
      </c>
      <c r="L137" s="117">
        <v>2008</v>
      </c>
      <c r="M137" s="117">
        <v>2009</v>
      </c>
      <c r="N137" s="117">
        <v>2010</v>
      </c>
      <c r="O137" s="117">
        <v>2011</v>
      </c>
      <c r="P137" s="117">
        <v>2012</v>
      </c>
      <c r="Q137" s="117">
        <v>2013</v>
      </c>
      <c r="R137" s="117">
        <v>2014</v>
      </c>
      <c r="S137" s="117">
        <v>2015</v>
      </c>
      <c r="T137" s="117">
        <v>2016</v>
      </c>
      <c r="U137" s="261">
        <v>2017</v>
      </c>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row>
    <row r="138" spans="1:79" s="31" customFormat="1" ht="13" customHeight="1" x14ac:dyDescent="0.3">
      <c r="A138" s="55"/>
      <c r="B138" s="385"/>
      <c r="C138" s="385"/>
      <c r="D138" s="6"/>
      <c r="E138" s="37"/>
      <c r="F138" s="37"/>
      <c r="G138" s="47"/>
      <c r="H138" s="117"/>
      <c r="I138" s="117"/>
      <c r="J138" s="117"/>
      <c r="K138" s="117"/>
      <c r="L138" s="106"/>
      <c r="M138" s="106"/>
      <c r="N138" s="107"/>
      <c r="O138" s="107"/>
      <c r="P138" s="107"/>
      <c r="Q138" s="107"/>
      <c r="R138" s="107"/>
      <c r="S138" s="107"/>
      <c r="T138" s="20"/>
      <c r="U138" s="262"/>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row>
    <row r="139" spans="1:79" ht="13" customHeight="1" x14ac:dyDescent="0.3">
      <c r="A139" s="66"/>
      <c r="B139" s="8"/>
      <c r="C139" s="9"/>
      <c r="D139" s="9"/>
      <c r="E139" s="40"/>
      <c r="F139" s="40"/>
      <c r="H139" s="117"/>
      <c r="I139" s="117"/>
      <c r="J139" s="117"/>
      <c r="K139" s="117"/>
      <c r="L139" s="106"/>
      <c r="M139" s="106"/>
      <c r="N139" s="107"/>
      <c r="O139" s="107"/>
      <c r="P139" s="107"/>
      <c r="Q139" s="107"/>
      <c r="R139" s="107"/>
      <c r="S139" s="107"/>
      <c r="U139" s="262"/>
    </row>
    <row r="140" spans="1:79" ht="13" customHeight="1" x14ac:dyDescent="0.3">
      <c r="A140" s="66"/>
      <c r="B140" s="8" t="str">
        <f>VLOOKUP(36,Textbausteine_Menu[],Hilfsgrössen!$D$2,FALSE)</f>
        <v>Groupe</v>
      </c>
      <c r="C140" s="9"/>
      <c r="D140" s="9"/>
      <c r="E140" s="40"/>
      <c r="F140" s="40"/>
      <c r="H140" s="117"/>
      <c r="I140" s="117"/>
      <c r="J140" s="117"/>
      <c r="K140" s="117"/>
      <c r="L140" s="106"/>
      <c r="M140" s="106"/>
      <c r="N140" s="107"/>
      <c r="O140" s="107"/>
      <c r="P140" s="107"/>
      <c r="Q140" s="107"/>
      <c r="R140" s="107"/>
      <c r="S140" s="107"/>
      <c r="U140" s="262"/>
    </row>
    <row r="141" spans="1:79" ht="13" customHeight="1" x14ac:dyDescent="0.3">
      <c r="C141" s="31" t="str">
        <f>VLOOKUP(111,Textbausteine_203[],Hilfsgrössen!$D$2,FALSE)</f>
        <v>Indice du prix des lettres corrigé du taux de change</v>
      </c>
      <c r="U141" s="262"/>
    </row>
    <row r="142" spans="1:79" ht="13" customHeight="1" x14ac:dyDescent="0.3">
      <c r="C142" s="36" t="str">
        <f>VLOOKUP(119,Textbausteine_203[],Hilfsgrössen!$D$2,FALSE)</f>
        <v>Danemark</v>
      </c>
      <c r="D142" s="1" t="str">
        <f>VLOOKUP(17,Textbausteine_203[],Hilfsgrössen!$D$2,FALSE)</f>
        <v>Indice</v>
      </c>
      <c r="E142" s="37" t="s">
        <v>802</v>
      </c>
      <c r="H142" s="100" t="s">
        <v>1595</v>
      </c>
      <c r="I142" s="100" t="s">
        <v>1595</v>
      </c>
      <c r="J142" s="100" t="s">
        <v>1595</v>
      </c>
      <c r="K142" s="100" t="s">
        <v>1595</v>
      </c>
      <c r="L142" s="100">
        <v>137</v>
      </c>
      <c r="M142" s="100">
        <v>127</v>
      </c>
      <c r="N142" s="100">
        <v>129</v>
      </c>
      <c r="O142" s="100">
        <v>147</v>
      </c>
      <c r="P142" s="100">
        <v>146</v>
      </c>
      <c r="Q142" s="100">
        <v>150</v>
      </c>
      <c r="R142" s="100">
        <v>164</v>
      </c>
      <c r="S142" s="100">
        <v>156</v>
      </c>
      <c r="T142" s="20">
        <v>303</v>
      </c>
      <c r="U142" s="262">
        <v>324</v>
      </c>
    </row>
    <row r="143" spans="1:79" ht="13" customHeight="1" x14ac:dyDescent="0.3">
      <c r="C143" s="36" t="str">
        <f>VLOOKUP(127,Textbausteine_203[],Hilfsgrössen!$D$2,FALSE)</f>
        <v>Norvège</v>
      </c>
      <c r="D143" s="1" t="str">
        <f>VLOOKUP(17,Textbausteine_203[],Hilfsgrössen!$D$2,FALSE)</f>
        <v>Indice</v>
      </c>
      <c r="E143" s="37" t="s">
        <v>802</v>
      </c>
      <c r="H143" s="100" t="s">
        <v>1595</v>
      </c>
      <c r="I143" s="100" t="s">
        <v>1595</v>
      </c>
      <c r="J143" s="100" t="s">
        <v>1595</v>
      </c>
      <c r="K143" s="100" t="s">
        <v>1595</v>
      </c>
      <c r="L143" s="100">
        <v>206</v>
      </c>
      <c r="M143" s="100">
        <v>173</v>
      </c>
      <c r="N143" s="100">
        <v>206</v>
      </c>
      <c r="O143" s="100">
        <v>203</v>
      </c>
      <c r="P143" s="100">
        <v>214</v>
      </c>
      <c r="Q143" s="100">
        <v>209</v>
      </c>
      <c r="R143" s="100">
        <v>199</v>
      </c>
      <c r="S143" s="100">
        <v>166</v>
      </c>
      <c r="T143" s="20">
        <v>179</v>
      </c>
      <c r="U143" s="262">
        <v>211</v>
      </c>
      <c r="V143" s="11"/>
    </row>
    <row r="144" spans="1:79" ht="13" customHeight="1" x14ac:dyDescent="0.3">
      <c r="C144" s="36" t="str">
        <f>VLOOKUP(125,Textbausteine_203[],Hilfsgrössen!$D$2,FALSE)</f>
        <v>Italie</v>
      </c>
      <c r="D144" s="1" t="str">
        <f>VLOOKUP(17,Textbausteine_203[],Hilfsgrössen!$D$2,FALSE)</f>
        <v>Indice</v>
      </c>
      <c r="E144" s="37" t="s">
        <v>802</v>
      </c>
      <c r="H144" s="100" t="s">
        <v>1595</v>
      </c>
      <c r="I144" s="100" t="s">
        <v>1595</v>
      </c>
      <c r="J144" s="100" t="s">
        <v>1595</v>
      </c>
      <c r="K144" s="100" t="s">
        <v>1595</v>
      </c>
      <c r="L144" s="100">
        <v>166</v>
      </c>
      <c r="M144" s="100">
        <v>152</v>
      </c>
      <c r="N144" s="100">
        <v>147</v>
      </c>
      <c r="O144" s="100">
        <v>130</v>
      </c>
      <c r="P144" s="100">
        <v>130</v>
      </c>
      <c r="Q144" s="100">
        <v>169</v>
      </c>
      <c r="R144" s="100">
        <v>161</v>
      </c>
      <c r="S144" s="100">
        <v>182</v>
      </c>
      <c r="T144" s="20">
        <v>182</v>
      </c>
      <c r="U144" s="262">
        <v>195</v>
      </c>
      <c r="V144" s="11"/>
    </row>
    <row r="145" spans="1:79" ht="13" customHeight="1" x14ac:dyDescent="0.3">
      <c r="C145" s="36" t="str">
        <f>VLOOKUP(121,Textbausteine_203[],Hilfsgrössen!$D$2,FALSE)</f>
        <v>Finlande</v>
      </c>
      <c r="D145" s="1" t="str">
        <f>VLOOKUP(17,Textbausteine_203[],Hilfsgrössen!$D$2,FALSE)</f>
        <v>Indice</v>
      </c>
      <c r="E145" s="37" t="s">
        <v>802</v>
      </c>
      <c r="H145" s="100" t="s">
        <v>1595</v>
      </c>
      <c r="I145" s="100" t="s">
        <v>1595</v>
      </c>
      <c r="J145" s="100" t="s">
        <v>1595</v>
      </c>
      <c r="K145" s="100" t="s">
        <v>1595</v>
      </c>
      <c r="L145" s="100">
        <v>116</v>
      </c>
      <c r="M145" s="100">
        <v>116</v>
      </c>
      <c r="N145" s="100">
        <v>117</v>
      </c>
      <c r="O145" s="100">
        <v>93</v>
      </c>
      <c r="P145" s="100">
        <v>103</v>
      </c>
      <c r="Q145" s="100">
        <v>112</v>
      </c>
      <c r="R145" s="100">
        <v>131</v>
      </c>
      <c r="S145" s="100">
        <v>130</v>
      </c>
      <c r="T145" s="20">
        <v>142</v>
      </c>
      <c r="U145" s="262">
        <v>182</v>
      </c>
      <c r="V145" s="11"/>
    </row>
    <row r="146" spans="1:79" ht="13" customHeight="1" x14ac:dyDescent="0.3">
      <c r="C146" s="36" t="str">
        <f>VLOOKUP(122,Textbausteine_203[],Hilfsgrössen!$D$2,FALSE)</f>
        <v>France</v>
      </c>
      <c r="D146" s="1" t="str">
        <f>VLOOKUP(17,Textbausteine_203[],Hilfsgrössen!$D$2,FALSE)</f>
        <v>Indice</v>
      </c>
      <c r="E146" s="37" t="s">
        <v>802</v>
      </c>
      <c r="H146" s="100" t="s">
        <v>1595</v>
      </c>
      <c r="I146" s="100" t="s">
        <v>1595</v>
      </c>
      <c r="J146" s="100" t="s">
        <v>1595</v>
      </c>
      <c r="K146" s="100" t="s">
        <v>1595</v>
      </c>
      <c r="L146" s="100">
        <v>117</v>
      </c>
      <c r="M146" s="100">
        <v>110</v>
      </c>
      <c r="N146" s="100">
        <v>114</v>
      </c>
      <c r="O146" s="100">
        <v>111</v>
      </c>
      <c r="P146" s="100">
        <v>111</v>
      </c>
      <c r="Q146" s="100">
        <v>118</v>
      </c>
      <c r="R146" s="100">
        <v>121</v>
      </c>
      <c r="S146" s="100">
        <v>119</v>
      </c>
      <c r="T146" s="20">
        <v>128</v>
      </c>
      <c r="U146" s="262">
        <v>145</v>
      </c>
      <c r="V146" s="11"/>
    </row>
    <row r="147" spans="1:79" ht="13" customHeight="1" x14ac:dyDescent="0.3">
      <c r="C147" s="36" t="str">
        <f>VLOOKUP(126,Textbausteine_203[],Hilfsgrössen!$D$2,FALSE)</f>
        <v>Pays-Bas</v>
      </c>
      <c r="D147" s="1" t="str">
        <f>VLOOKUP(17,Textbausteine_203[],Hilfsgrössen!$D$2,FALSE)</f>
        <v>Indice</v>
      </c>
      <c r="E147" s="37" t="s">
        <v>802</v>
      </c>
      <c r="H147" s="100" t="s">
        <v>1595</v>
      </c>
      <c r="I147" s="100" t="s">
        <v>1595</v>
      </c>
      <c r="J147" s="100" t="s">
        <v>1595</v>
      </c>
      <c r="K147" s="100" t="s">
        <v>1595</v>
      </c>
      <c r="L147" s="100">
        <v>116</v>
      </c>
      <c r="M147" s="100">
        <v>106</v>
      </c>
      <c r="N147" s="100">
        <v>103</v>
      </c>
      <c r="O147" s="100">
        <v>95</v>
      </c>
      <c r="P147" s="100">
        <v>103</v>
      </c>
      <c r="Q147" s="100">
        <v>126</v>
      </c>
      <c r="R147" s="100">
        <v>132</v>
      </c>
      <c r="S147" s="100">
        <v>120</v>
      </c>
      <c r="T147" s="20">
        <v>126</v>
      </c>
      <c r="U147" s="262">
        <v>145</v>
      </c>
      <c r="V147" s="11"/>
    </row>
    <row r="148" spans="1:79" ht="13" customHeight="1" x14ac:dyDescent="0.3">
      <c r="C148" s="36" t="str">
        <f>VLOOKUP(124,Textbausteine_203[],Hilfsgrössen!$D$2,FALSE)</f>
        <v>Irlande</v>
      </c>
      <c r="D148" s="1" t="str">
        <f>VLOOKUP(17,Textbausteine_203[],Hilfsgrössen!$D$2,FALSE)</f>
        <v>Indice</v>
      </c>
      <c r="E148" s="37" t="s">
        <v>802</v>
      </c>
      <c r="H148" s="100" t="s">
        <v>1595</v>
      </c>
      <c r="I148" s="100" t="s">
        <v>1595</v>
      </c>
      <c r="J148" s="100" t="s">
        <v>1595</v>
      </c>
      <c r="K148" s="100" t="s">
        <v>1595</v>
      </c>
      <c r="L148" s="100">
        <v>96</v>
      </c>
      <c r="M148" s="100">
        <v>88</v>
      </c>
      <c r="N148" s="100">
        <v>86</v>
      </c>
      <c r="O148" s="100">
        <v>76</v>
      </c>
      <c r="P148" s="100">
        <v>77</v>
      </c>
      <c r="Q148" s="100">
        <v>85</v>
      </c>
      <c r="R148" s="100">
        <v>94</v>
      </c>
      <c r="S148" s="100">
        <v>87</v>
      </c>
      <c r="T148" s="20">
        <v>89</v>
      </c>
      <c r="U148" s="262">
        <v>128</v>
      </c>
      <c r="V148" s="11"/>
    </row>
    <row r="149" spans="1:79" s="31" customFormat="1" ht="13" customHeight="1" x14ac:dyDescent="0.3">
      <c r="A149" s="90"/>
      <c r="C149" s="36" t="str">
        <f>VLOOKUP(115,Textbausteine_203[],Hilfsgrössen!$D$2,FALSE)</f>
        <v>Autriche</v>
      </c>
      <c r="D149" s="1" t="str">
        <f>VLOOKUP(17,Textbausteine_203[],Hilfsgrössen!$D$2,FALSE)</f>
        <v>Indice</v>
      </c>
      <c r="E149" s="37" t="s">
        <v>802</v>
      </c>
      <c r="F149" s="37"/>
      <c r="G149" s="47"/>
      <c r="H149" s="100" t="s">
        <v>1595</v>
      </c>
      <c r="I149" s="100" t="s">
        <v>1595</v>
      </c>
      <c r="J149" s="100" t="s">
        <v>1595</v>
      </c>
      <c r="K149" s="100" t="s">
        <v>1595</v>
      </c>
      <c r="L149" s="100">
        <v>110</v>
      </c>
      <c r="M149" s="100">
        <v>100</v>
      </c>
      <c r="N149" s="100">
        <v>97</v>
      </c>
      <c r="O149" s="100">
        <v>102</v>
      </c>
      <c r="P149" s="100">
        <v>101</v>
      </c>
      <c r="Q149" s="100">
        <v>103</v>
      </c>
      <c r="R149" s="100">
        <v>101</v>
      </c>
      <c r="S149" s="100">
        <v>96</v>
      </c>
      <c r="T149" s="20">
        <v>96</v>
      </c>
      <c r="U149" s="262">
        <v>123</v>
      </c>
      <c r="V149" s="40"/>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row>
    <row r="150" spans="1:79" ht="13" customHeight="1" x14ac:dyDescent="0.3">
      <c r="C150" s="36" t="str">
        <f>VLOOKUP(116,Textbausteine_203[],Hilfsgrössen!$D$2,FALSE)</f>
        <v>Belgique</v>
      </c>
      <c r="D150" s="1" t="str">
        <f>VLOOKUP(17,Textbausteine_203[],Hilfsgrössen!$D$2,FALSE)</f>
        <v>Indice</v>
      </c>
      <c r="E150" s="37" t="s">
        <v>802</v>
      </c>
      <c r="H150" s="100" t="s">
        <v>1595</v>
      </c>
      <c r="I150" s="100" t="s">
        <v>1595</v>
      </c>
      <c r="J150" s="100" t="s">
        <v>1595</v>
      </c>
      <c r="K150" s="100" t="s">
        <v>1595</v>
      </c>
      <c r="L150" s="100">
        <v>102</v>
      </c>
      <c r="M150" s="100">
        <v>105</v>
      </c>
      <c r="N150" s="100">
        <v>120</v>
      </c>
      <c r="O150" s="100">
        <v>109</v>
      </c>
      <c r="P150" s="100">
        <v>114</v>
      </c>
      <c r="Q150" s="100">
        <v>120</v>
      </c>
      <c r="R150" s="100">
        <v>118</v>
      </c>
      <c r="S150" s="100">
        <v>103</v>
      </c>
      <c r="T150" s="20">
        <v>105</v>
      </c>
      <c r="U150" s="262">
        <v>112</v>
      </c>
      <c r="V150" s="11"/>
    </row>
    <row r="151" spans="1:79" ht="13" customHeight="1" x14ac:dyDescent="0.3">
      <c r="C151" s="36" t="str">
        <f>VLOOKUP(129,Textbausteine_203[],Hilfsgrössen!$D$2,FALSE)</f>
        <v>Suède</v>
      </c>
      <c r="D151" s="1" t="str">
        <f>VLOOKUP(17,Textbausteine_203[],Hilfsgrössen!$D$2,FALSE)</f>
        <v>Indice</v>
      </c>
      <c r="E151" s="37" t="s">
        <v>802</v>
      </c>
      <c r="H151" s="100" t="s">
        <v>1595</v>
      </c>
      <c r="I151" s="100" t="s">
        <v>1595</v>
      </c>
      <c r="J151" s="100" t="s">
        <v>1595</v>
      </c>
      <c r="K151" s="100" t="s">
        <v>1595</v>
      </c>
      <c r="L151" s="100">
        <v>141</v>
      </c>
      <c r="M151" s="100">
        <v>122</v>
      </c>
      <c r="N151" s="100">
        <v>140</v>
      </c>
      <c r="O151" s="100">
        <v>127</v>
      </c>
      <c r="P151" s="100">
        <v>133</v>
      </c>
      <c r="Q151" s="100">
        <v>132</v>
      </c>
      <c r="R151" s="100">
        <v>119</v>
      </c>
      <c r="S151" s="100">
        <v>103</v>
      </c>
      <c r="T151" s="20">
        <v>90</v>
      </c>
      <c r="U151" s="262">
        <v>101</v>
      </c>
      <c r="V151" s="11"/>
    </row>
    <row r="152" spans="1:79" ht="13" customHeight="1" x14ac:dyDescent="0.3">
      <c r="C152" s="320" t="str">
        <f>VLOOKUP(117,Textbausteine_203[],Hilfsgrössen!$D$2,FALSE)</f>
        <v>Suisse</v>
      </c>
      <c r="D152" s="31" t="str">
        <f>VLOOKUP(17,Textbausteine_203[],Hilfsgrössen!$D$2,FALSE)</f>
        <v>Indice</v>
      </c>
      <c r="E152" s="39" t="s">
        <v>802</v>
      </c>
      <c r="F152" s="39"/>
      <c r="G152" s="46"/>
      <c r="H152" s="96" t="s">
        <v>1595</v>
      </c>
      <c r="I152" s="96" t="s">
        <v>1595</v>
      </c>
      <c r="J152" s="96" t="s">
        <v>1595</v>
      </c>
      <c r="K152" s="96" t="s">
        <v>1595</v>
      </c>
      <c r="L152" s="96">
        <v>100</v>
      </c>
      <c r="M152" s="96">
        <v>100</v>
      </c>
      <c r="N152" s="96">
        <v>100</v>
      </c>
      <c r="O152" s="96">
        <v>100</v>
      </c>
      <c r="P152" s="96">
        <v>100</v>
      </c>
      <c r="Q152" s="96">
        <v>100</v>
      </c>
      <c r="R152" s="96">
        <v>100</v>
      </c>
      <c r="S152" s="96">
        <v>100</v>
      </c>
      <c r="T152" s="117">
        <v>100</v>
      </c>
      <c r="U152" s="261">
        <v>100</v>
      </c>
      <c r="V152" s="11"/>
    </row>
    <row r="153" spans="1:79" ht="13" customHeight="1" x14ac:dyDescent="0.3">
      <c r="C153" s="36" t="str">
        <f>VLOOKUP(118,Textbausteine_203[],Hilfsgrössen!$D$2,FALSE)</f>
        <v>Allemagne</v>
      </c>
      <c r="D153" s="1" t="str">
        <f>VLOOKUP(17,Textbausteine_203[],Hilfsgrössen!$D$2,FALSE)</f>
        <v>Indice</v>
      </c>
      <c r="E153" s="37" t="s">
        <v>802</v>
      </c>
      <c r="H153" s="100" t="s">
        <v>1595</v>
      </c>
      <c r="I153" s="100" t="s">
        <v>1595</v>
      </c>
      <c r="J153" s="100" t="s">
        <v>1595</v>
      </c>
      <c r="K153" s="100" t="s">
        <v>1595</v>
      </c>
      <c r="L153" s="100">
        <v>123</v>
      </c>
      <c r="M153" s="100">
        <v>113</v>
      </c>
      <c r="N153" s="100">
        <v>110</v>
      </c>
      <c r="O153" s="100">
        <v>97</v>
      </c>
      <c r="P153" s="100">
        <v>96</v>
      </c>
      <c r="Q153" s="100">
        <v>101</v>
      </c>
      <c r="R153" s="100">
        <v>99</v>
      </c>
      <c r="S153" s="100">
        <v>85</v>
      </c>
      <c r="T153" s="20">
        <v>91</v>
      </c>
      <c r="U153" s="262">
        <v>97</v>
      </c>
      <c r="V153" s="11"/>
    </row>
    <row r="154" spans="1:79" ht="13" customHeight="1" x14ac:dyDescent="0.3">
      <c r="C154" s="36" t="str">
        <f t="array" ref="C154">VLOOKUP(123,Textbausteine_203[],Hilfsgrössen!$D$2,FALSE)</f>
        <v>Royaume-Uni</v>
      </c>
      <c r="D154" s="1" t="str">
        <f>VLOOKUP(17,Textbausteine_203[],Hilfsgrössen!$D$2,FALSE)</f>
        <v>Indice</v>
      </c>
      <c r="E154" s="37" t="s">
        <v>802</v>
      </c>
      <c r="H154" s="100" t="s">
        <v>1595</v>
      </c>
      <c r="I154" s="100" t="s">
        <v>1595</v>
      </c>
      <c r="J154" s="100" t="s">
        <v>1595</v>
      </c>
      <c r="K154" s="100" t="s">
        <v>1595</v>
      </c>
      <c r="L154" s="100">
        <v>67</v>
      </c>
      <c r="M154" s="100">
        <v>56</v>
      </c>
      <c r="N154" s="100">
        <v>67</v>
      </c>
      <c r="O154" s="100">
        <v>67</v>
      </c>
      <c r="P154" s="100">
        <v>92</v>
      </c>
      <c r="Q154" s="100">
        <v>88</v>
      </c>
      <c r="R154" s="100">
        <v>97</v>
      </c>
      <c r="S154" s="100">
        <v>98</v>
      </c>
      <c r="T154" s="20">
        <v>79</v>
      </c>
      <c r="U154" s="262">
        <v>88</v>
      </c>
      <c r="V154" s="11"/>
    </row>
    <row r="155" spans="1:79" ht="13" customHeight="1" x14ac:dyDescent="0.3">
      <c r="C155" s="36" t="str">
        <f>VLOOKUP(128,Textbausteine_203[],Hilfsgrössen!$D$2,FALSE)</f>
        <v>Portugal</v>
      </c>
      <c r="D155" s="1" t="str">
        <f>VLOOKUP(17,Textbausteine_203[],Hilfsgrössen!$D$2,FALSE)</f>
        <v>Indice</v>
      </c>
      <c r="E155" s="37" t="s">
        <v>802</v>
      </c>
      <c r="H155" s="100" t="s">
        <v>1595</v>
      </c>
      <c r="I155" s="100" t="s">
        <v>1595</v>
      </c>
      <c r="J155" s="100" t="s">
        <v>1595</v>
      </c>
      <c r="K155" s="100" t="s">
        <v>1595</v>
      </c>
      <c r="L155" s="100">
        <v>83</v>
      </c>
      <c r="M155" s="100">
        <v>82</v>
      </c>
      <c r="N155" s="100">
        <v>80</v>
      </c>
      <c r="O155" s="100">
        <v>71</v>
      </c>
      <c r="P155" s="100">
        <v>70</v>
      </c>
      <c r="Q155" s="100">
        <v>79</v>
      </c>
      <c r="R155" s="100">
        <v>80</v>
      </c>
      <c r="S155" s="100">
        <v>75</v>
      </c>
      <c r="T155" s="20">
        <v>78</v>
      </c>
      <c r="U155" s="262">
        <v>87</v>
      </c>
      <c r="V155" s="11"/>
    </row>
    <row r="156" spans="1:79" ht="13" customHeight="1" x14ac:dyDescent="0.3">
      <c r="C156" s="36" t="str">
        <f>VLOOKUP(120,Textbausteine_203[],Hilfsgrössen!$D$2,FALSE)</f>
        <v>Espagne</v>
      </c>
      <c r="D156" s="1" t="str">
        <f>VLOOKUP(17,Textbausteine_203[],Hilfsgrössen!$D$2,FALSE)</f>
        <v>Indice</v>
      </c>
      <c r="E156" s="37" t="s">
        <v>802</v>
      </c>
      <c r="H156" s="100" t="s">
        <v>1595</v>
      </c>
      <c r="I156" s="100" t="s">
        <v>1595</v>
      </c>
      <c r="J156" s="100" t="s">
        <v>1595</v>
      </c>
      <c r="K156" s="100" t="s">
        <v>1595</v>
      </c>
      <c r="L156" s="100">
        <v>82</v>
      </c>
      <c r="M156" s="100">
        <v>83</v>
      </c>
      <c r="N156" s="100">
        <v>79</v>
      </c>
      <c r="O156" s="100">
        <v>68</v>
      </c>
      <c r="P156" s="100">
        <v>69</v>
      </c>
      <c r="Q156" s="100">
        <v>72</v>
      </c>
      <c r="R156" s="100">
        <v>72</v>
      </c>
      <c r="S156" s="100">
        <v>66</v>
      </c>
      <c r="T156" s="20">
        <v>68</v>
      </c>
      <c r="U156" s="262">
        <v>78</v>
      </c>
      <c r="V156" s="11"/>
    </row>
    <row r="157" spans="1:79" ht="13" customHeight="1" x14ac:dyDescent="0.3">
      <c r="U157" s="262"/>
      <c r="V157" s="11"/>
    </row>
    <row r="158" spans="1:79" s="31" customFormat="1" ht="13" customHeight="1" x14ac:dyDescent="0.3">
      <c r="A158" s="90"/>
      <c r="C158" s="31" t="str">
        <f>VLOOKUP(112,Textbausteine_203[],Hilfsgrössen!$D$2,FALSE)</f>
        <v>Indice du prix des lettres en parité de pouvoir d'achat</v>
      </c>
      <c r="E158" s="39"/>
      <c r="F158" s="39"/>
      <c r="G158" s="46"/>
      <c r="H158" s="96"/>
      <c r="I158" s="96"/>
      <c r="J158" s="96"/>
      <c r="K158" s="96"/>
      <c r="L158" s="96"/>
      <c r="M158" s="96"/>
      <c r="N158" s="96"/>
      <c r="O158" s="96"/>
      <c r="P158" s="96"/>
      <c r="Q158" s="96"/>
      <c r="R158" s="96"/>
      <c r="S158" s="96"/>
      <c r="T158" s="117"/>
      <c r="U158" s="261"/>
      <c r="V158" s="40"/>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row>
    <row r="159" spans="1:79" ht="13" customHeight="1" x14ac:dyDescent="0.3">
      <c r="C159" s="36" t="str">
        <f>VLOOKUP(119,Textbausteine_203[],Hilfsgrössen!$D$2,FALSE)</f>
        <v>Danemark</v>
      </c>
      <c r="D159" s="1" t="str">
        <f>VLOOKUP(17,Textbausteine_203[],Hilfsgrössen!$D$2,FALSE)</f>
        <v>Indice</v>
      </c>
      <c r="E159" s="37">
        <v>1</v>
      </c>
      <c r="H159" s="100" t="s">
        <v>1595</v>
      </c>
      <c r="I159" s="100" t="s">
        <v>1595</v>
      </c>
      <c r="J159" s="100" t="s">
        <v>1595</v>
      </c>
      <c r="K159" s="100" t="s">
        <v>1595</v>
      </c>
      <c r="L159" s="100" t="s">
        <v>1595</v>
      </c>
      <c r="M159" s="100" t="s">
        <v>1595</v>
      </c>
      <c r="N159" s="100" t="s">
        <v>1595</v>
      </c>
      <c r="O159" s="100">
        <v>172</v>
      </c>
      <c r="P159" s="100">
        <v>169</v>
      </c>
      <c r="Q159" s="100">
        <v>163</v>
      </c>
      <c r="R159" s="100">
        <v>182</v>
      </c>
      <c r="S159" s="100">
        <v>193</v>
      </c>
      <c r="T159" s="20">
        <v>354</v>
      </c>
      <c r="U159" s="262">
        <v>352</v>
      </c>
    </row>
    <row r="160" spans="1:79" ht="13" customHeight="1" x14ac:dyDescent="0.3">
      <c r="C160" s="36" t="str">
        <f>VLOOKUP(125,Textbausteine_203[],Hilfsgrössen!$D$2,FALSE)</f>
        <v>Italie</v>
      </c>
      <c r="D160" s="1" t="str">
        <f>VLOOKUP(17,Textbausteine_203[],Hilfsgrössen!$D$2,FALSE)</f>
        <v>Indice</v>
      </c>
      <c r="E160" s="37">
        <v>1</v>
      </c>
      <c r="H160" s="100" t="s">
        <v>1595</v>
      </c>
      <c r="I160" s="100" t="s">
        <v>1595</v>
      </c>
      <c r="J160" s="100" t="s">
        <v>1595</v>
      </c>
      <c r="K160" s="100" t="s">
        <v>1595</v>
      </c>
      <c r="L160" s="100" t="s">
        <v>1595</v>
      </c>
      <c r="M160" s="100" t="s">
        <v>1595</v>
      </c>
      <c r="N160" s="100" t="s">
        <v>1595</v>
      </c>
      <c r="O160" s="100">
        <v>201</v>
      </c>
      <c r="P160" s="100">
        <v>199</v>
      </c>
      <c r="Q160" s="100">
        <v>245</v>
      </c>
      <c r="R160" s="100">
        <v>245</v>
      </c>
      <c r="S160" s="100">
        <v>302</v>
      </c>
      <c r="T160" s="20">
        <v>285</v>
      </c>
      <c r="U160" s="262">
        <v>285</v>
      </c>
    </row>
    <row r="161" spans="1:79" ht="13" customHeight="1" x14ac:dyDescent="0.3">
      <c r="C161" s="36" t="str">
        <f>VLOOKUP(121,Textbausteine_203[],Hilfsgrössen!$D$2,FALSE)</f>
        <v>Finlande</v>
      </c>
      <c r="D161" s="1" t="str">
        <f>VLOOKUP(17,Textbausteine_203[],Hilfsgrössen!$D$2,FALSE)</f>
        <v>Indice</v>
      </c>
      <c r="E161" s="37" t="s">
        <v>802</v>
      </c>
      <c r="H161" s="100" t="s">
        <v>1595</v>
      </c>
      <c r="I161" s="100" t="s">
        <v>1595</v>
      </c>
      <c r="J161" s="100" t="s">
        <v>1595</v>
      </c>
      <c r="K161" s="100" t="s">
        <v>1595</v>
      </c>
      <c r="L161" s="100" t="s">
        <v>1595</v>
      </c>
      <c r="M161" s="100" t="s">
        <v>1595</v>
      </c>
      <c r="N161" s="100" t="s">
        <v>1595</v>
      </c>
      <c r="O161" s="100">
        <v>121</v>
      </c>
      <c r="P161" s="100">
        <v>133</v>
      </c>
      <c r="Q161" s="100">
        <v>137</v>
      </c>
      <c r="R161" s="100">
        <v>162</v>
      </c>
      <c r="S161" s="100">
        <v>174</v>
      </c>
      <c r="T161" s="20">
        <v>180</v>
      </c>
      <c r="U161" s="262">
        <v>213</v>
      </c>
    </row>
    <row r="162" spans="1:79" ht="13" customHeight="1" x14ac:dyDescent="0.3">
      <c r="C162" s="36" t="str">
        <f>VLOOKUP(127,Textbausteine_203[],Hilfsgrössen!$D$2,FALSE)</f>
        <v>Norvège</v>
      </c>
      <c r="D162" s="1" t="str">
        <f>VLOOKUP(17,Textbausteine_203[],Hilfsgrössen!$D$2,FALSE)</f>
        <v>Indice</v>
      </c>
      <c r="E162" s="37">
        <v>1</v>
      </c>
      <c r="H162" s="100" t="s">
        <v>1595</v>
      </c>
      <c r="I162" s="100" t="s">
        <v>1595</v>
      </c>
      <c r="J162" s="100" t="s">
        <v>1595</v>
      </c>
      <c r="K162" s="100" t="s">
        <v>1595</v>
      </c>
      <c r="L162" s="100" t="s">
        <v>1595</v>
      </c>
      <c r="M162" s="100" t="s">
        <v>1595</v>
      </c>
      <c r="N162" s="100" t="s">
        <v>1595</v>
      </c>
      <c r="O162" s="100">
        <v>202</v>
      </c>
      <c r="P162" s="100">
        <v>215</v>
      </c>
      <c r="Q162" s="100">
        <v>215</v>
      </c>
      <c r="R162" s="100">
        <v>215</v>
      </c>
      <c r="S162" s="100">
        <v>206</v>
      </c>
      <c r="T162" s="20">
        <v>196</v>
      </c>
      <c r="U162" s="262">
        <v>212</v>
      </c>
    </row>
    <row r="163" spans="1:79" ht="13" customHeight="1" x14ac:dyDescent="0.3">
      <c r="C163" s="36" t="str">
        <f>VLOOKUP(122,Textbausteine_203[],Hilfsgrössen!$D$2,FALSE)</f>
        <v>France</v>
      </c>
      <c r="D163" s="1" t="str">
        <f>VLOOKUP(17,Textbausteine_203[],Hilfsgrössen!$D$2,FALSE)</f>
        <v>Indice</v>
      </c>
      <c r="E163" s="37">
        <v>1</v>
      </c>
      <c r="H163" s="100" t="s">
        <v>1595</v>
      </c>
      <c r="I163" s="100" t="s">
        <v>1595</v>
      </c>
      <c r="J163" s="100" t="s">
        <v>1595</v>
      </c>
      <c r="K163" s="100" t="s">
        <v>1595</v>
      </c>
      <c r="L163" s="100" t="s">
        <v>1595</v>
      </c>
      <c r="M163" s="100" t="s">
        <v>1595</v>
      </c>
      <c r="N163" s="100" t="s">
        <v>1595</v>
      </c>
      <c r="O163" s="100">
        <v>158</v>
      </c>
      <c r="P163" s="100">
        <v>154</v>
      </c>
      <c r="Q163" s="100">
        <v>156</v>
      </c>
      <c r="R163" s="100">
        <v>165</v>
      </c>
      <c r="S163" s="100">
        <v>180</v>
      </c>
      <c r="T163" s="20">
        <v>183</v>
      </c>
      <c r="U163" s="262">
        <v>191</v>
      </c>
    </row>
    <row r="164" spans="1:79" ht="13" customHeight="1" x14ac:dyDescent="0.3">
      <c r="C164" s="36" t="str">
        <f>VLOOKUP(126,Textbausteine_203[],Hilfsgrössen!$D$2,FALSE)</f>
        <v>Pays-Bas</v>
      </c>
      <c r="D164" s="1" t="str">
        <f>VLOOKUP(17,Textbausteine_203[],Hilfsgrössen!$D$2,FALSE)</f>
        <v>Indice</v>
      </c>
      <c r="E164" s="37">
        <v>1</v>
      </c>
      <c r="H164" s="100" t="s">
        <v>1595</v>
      </c>
      <c r="I164" s="100" t="s">
        <v>1595</v>
      </c>
      <c r="J164" s="100" t="s">
        <v>1595</v>
      </c>
      <c r="K164" s="100" t="s">
        <v>1595</v>
      </c>
      <c r="L164" s="100" t="s">
        <v>1595</v>
      </c>
      <c r="M164" s="100" t="s">
        <v>1595</v>
      </c>
      <c r="N164" s="100" t="s">
        <v>1595</v>
      </c>
      <c r="O164" s="100">
        <v>141</v>
      </c>
      <c r="P164" s="100">
        <v>148</v>
      </c>
      <c r="Q164" s="100">
        <v>172</v>
      </c>
      <c r="R164" s="100">
        <v>184</v>
      </c>
      <c r="S164" s="100">
        <v>183</v>
      </c>
      <c r="T164" s="20">
        <v>180</v>
      </c>
      <c r="U164" s="262">
        <v>189</v>
      </c>
    </row>
    <row r="165" spans="1:79" ht="13" customHeight="1" x14ac:dyDescent="0.3">
      <c r="C165" s="36" t="str">
        <f>VLOOKUP(124,Textbausteine_203[],Hilfsgrössen!$D$2,FALSE)</f>
        <v>Irlande</v>
      </c>
      <c r="D165" s="1" t="str">
        <f>VLOOKUP(17,Textbausteine_203[],Hilfsgrössen!$D$2,FALSE)</f>
        <v>Indice</v>
      </c>
      <c r="E165" s="37">
        <v>1</v>
      </c>
      <c r="H165" s="100" t="s">
        <v>1595</v>
      </c>
      <c r="I165" s="100" t="s">
        <v>1595</v>
      </c>
      <c r="J165" s="100" t="s">
        <v>1595</v>
      </c>
      <c r="K165" s="100" t="s">
        <v>1595</v>
      </c>
      <c r="L165" s="100" t="s">
        <v>1595</v>
      </c>
      <c r="M165" s="100" t="s">
        <v>1595</v>
      </c>
      <c r="N165" s="100" t="s">
        <v>1595</v>
      </c>
      <c r="O165" s="100">
        <v>111</v>
      </c>
      <c r="P165" s="100">
        <v>112</v>
      </c>
      <c r="Q165" s="100">
        <v>118</v>
      </c>
      <c r="R165" s="100">
        <v>131</v>
      </c>
      <c r="S165" s="100">
        <v>130</v>
      </c>
      <c r="T165" s="20">
        <v>124</v>
      </c>
      <c r="U165" s="262">
        <v>168</v>
      </c>
    </row>
    <row r="166" spans="1:79" ht="13" customHeight="1" x14ac:dyDescent="0.3">
      <c r="C166" s="36" t="str">
        <f>VLOOKUP(115,Textbausteine_203[],Hilfsgrössen!$D$2,FALSE)</f>
        <v>Autriche</v>
      </c>
      <c r="D166" s="1" t="str">
        <f>VLOOKUP(17,Textbausteine_203[],Hilfsgrössen!$D$2,FALSE)</f>
        <v>Indice</v>
      </c>
      <c r="E166" s="37">
        <v>1</v>
      </c>
      <c r="H166" s="100" t="s">
        <v>1595</v>
      </c>
      <c r="I166" s="100" t="s">
        <v>1595</v>
      </c>
      <c r="J166" s="100" t="s">
        <v>1595</v>
      </c>
      <c r="K166" s="100" t="s">
        <v>1595</v>
      </c>
      <c r="L166" s="100" t="s">
        <v>1595</v>
      </c>
      <c r="M166" s="100" t="s">
        <v>1595</v>
      </c>
      <c r="N166" s="100" t="s">
        <v>1595</v>
      </c>
      <c r="O166" s="100">
        <v>148</v>
      </c>
      <c r="P166" s="100">
        <v>144</v>
      </c>
      <c r="Q166" s="100">
        <v>141</v>
      </c>
      <c r="R166" s="100">
        <v>139</v>
      </c>
      <c r="S166" s="100">
        <v>145</v>
      </c>
      <c r="T166" s="20">
        <v>138</v>
      </c>
      <c r="U166" s="262">
        <v>163</v>
      </c>
    </row>
    <row r="167" spans="1:79" ht="13" customHeight="1" x14ac:dyDescent="0.3">
      <c r="C167" s="36" t="str">
        <f>VLOOKUP(128,Textbausteine_203[],Hilfsgrössen!$D$2,FALSE)</f>
        <v>Portugal</v>
      </c>
      <c r="D167" s="1" t="str">
        <f>VLOOKUP(17,Textbausteine_203[],Hilfsgrössen!$D$2,FALSE)</f>
        <v>Indice</v>
      </c>
      <c r="E167" s="37">
        <v>1</v>
      </c>
      <c r="H167" s="100" t="s">
        <v>1595</v>
      </c>
      <c r="I167" s="100" t="s">
        <v>1595</v>
      </c>
      <c r="J167" s="100" t="s">
        <v>1595</v>
      </c>
      <c r="K167" s="100" t="s">
        <v>1595</v>
      </c>
      <c r="L167" s="100" t="s">
        <v>1595</v>
      </c>
      <c r="M167" s="100" t="s">
        <v>1595</v>
      </c>
      <c r="N167" s="100" t="s">
        <v>1595</v>
      </c>
      <c r="O167" s="100">
        <v>138</v>
      </c>
      <c r="P167" s="100">
        <v>134</v>
      </c>
      <c r="Q167" s="100">
        <v>145</v>
      </c>
      <c r="R167" s="100">
        <v>151</v>
      </c>
      <c r="S167" s="100">
        <v>160</v>
      </c>
      <c r="T167" s="20">
        <v>154</v>
      </c>
      <c r="U167" s="262">
        <v>158</v>
      </c>
    </row>
    <row r="168" spans="1:79" ht="13" customHeight="1" x14ac:dyDescent="0.3">
      <c r="C168" s="36" t="str">
        <f>VLOOKUP(116,Textbausteine_203[],Hilfsgrössen!$D$2,FALSE)</f>
        <v>Belgique</v>
      </c>
      <c r="D168" s="1" t="str">
        <f>VLOOKUP(17,Textbausteine_203[],Hilfsgrössen!$D$2,FALSE)</f>
        <v>Indice</v>
      </c>
      <c r="E168" s="37">
        <v>1</v>
      </c>
      <c r="H168" s="100" t="s">
        <v>1595</v>
      </c>
      <c r="I168" s="100" t="s">
        <v>1595</v>
      </c>
      <c r="J168" s="100" t="s">
        <v>1595</v>
      </c>
      <c r="K168" s="100" t="s">
        <v>1595</v>
      </c>
      <c r="L168" s="100" t="s">
        <v>1595</v>
      </c>
      <c r="M168" s="100" t="s">
        <v>1595</v>
      </c>
      <c r="N168" s="100" t="s">
        <v>1595</v>
      </c>
      <c r="O168" s="100">
        <v>155</v>
      </c>
      <c r="P168" s="100">
        <v>159</v>
      </c>
      <c r="Q168" s="100">
        <v>159</v>
      </c>
      <c r="R168" s="100">
        <v>160</v>
      </c>
      <c r="S168" s="100">
        <v>155</v>
      </c>
      <c r="T168" s="20">
        <v>150</v>
      </c>
      <c r="U168" s="262">
        <v>148</v>
      </c>
    </row>
    <row r="169" spans="1:79" ht="13" customHeight="1" x14ac:dyDescent="0.3">
      <c r="C169" s="36" t="str">
        <f>VLOOKUP(118,Textbausteine_203[],Hilfsgrössen!$D$2,FALSE)</f>
        <v>Allemagne</v>
      </c>
      <c r="D169" s="1" t="str">
        <f>VLOOKUP(17,Textbausteine_203[],Hilfsgrössen!$D$2,FALSE)</f>
        <v>Indice</v>
      </c>
      <c r="E169" s="37">
        <v>1</v>
      </c>
      <c r="H169" s="100" t="s">
        <v>1595</v>
      </c>
      <c r="I169" s="100" t="s">
        <v>1595</v>
      </c>
      <c r="J169" s="100" t="s">
        <v>1595</v>
      </c>
      <c r="K169" s="100" t="s">
        <v>1595</v>
      </c>
      <c r="L169" s="100" t="s">
        <v>1595</v>
      </c>
      <c r="M169" s="100" t="s">
        <v>1595</v>
      </c>
      <c r="N169" s="100" t="s">
        <v>1595</v>
      </c>
      <c r="O169" s="100">
        <v>150</v>
      </c>
      <c r="P169" s="100">
        <v>145</v>
      </c>
      <c r="Q169" s="100">
        <v>144</v>
      </c>
      <c r="R169" s="100">
        <v>146</v>
      </c>
      <c r="S169" s="100">
        <v>137</v>
      </c>
      <c r="T169" s="20">
        <v>136</v>
      </c>
      <c r="U169" s="262">
        <v>132</v>
      </c>
    </row>
    <row r="170" spans="1:79" ht="13" customHeight="1" x14ac:dyDescent="0.3">
      <c r="C170" s="36" t="str">
        <f>VLOOKUP(120,Textbausteine_203[],Hilfsgrössen!$D$2,FALSE)</f>
        <v>Espagne</v>
      </c>
      <c r="D170" s="1" t="str">
        <f>VLOOKUP(17,Textbausteine_203[],Hilfsgrössen!$D$2,FALSE)</f>
        <v>Indice</v>
      </c>
      <c r="E170" s="37">
        <v>1</v>
      </c>
      <c r="H170" s="100" t="s">
        <v>1595</v>
      </c>
      <c r="I170" s="100" t="s">
        <v>1595</v>
      </c>
      <c r="J170" s="100" t="s">
        <v>1595</v>
      </c>
      <c r="K170" s="100" t="s">
        <v>1595</v>
      </c>
      <c r="L170" s="100" t="s">
        <v>1595</v>
      </c>
      <c r="M170" s="100" t="s">
        <v>1595</v>
      </c>
      <c r="N170" s="100" t="s">
        <v>1595</v>
      </c>
      <c r="O170" s="100">
        <v>117</v>
      </c>
      <c r="P170" s="100">
        <v>117</v>
      </c>
      <c r="Q170" s="100">
        <v>117</v>
      </c>
      <c r="R170" s="100">
        <v>122</v>
      </c>
      <c r="S170" s="100">
        <v>122</v>
      </c>
      <c r="T170" s="20">
        <v>119</v>
      </c>
      <c r="U170" s="262">
        <v>125</v>
      </c>
    </row>
    <row r="171" spans="1:79" ht="13" customHeight="1" x14ac:dyDescent="0.3">
      <c r="C171" s="36" t="str">
        <f>VLOOKUP(123,Textbausteine_203[],Hilfsgrössen!$D$2,FALSE)</f>
        <v>Royaume-Uni</v>
      </c>
      <c r="D171" s="1" t="str">
        <f>VLOOKUP(17,Textbausteine_203[],Hilfsgrössen!$D$2,FALSE)</f>
        <v>Indice</v>
      </c>
      <c r="E171" s="37">
        <v>1</v>
      </c>
      <c r="H171" s="100" t="s">
        <v>1595</v>
      </c>
      <c r="I171" s="100" t="s">
        <v>1595</v>
      </c>
      <c r="J171" s="100" t="s">
        <v>1595</v>
      </c>
      <c r="K171" s="100" t="s">
        <v>1595</v>
      </c>
      <c r="L171" s="100" t="s">
        <v>1595</v>
      </c>
      <c r="M171" s="100" t="s">
        <v>1595</v>
      </c>
      <c r="N171" s="100" t="s">
        <v>1595</v>
      </c>
      <c r="O171" s="100">
        <v>107</v>
      </c>
      <c r="P171" s="100">
        <v>132</v>
      </c>
      <c r="Q171" s="100">
        <v>127</v>
      </c>
      <c r="R171" s="100">
        <v>126</v>
      </c>
      <c r="S171" s="100">
        <v>124</v>
      </c>
      <c r="T171" s="20">
        <v>121</v>
      </c>
      <c r="U171" s="262">
        <v>118</v>
      </c>
    </row>
    <row r="172" spans="1:79" ht="13" customHeight="1" x14ac:dyDescent="0.3">
      <c r="C172" s="36" t="str">
        <f>VLOOKUP(129,Textbausteine_203[],Hilfsgrössen!$D$2,FALSE)</f>
        <v>Suède</v>
      </c>
      <c r="D172" s="1" t="str">
        <f>VLOOKUP(17,Textbausteine_203[],Hilfsgrössen!$D$2,FALSE)</f>
        <v>Indice</v>
      </c>
      <c r="E172" s="37" t="s">
        <v>802</v>
      </c>
      <c r="H172" s="100" t="s">
        <v>1595</v>
      </c>
      <c r="I172" s="100" t="s">
        <v>1595</v>
      </c>
      <c r="J172" s="100" t="s">
        <v>1595</v>
      </c>
      <c r="K172" s="100" t="s">
        <v>1595</v>
      </c>
      <c r="L172" s="100" t="s">
        <v>1595</v>
      </c>
      <c r="M172" s="100" t="s">
        <v>1595</v>
      </c>
      <c r="N172" s="100" t="s">
        <v>1595</v>
      </c>
      <c r="O172" s="100">
        <v>159</v>
      </c>
      <c r="P172" s="100">
        <v>154</v>
      </c>
      <c r="Q172" s="100">
        <v>152</v>
      </c>
      <c r="R172" s="100">
        <v>146</v>
      </c>
      <c r="S172" s="100">
        <v>136</v>
      </c>
      <c r="T172" s="20">
        <v>115</v>
      </c>
      <c r="U172" s="262">
        <v>116</v>
      </c>
    </row>
    <row r="173" spans="1:79" s="31" customFormat="1" ht="13" customHeight="1" x14ac:dyDescent="0.3">
      <c r="A173" s="90"/>
      <c r="C173" s="320" t="str">
        <f>VLOOKUP(117,Textbausteine_203[],Hilfsgrössen!$D$2,FALSE)</f>
        <v>Suisse</v>
      </c>
      <c r="D173" s="31" t="str">
        <f>VLOOKUP(17,Textbausteine_203[],Hilfsgrössen!$D$2,FALSE)</f>
        <v>Indice</v>
      </c>
      <c r="E173" s="39">
        <v>1</v>
      </c>
      <c r="F173" s="39"/>
      <c r="G173" s="46"/>
      <c r="H173" s="96" t="s">
        <v>1595</v>
      </c>
      <c r="I173" s="96" t="s">
        <v>1595</v>
      </c>
      <c r="J173" s="96" t="s">
        <v>1595</v>
      </c>
      <c r="K173" s="96" t="s">
        <v>1595</v>
      </c>
      <c r="L173" s="96" t="s">
        <v>1595</v>
      </c>
      <c r="M173" s="96" t="s">
        <v>1595</v>
      </c>
      <c r="N173" s="96" t="s">
        <v>1595</v>
      </c>
      <c r="O173" s="96">
        <v>100</v>
      </c>
      <c r="P173" s="96">
        <v>100</v>
      </c>
      <c r="Q173" s="96">
        <v>100</v>
      </c>
      <c r="R173" s="96">
        <v>100</v>
      </c>
      <c r="S173" s="96">
        <v>100</v>
      </c>
      <c r="T173" s="117">
        <v>100</v>
      </c>
      <c r="U173" s="261">
        <v>100</v>
      </c>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row>
    <row r="174" spans="1:79" ht="13" customHeight="1" x14ac:dyDescent="0.3">
      <c r="U174" s="262"/>
    </row>
    <row r="175" spans="1:79" s="31" customFormat="1" ht="13" customHeight="1" x14ac:dyDescent="0.3">
      <c r="A175" s="90"/>
      <c r="C175" s="31" t="str">
        <f>VLOOKUP(113,Textbausteine_203[],Hilfsgrössen!$D$2,FALSE)</f>
        <v>Indice du prix des colis corrigé du taux de change</v>
      </c>
      <c r="E175" s="39"/>
      <c r="F175" s="39"/>
      <c r="G175" s="46"/>
      <c r="H175" s="96"/>
      <c r="I175" s="96"/>
      <c r="J175" s="96"/>
      <c r="K175" s="96"/>
      <c r="L175" s="96"/>
      <c r="M175" s="96"/>
      <c r="N175" s="96"/>
      <c r="O175" s="96"/>
      <c r="P175" s="96"/>
      <c r="Q175" s="96"/>
      <c r="R175" s="96"/>
      <c r="S175" s="96"/>
      <c r="T175" s="117"/>
      <c r="U175" s="261"/>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row>
    <row r="176" spans="1:79" ht="13" customHeight="1" x14ac:dyDescent="0.3">
      <c r="C176" s="36" t="str">
        <f>VLOOKUP(121,Textbausteine_203[],Hilfsgrössen!$D$2,FALSE)</f>
        <v>Finlande</v>
      </c>
      <c r="D176" s="1" t="str">
        <f>VLOOKUP(17,Textbausteine_203[],Hilfsgrössen!$D$2,FALSE)</f>
        <v>Indice</v>
      </c>
      <c r="E176" s="37" t="s">
        <v>389</v>
      </c>
      <c r="H176" s="100" t="s">
        <v>1595</v>
      </c>
      <c r="I176" s="100" t="s">
        <v>1595</v>
      </c>
      <c r="J176" s="100" t="s">
        <v>1595</v>
      </c>
      <c r="K176" s="100" t="s">
        <v>1595</v>
      </c>
      <c r="L176" s="100">
        <v>308</v>
      </c>
      <c r="M176" s="100">
        <v>284</v>
      </c>
      <c r="N176" s="100">
        <v>245</v>
      </c>
      <c r="O176" s="100">
        <v>219</v>
      </c>
      <c r="P176" s="100">
        <v>217</v>
      </c>
      <c r="Q176" s="100">
        <v>243</v>
      </c>
      <c r="R176" s="100">
        <v>245</v>
      </c>
      <c r="S176" s="100">
        <v>265</v>
      </c>
      <c r="T176" s="20">
        <v>272</v>
      </c>
      <c r="U176" s="262">
        <v>295</v>
      </c>
    </row>
    <row r="177" spans="1:79" ht="13" customHeight="1" x14ac:dyDescent="0.3">
      <c r="C177" s="36" t="str">
        <f>VLOOKUP(127,Textbausteine_203[],Hilfsgrössen!$D$2,FALSE)</f>
        <v>Norvège</v>
      </c>
      <c r="D177" s="1" t="str">
        <f>VLOOKUP(17,Textbausteine_203[],Hilfsgrössen!$D$2,FALSE)</f>
        <v>Indice</v>
      </c>
      <c r="E177" s="37" t="s">
        <v>389</v>
      </c>
      <c r="H177" s="100" t="s">
        <v>1595</v>
      </c>
      <c r="I177" s="100" t="s">
        <v>1595</v>
      </c>
      <c r="J177" s="100" t="s">
        <v>1595</v>
      </c>
      <c r="K177" s="100" t="s">
        <v>1595</v>
      </c>
      <c r="L177" s="100">
        <v>370</v>
      </c>
      <c r="M177" s="100">
        <v>316</v>
      </c>
      <c r="N177" s="100">
        <v>323</v>
      </c>
      <c r="O177" s="100">
        <v>318</v>
      </c>
      <c r="P177" s="100">
        <v>353</v>
      </c>
      <c r="Q177" s="100">
        <v>271</v>
      </c>
      <c r="R177" s="100">
        <v>270</v>
      </c>
      <c r="S177" s="100">
        <v>227</v>
      </c>
      <c r="T177" s="20">
        <v>241</v>
      </c>
      <c r="U177" s="262">
        <v>260</v>
      </c>
    </row>
    <row r="178" spans="1:79" ht="13" customHeight="1" x14ac:dyDescent="0.3">
      <c r="C178" s="36" t="str">
        <f>VLOOKUP(129,Textbausteine_203[],Hilfsgrössen!$D$2,FALSE)</f>
        <v>Suède</v>
      </c>
      <c r="D178" s="1" t="str">
        <f>VLOOKUP(17,Textbausteine_203[],Hilfsgrössen!$D$2,FALSE)</f>
        <v>Indice</v>
      </c>
      <c r="E178" s="37" t="s">
        <v>389</v>
      </c>
      <c r="H178" s="100" t="s">
        <v>1595</v>
      </c>
      <c r="I178" s="100" t="s">
        <v>1595</v>
      </c>
      <c r="J178" s="100" t="s">
        <v>1595</v>
      </c>
      <c r="K178" s="100" t="s">
        <v>1595</v>
      </c>
      <c r="L178" s="100">
        <v>399</v>
      </c>
      <c r="M178" s="100">
        <v>339</v>
      </c>
      <c r="N178" s="100">
        <v>311</v>
      </c>
      <c r="O178" s="100">
        <v>285</v>
      </c>
      <c r="P178" s="100">
        <v>307</v>
      </c>
      <c r="Q178" s="100">
        <v>308</v>
      </c>
      <c r="R178" s="100">
        <v>288</v>
      </c>
      <c r="S178" s="100">
        <v>256</v>
      </c>
      <c r="T178" s="20">
        <v>226</v>
      </c>
      <c r="U178" s="262">
        <v>246</v>
      </c>
    </row>
    <row r="179" spans="1:79" ht="13" customHeight="1" x14ac:dyDescent="0.3">
      <c r="C179" s="36" t="str">
        <f>VLOOKUP(119,Textbausteine_203[],Hilfsgrössen!$D$2,FALSE)</f>
        <v>Danemark</v>
      </c>
      <c r="D179" s="1" t="str">
        <f>VLOOKUP(17,Textbausteine_203[],Hilfsgrössen!$D$2,FALSE)</f>
        <v>Indice</v>
      </c>
      <c r="E179" s="37" t="s">
        <v>389</v>
      </c>
      <c r="H179" s="100" t="s">
        <v>1595</v>
      </c>
      <c r="I179" s="100" t="s">
        <v>1595</v>
      </c>
      <c r="J179" s="100" t="s">
        <v>1595</v>
      </c>
      <c r="K179" s="100" t="s">
        <v>1595</v>
      </c>
      <c r="L179" s="100">
        <v>211</v>
      </c>
      <c r="M179" s="100">
        <v>210</v>
      </c>
      <c r="N179" s="100">
        <v>181</v>
      </c>
      <c r="O179" s="100">
        <v>169</v>
      </c>
      <c r="P179" s="100">
        <v>171</v>
      </c>
      <c r="Q179" s="100">
        <v>212</v>
      </c>
      <c r="R179" s="100">
        <v>208</v>
      </c>
      <c r="S179" s="100">
        <v>190</v>
      </c>
      <c r="T179" s="20">
        <v>208</v>
      </c>
      <c r="U179" s="262">
        <v>199</v>
      </c>
    </row>
    <row r="180" spans="1:79" ht="13" customHeight="1" x14ac:dyDescent="0.3">
      <c r="C180" s="36" t="str">
        <f>VLOOKUP(120,Textbausteine_203[],Hilfsgrössen!$D$2,FALSE)</f>
        <v>Espagne</v>
      </c>
      <c r="D180" s="1" t="str">
        <f>VLOOKUP(17,Textbausteine_203[],Hilfsgrössen!$D$2,FALSE)</f>
        <v>Indice</v>
      </c>
      <c r="E180" s="37" t="s">
        <v>389</v>
      </c>
      <c r="H180" s="100" t="s">
        <v>1595</v>
      </c>
      <c r="I180" s="100" t="s">
        <v>1595</v>
      </c>
      <c r="J180" s="100" t="s">
        <v>1595</v>
      </c>
      <c r="K180" s="100" t="s">
        <v>1595</v>
      </c>
      <c r="L180" s="100">
        <v>170</v>
      </c>
      <c r="M180" s="100">
        <v>163</v>
      </c>
      <c r="N180" s="100">
        <v>141</v>
      </c>
      <c r="O180" s="100">
        <v>125</v>
      </c>
      <c r="P180" s="100">
        <v>132</v>
      </c>
      <c r="Q180" s="100">
        <v>137</v>
      </c>
      <c r="R180" s="100">
        <v>143</v>
      </c>
      <c r="S180" s="100">
        <v>138</v>
      </c>
      <c r="T180" s="20">
        <v>138</v>
      </c>
      <c r="U180" s="262">
        <v>177</v>
      </c>
    </row>
    <row r="181" spans="1:79" ht="13" customHeight="1" x14ac:dyDescent="0.3">
      <c r="C181" s="36" t="str">
        <f>VLOOKUP(124,Textbausteine_203[],Hilfsgrössen!$D$2,FALSE)</f>
        <v>Irlande</v>
      </c>
      <c r="D181" s="1" t="str">
        <f>VLOOKUP(17,Textbausteine_203[],Hilfsgrössen!$D$2,FALSE)</f>
        <v>Indice</v>
      </c>
      <c r="E181" s="37" t="s">
        <v>389</v>
      </c>
      <c r="H181" s="100" t="s">
        <v>1595</v>
      </c>
      <c r="I181" s="100" t="s">
        <v>1595</v>
      </c>
      <c r="J181" s="100" t="s">
        <v>1595</v>
      </c>
      <c r="K181" s="100" t="s">
        <v>1595</v>
      </c>
      <c r="L181" s="100">
        <v>211</v>
      </c>
      <c r="M181" s="100">
        <v>195</v>
      </c>
      <c r="N181" s="100">
        <v>154</v>
      </c>
      <c r="O181" s="100">
        <v>137</v>
      </c>
      <c r="P181" s="100">
        <v>140</v>
      </c>
      <c r="Q181" s="100">
        <v>144</v>
      </c>
      <c r="R181" s="100">
        <v>151</v>
      </c>
      <c r="S181" s="100">
        <v>137</v>
      </c>
      <c r="T181" s="20">
        <v>138</v>
      </c>
      <c r="U181" s="262">
        <v>162</v>
      </c>
    </row>
    <row r="182" spans="1:79" ht="13" customHeight="1" x14ac:dyDescent="0.3">
      <c r="C182" s="36" t="str">
        <f>VLOOKUP(125,Textbausteine_203[],Hilfsgrössen!$D$2,FALSE)</f>
        <v>Italie</v>
      </c>
      <c r="D182" s="1" t="str">
        <f>VLOOKUP(17,Textbausteine_203[],Hilfsgrössen!$D$2,FALSE)</f>
        <v>Indice</v>
      </c>
      <c r="E182" s="37" t="s">
        <v>389</v>
      </c>
      <c r="H182" s="100" t="s">
        <v>1595</v>
      </c>
      <c r="I182" s="100" t="s">
        <v>1595</v>
      </c>
      <c r="J182" s="100" t="s">
        <v>1595</v>
      </c>
      <c r="K182" s="100" t="s">
        <v>1595</v>
      </c>
      <c r="L182" s="100">
        <v>220</v>
      </c>
      <c r="M182" s="100">
        <v>204</v>
      </c>
      <c r="N182" s="100">
        <v>204</v>
      </c>
      <c r="O182" s="100">
        <v>181</v>
      </c>
      <c r="P182" s="100">
        <v>170</v>
      </c>
      <c r="Q182" s="100">
        <v>167</v>
      </c>
      <c r="R182" s="100">
        <v>164</v>
      </c>
      <c r="S182" s="100">
        <v>147</v>
      </c>
      <c r="T182" s="20">
        <v>151</v>
      </c>
      <c r="U182" s="262">
        <v>161</v>
      </c>
    </row>
    <row r="183" spans="1:79" ht="13" customHeight="1" x14ac:dyDescent="0.3">
      <c r="C183" s="36" t="str">
        <f>VLOOKUP(122,Textbausteine_203[],Hilfsgrössen!$D$2,FALSE)</f>
        <v>France</v>
      </c>
      <c r="D183" s="1" t="str">
        <f>VLOOKUP(17,Textbausteine_203[],Hilfsgrössen!$D$2,FALSE)</f>
        <v>Indice</v>
      </c>
      <c r="E183" s="37" t="s">
        <v>389</v>
      </c>
      <c r="H183" s="100" t="s">
        <v>1595</v>
      </c>
      <c r="I183" s="100" t="s">
        <v>1595</v>
      </c>
      <c r="J183" s="100" t="s">
        <v>1595</v>
      </c>
      <c r="K183" s="100" t="s">
        <v>1595</v>
      </c>
      <c r="L183" s="100">
        <v>176</v>
      </c>
      <c r="M183" s="100">
        <v>162</v>
      </c>
      <c r="N183" s="100">
        <v>137</v>
      </c>
      <c r="O183" s="100">
        <v>123</v>
      </c>
      <c r="P183" s="100">
        <v>126</v>
      </c>
      <c r="Q183" s="100">
        <v>134</v>
      </c>
      <c r="R183" s="100">
        <v>136</v>
      </c>
      <c r="S183" s="100">
        <v>126</v>
      </c>
      <c r="T183" s="20">
        <v>124</v>
      </c>
      <c r="U183" s="262">
        <v>135</v>
      </c>
    </row>
    <row r="184" spans="1:79" ht="13" customHeight="1" x14ac:dyDescent="0.3">
      <c r="C184" s="36" t="str">
        <f>VLOOKUP(128,Textbausteine_203[],Hilfsgrössen!$D$2,FALSE)</f>
        <v>Portugal</v>
      </c>
      <c r="D184" s="1" t="str">
        <f>VLOOKUP(17,Textbausteine_203[],Hilfsgrössen!$D$2,FALSE)</f>
        <v>Indice</v>
      </c>
      <c r="E184" s="37" t="s">
        <v>389</v>
      </c>
      <c r="H184" s="100" t="s">
        <v>1595</v>
      </c>
      <c r="I184" s="100" t="s">
        <v>1595</v>
      </c>
      <c r="J184" s="100" t="s">
        <v>1595</v>
      </c>
      <c r="K184" s="100" t="s">
        <v>1595</v>
      </c>
      <c r="L184" s="100">
        <v>88</v>
      </c>
      <c r="M184" s="100">
        <v>123</v>
      </c>
      <c r="N184" s="100">
        <v>104</v>
      </c>
      <c r="O184" s="100">
        <v>95</v>
      </c>
      <c r="P184" s="100">
        <v>97</v>
      </c>
      <c r="Q184" s="100">
        <v>109</v>
      </c>
      <c r="R184" s="100">
        <v>116</v>
      </c>
      <c r="S184" s="100">
        <v>109</v>
      </c>
      <c r="T184" s="20">
        <v>113</v>
      </c>
      <c r="U184" s="262">
        <v>126</v>
      </c>
    </row>
    <row r="185" spans="1:79" s="31" customFormat="1" ht="13" customHeight="1" x14ac:dyDescent="0.3">
      <c r="A185" s="90"/>
      <c r="C185" s="36" t="str">
        <f>VLOOKUP(126,Textbausteine_203[],Hilfsgrössen!$D$2,FALSE)</f>
        <v>Pays-Bas</v>
      </c>
      <c r="D185" s="1" t="str">
        <f>VLOOKUP(17,Textbausteine_203[],Hilfsgrössen!$D$2,FALSE)</f>
        <v>Indice</v>
      </c>
      <c r="E185" s="37" t="s">
        <v>389</v>
      </c>
      <c r="F185" s="37"/>
      <c r="G185" s="47"/>
      <c r="H185" s="100" t="s">
        <v>1595</v>
      </c>
      <c r="I185" s="100" t="s">
        <v>1595</v>
      </c>
      <c r="J185" s="100" t="s">
        <v>1595</v>
      </c>
      <c r="K185" s="100" t="s">
        <v>1595</v>
      </c>
      <c r="L185" s="100">
        <v>137</v>
      </c>
      <c r="M185" s="100">
        <v>138</v>
      </c>
      <c r="N185" s="100">
        <v>119</v>
      </c>
      <c r="O185" s="100">
        <v>105</v>
      </c>
      <c r="P185" s="100">
        <v>104</v>
      </c>
      <c r="Q185" s="100">
        <v>105</v>
      </c>
      <c r="R185" s="100">
        <v>106</v>
      </c>
      <c r="S185" s="100">
        <v>95</v>
      </c>
      <c r="T185" s="20">
        <v>95</v>
      </c>
      <c r="U185" s="262">
        <v>102</v>
      </c>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row>
    <row r="186" spans="1:79" ht="13" customHeight="1" x14ac:dyDescent="0.3">
      <c r="C186" s="36" t="str">
        <f>VLOOKUP(116,Textbausteine_203[],Hilfsgrössen!$D$2,FALSE)</f>
        <v>Belgique</v>
      </c>
      <c r="D186" s="1" t="str">
        <f>VLOOKUP(17,Textbausteine_203[],Hilfsgrössen!$D$2,FALSE)</f>
        <v>Indice</v>
      </c>
      <c r="E186" s="37" t="s">
        <v>389</v>
      </c>
      <c r="H186" s="100" t="s">
        <v>1595</v>
      </c>
      <c r="I186" s="100" t="s">
        <v>1595</v>
      </c>
      <c r="J186" s="100" t="s">
        <v>1595</v>
      </c>
      <c r="K186" s="100" t="s">
        <v>1595</v>
      </c>
      <c r="L186" s="100">
        <v>118</v>
      </c>
      <c r="M186" s="100">
        <v>124</v>
      </c>
      <c r="N186" s="100">
        <v>104</v>
      </c>
      <c r="O186" s="100">
        <v>94</v>
      </c>
      <c r="P186" s="100">
        <v>99</v>
      </c>
      <c r="Q186" s="100">
        <v>105</v>
      </c>
      <c r="R186" s="100">
        <v>104</v>
      </c>
      <c r="S186" s="100">
        <v>94</v>
      </c>
      <c r="T186" s="20">
        <v>95</v>
      </c>
      <c r="U186" s="262">
        <v>102</v>
      </c>
    </row>
    <row r="187" spans="1:79" ht="13" customHeight="1" x14ac:dyDescent="0.3">
      <c r="C187" s="320" t="str">
        <f>VLOOKUP(117,Textbausteine_203[],Hilfsgrössen!$D$2,FALSE)</f>
        <v>Suisse</v>
      </c>
      <c r="D187" s="31" t="str">
        <f>VLOOKUP(17,Textbausteine_203[],Hilfsgrössen!$D$2,FALSE)</f>
        <v>Indice</v>
      </c>
      <c r="E187" s="39" t="s">
        <v>389</v>
      </c>
      <c r="F187" s="39"/>
      <c r="G187" s="46"/>
      <c r="H187" s="96" t="s">
        <v>1595</v>
      </c>
      <c r="I187" s="96" t="s">
        <v>1595</v>
      </c>
      <c r="J187" s="96" t="s">
        <v>1595</v>
      </c>
      <c r="K187" s="96" t="s">
        <v>1595</v>
      </c>
      <c r="L187" s="96">
        <v>100</v>
      </c>
      <c r="M187" s="96">
        <v>100</v>
      </c>
      <c r="N187" s="96">
        <v>100</v>
      </c>
      <c r="O187" s="96">
        <v>100</v>
      </c>
      <c r="P187" s="96">
        <v>100</v>
      </c>
      <c r="Q187" s="96">
        <v>100</v>
      </c>
      <c r="R187" s="96">
        <v>100</v>
      </c>
      <c r="S187" s="96">
        <v>100</v>
      </c>
      <c r="T187" s="117">
        <v>100</v>
      </c>
      <c r="U187" s="261">
        <v>100</v>
      </c>
    </row>
    <row r="188" spans="1:79" ht="13" customHeight="1" x14ac:dyDescent="0.3">
      <c r="C188" s="36" t="str">
        <f>VLOOKUP(123,Textbausteine_203[],Hilfsgrössen!$D$2,FALSE)</f>
        <v>Royaume-Uni</v>
      </c>
      <c r="D188" s="1" t="str">
        <f>VLOOKUP(17,Textbausteine_203[],Hilfsgrössen!$D$2,FALSE)</f>
        <v>Indice</v>
      </c>
      <c r="E188" s="37" t="s">
        <v>389</v>
      </c>
      <c r="H188" s="100" t="s">
        <v>1595</v>
      </c>
      <c r="I188" s="100" t="s">
        <v>1595</v>
      </c>
      <c r="J188" s="100" t="s">
        <v>1595</v>
      </c>
      <c r="K188" s="100" t="s">
        <v>1595</v>
      </c>
      <c r="L188" s="100">
        <v>213</v>
      </c>
      <c r="M188" s="100">
        <v>178</v>
      </c>
      <c r="N188" s="100">
        <v>123</v>
      </c>
      <c r="O188" s="100">
        <v>114</v>
      </c>
      <c r="P188" s="100">
        <v>138</v>
      </c>
      <c r="Q188" s="100">
        <v>107</v>
      </c>
      <c r="R188" s="100">
        <v>109</v>
      </c>
      <c r="S188" s="100">
        <v>106</v>
      </c>
      <c r="T188" s="20">
        <v>85</v>
      </c>
      <c r="U188" s="262">
        <v>95</v>
      </c>
    </row>
    <row r="189" spans="1:79" ht="13" customHeight="1" x14ac:dyDescent="0.3">
      <c r="C189" s="36" t="str">
        <f>VLOOKUP(118,Textbausteine_203[],Hilfsgrössen!$D$2,FALSE)</f>
        <v>Allemagne</v>
      </c>
      <c r="D189" s="1" t="str">
        <f>VLOOKUP(17,Textbausteine_203[],Hilfsgrössen!$D$2,FALSE)</f>
        <v>Indice</v>
      </c>
      <c r="E189" s="37" t="s">
        <v>389</v>
      </c>
      <c r="H189" s="100" t="s">
        <v>1595</v>
      </c>
      <c r="I189" s="100" t="s">
        <v>1595</v>
      </c>
      <c r="J189" s="100" t="s">
        <v>1595</v>
      </c>
      <c r="K189" s="100" t="s">
        <v>1595</v>
      </c>
      <c r="L189" s="100">
        <v>107</v>
      </c>
      <c r="M189" s="100">
        <v>98</v>
      </c>
      <c r="N189" s="100">
        <v>82</v>
      </c>
      <c r="O189" s="100">
        <v>72</v>
      </c>
      <c r="P189" s="100">
        <v>72</v>
      </c>
      <c r="Q189" s="100">
        <v>73</v>
      </c>
      <c r="R189" s="100">
        <v>72</v>
      </c>
      <c r="S189" s="100">
        <v>66</v>
      </c>
      <c r="T189" s="20">
        <v>67</v>
      </c>
      <c r="U189" s="262">
        <v>72</v>
      </c>
    </row>
    <row r="190" spans="1:79" ht="13" customHeight="1" x14ac:dyDescent="0.3">
      <c r="C190" s="36" t="str">
        <f>VLOOKUP(115,Textbausteine_203[],Hilfsgrössen!$D$2,FALSE)</f>
        <v>Autriche</v>
      </c>
      <c r="D190" s="1" t="str">
        <f>VLOOKUP(17,Textbausteine_203[],Hilfsgrössen!$D$2,FALSE)</f>
        <v>Indice</v>
      </c>
      <c r="E190" s="37" t="s">
        <v>389</v>
      </c>
      <c r="H190" s="100" t="s">
        <v>1595</v>
      </c>
      <c r="I190" s="100" t="s">
        <v>1595</v>
      </c>
      <c r="J190" s="100" t="s">
        <v>1595</v>
      </c>
      <c r="K190" s="100" t="s">
        <v>1595</v>
      </c>
      <c r="L190" s="100">
        <v>103</v>
      </c>
      <c r="M190" s="100">
        <v>95</v>
      </c>
      <c r="N190" s="100">
        <v>81</v>
      </c>
      <c r="O190" s="100">
        <v>72</v>
      </c>
      <c r="P190" s="100">
        <v>71</v>
      </c>
      <c r="Q190" s="100">
        <v>76</v>
      </c>
      <c r="R190" s="100">
        <v>75</v>
      </c>
      <c r="S190" s="100">
        <v>69</v>
      </c>
      <c r="T190" s="20">
        <v>69</v>
      </c>
      <c r="U190" s="262">
        <v>67</v>
      </c>
    </row>
    <row r="191" spans="1:79" ht="13" customHeight="1" x14ac:dyDescent="0.3">
      <c r="U191" s="262"/>
    </row>
    <row r="192" spans="1:79" s="31" customFormat="1" ht="13" customHeight="1" x14ac:dyDescent="0.3">
      <c r="A192" s="90"/>
      <c r="C192" s="31" t="str">
        <f>VLOOKUP(114,Textbausteine_203[],Hilfsgrössen!$D$2,FALSE)</f>
        <v>Indice du prix des colis en parité de pouvoir d'achat</v>
      </c>
      <c r="E192" s="39"/>
      <c r="F192" s="39"/>
      <c r="G192" s="46"/>
      <c r="H192" s="96"/>
      <c r="I192" s="96"/>
      <c r="J192" s="96"/>
      <c r="K192" s="96"/>
      <c r="L192" s="96"/>
      <c r="M192" s="96"/>
      <c r="N192" s="96"/>
      <c r="O192" s="96"/>
      <c r="P192" s="96"/>
      <c r="Q192" s="96"/>
      <c r="R192" s="96"/>
      <c r="S192" s="96"/>
      <c r="T192" s="117"/>
      <c r="U192" s="261"/>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row>
    <row r="193" spans="1:79" ht="13" customHeight="1" x14ac:dyDescent="0.3">
      <c r="C193" s="36" t="str">
        <f>VLOOKUP(121,Textbausteine_203[],Hilfsgrössen!$D$2,FALSE)</f>
        <v>Finlande</v>
      </c>
      <c r="D193" s="1" t="str">
        <f>VLOOKUP(17,Textbausteine_203[],Hilfsgrössen!$D$2,FALSE)</f>
        <v>Indice</v>
      </c>
      <c r="E193" s="37">
        <v>2</v>
      </c>
      <c r="H193" s="100" t="s">
        <v>1595</v>
      </c>
      <c r="I193" s="100" t="s">
        <v>1595</v>
      </c>
      <c r="J193" s="100" t="s">
        <v>1595</v>
      </c>
      <c r="K193" s="100" t="s">
        <v>1595</v>
      </c>
      <c r="L193" s="100" t="s">
        <v>1595</v>
      </c>
      <c r="M193" s="100" t="s">
        <v>1595</v>
      </c>
      <c r="N193" s="100" t="s">
        <v>1595</v>
      </c>
      <c r="O193" s="100">
        <v>285</v>
      </c>
      <c r="P193" s="100">
        <v>281</v>
      </c>
      <c r="Q193" s="100">
        <v>296</v>
      </c>
      <c r="R193" s="100">
        <v>304</v>
      </c>
      <c r="S193" s="100">
        <v>356</v>
      </c>
      <c r="T193" s="20">
        <v>344</v>
      </c>
      <c r="U193" s="262">
        <v>345</v>
      </c>
    </row>
    <row r="194" spans="1:79" ht="13" customHeight="1" x14ac:dyDescent="0.3">
      <c r="C194" s="36" t="str">
        <f>VLOOKUP(129,Textbausteine_203[],Hilfsgrössen!$D$2,FALSE)</f>
        <v>Suède</v>
      </c>
      <c r="D194" s="1" t="str">
        <f>VLOOKUP(17,Textbausteine_203[],Hilfsgrössen!$D$2,FALSE)</f>
        <v>Indice</v>
      </c>
      <c r="E194" s="37">
        <v>2</v>
      </c>
      <c r="H194" s="100" t="s">
        <v>1595</v>
      </c>
      <c r="I194" s="100" t="s">
        <v>1595</v>
      </c>
      <c r="J194" s="100" t="s">
        <v>1595</v>
      </c>
      <c r="K194" s="100" t="s">
        <v>1595</v>
      </c>
      <c r="L194" s="100" t="s">
        <v>1595</v>
      </c>
      <c r="M194" s="100" t="s">
        <v>1595</v>
      </c>
      <c r="N194" s="100" t="s">
        <v>1595</v>
      </c>
      <c r="O194" s="100">
        <v>357</v>
      </c>
      <c r="P194" s="100">
        <v>357</v>
      </c>
      <c r="Q194" s="100">
        <v>354</v>
      </c>
      <c r="R194" s="100">
        <v>352</v>
      </c>
      <c r="S194" s="100">
        <v>338</v>
      </c>
      <c r="T194" s="20">
        <v>289</v>
      </c>
      <c r="U194" s="262">
        <v>283</v>
      </c>
    </row>
    <row r="195" spans="1:79" ht="13" customHeight="1" x14ac:dyDescent="0.3">
      <c r="C195" s="36" t="str">
        <f>VLOOKUP(120,Textbausteine_203[],Hilfsgrössen!$D$2,FALSE)</f>
        <v>Espagne</v>
      </c>
      <c r="D195" s="1" t="str">
        <f>VLOOKUP(17,Textbausteine_203[],Hilfsgrössen!$D$2,FALSE)</f>
        <v>Indice</v>
      </c>
      <c r="E195" s="37">
        <v>2</v>
      </c>
      <c r="H195" s="100" t="s">
        <v>1595</v>
      </c>
      <c r="I195" s="100" t="s">
        <v>1595</v>
      </c>
      <c r="J195" s="100" t="s">
        <v>1595</v>
      </c>
      <c r="K195" s="100" t="s">
        <v>1595</v>
      </c>
      <c r="L195" s="100" t="s">
        <v>1595</v>
      </c>
      <c r="M195" s="100" t="s">
        <v>1595</v>
      </c>
      <c r="N195" s="100" t="s">
        <v>1595</v>
      </c>
      <c r="O195" s="100">
        <v>217</v>
      </c>
      <c r="P195" s="100">
        <v>224</v>
      </c>
      <c r="Q195" s="100">
        <v>223</v>
      </c>
      <c r="R195" s="100">
        <v>242</v>
      </c>
      <c r="S195" s="100">
        <v>257</v>
      </c>
      <c r="T195" s="20">
        <v>240</v>
      </c>
      <c r="U195" s="262">
        <v>283</v>
      </c>
    </row>
    <row r="196" spans="1:79" ht="13" customHeight="1" x14ac:dyDescent="0.3">
      <c r="C196" s="36" t="str">
        <f>VLOOKUP(127,Textbausteine_203[],Hilfsgrössen!$D$2,FALSE)</f>
        <v>Norvège</v>
      </c>
      <c r="D196" s="1" t="str">
        <f>VLOOKUP(17,Textbausteine_203[],Hilfsgrössen!$D$2,FALSE)</f>
        <v>Indice</v>
      </c>
      <c r="E196" s="37">
        <v>2</v>
      </c>
      <c r="H196" s="100" t="s">
        <v>1595</v>
      </c>
      <c r="I196" s="100" t="s">
        <v>1595</v>
      </c>
      <c r="J196" s="100" t="s">
        <v>1595</v>
      </c>
      <c r="K196" s="100" t="s">
        <v>1595</v>
      </c>
      <c r="L196" s="100" t="s">
        <v>1595</v>
      </c>
      <c r="M196" s="100" t="s">
        <v>1595</v>
      </c>
      <c r="N196" s="100" t="s">
        <v>1595</v>
      </c>
      <c r="O196" s="100">
        <v>316</v>
      </c>
      <c r="P196" s="100">
        <v>354</v>
      </c>
      <c r="Q196" s="100">
        <v>280</v>
      </c>
      <c r="R196" s="100">
        <v>291</v>
      </c>
      <c r="S196" s="100">
        <v>283</v>
      </c>
      <c r="T196" s="20">
        <v>263</v>
      </c>
      <c r="U196" s="262">
        <v>261</v>
      </c>
    </row>
    <row r="197" spans="1:79" ht="13" customHeight="1" x14ac:dyDescent="0.3">
      <c r="C197" s="36" t="str">
        <f>VLOOKUP(125,Textbausteine_203[],Hilfsgrössen!$D$2,FALSE)</f>
        <v>Italie</v>
      </c>
      <c r="D197" s="1" t="str">
        <f>VLOOKUP(17,Textbausteine_203[],Hilfsgrössen!$D$2,FALSE)</f>
        <v>Indice</v>
      </c>
      <c r="E197" s="37">
        <v>2</v>
      </c>
      <c r="H197" s="100" t="s">
        <v>1595</v>
      </c>
      <c r="I197" s="100" t="s">
        <v>1595</v>
      </c>
      <c r="J197" s="100" t="s">
        <v>1595</v>
      </c>
      <c r="K197" s="100" t="s">
        <v>1595</v>
      </c>
      <c r="L197" s="100" t="s">
        <v>1595</v>
      </c>
      <c r="M197" s="100" t="s">
        <v>1595</v>
      </c>
      <c r="N197" s="100" t="s">
        <v>1595</v>
      </c>
      <c r="O197" s="100">
        <v>280</v>
      </c>
      <c r="P197" s="100">
        <v>261</v>
      </c>
      <c r="Q197" s="100">
        <v>243</v>
      </c>
      <c r="R197" s="100">
        <v>248</v>
      </c>
      <c r="S197" s="100">
        <v>245</v>
      </c>
      <c r="T197" s="20">
        <v>237</v>
      </c>
      <c r="U197" s="262">
        <v>236</v>
      </c>
    </row>
    <row r="198" spans="1:79" ht="13" customHeight="1" x14ac:dyDescent="0.3">
      <c r="C198" s="36" t="str">
        <f>VLOOKUP(128,Textbausteine_203[],Hilfsgrössen!$D$2,FALSE)</f>
        <v>Portugal</v>
      </c>
      <c r="D198" s="1" t="str">
        <f>VLOOKUP(17,Textbausteine_203[],Hilfsgrössen!$D$2,FALSE)</f>
        <v>Indice</v>
      </c>
      <c r="E198" s="37">
        <v>2</v>
      </c>
      <c r="H198" s="100" t="s">
        <v>1595</v>
      </c>
      <c r="I198" s="100" t="s">
        <v>1595</v>
      </c>
      <c r="J198" s="100" t="s">
        <v>1595</v>
      </c>
      <c r="K198" s="100" t="s">
        <v>1595</v>
      </c>
      <c r="L198" s="100" t="s">
        <v>1595</v>
      </c>
      <c r="M198" s="100" t="s">
        <v>1595</v>
      </c>
      <c r="N198" s="100" t="s">
        <v>1595</v>
      </c>
      <c r="O198" s="100">
        <v>186</v>
      </c>
      <c r="P198" s="100">
        <v>185</v>
      </c>
      <c r="Q198" s="100">
        <v>199</v>
      </c>
      <c r="R198" s="100">
        <v>219</v>
      </c>
      <c r="S198" s="100">
        <v>234</v>
      </c>
      <c r="T198" s="20">
        <v>224</v>
      </c>
      <c r="U198" s="262">
        <v>229</v>
      </c>
    </row>
    <row r="199" spans="1:79" ht="13" customHeight="1" x14ac:dyDescent="0.3">
      <c r="C199" s="36" t="str">
        <f>VLOOKUP(119,Textbausteine_203[],Hilfsgrössen!$D$2,FALSE)</f>
        <v>Danemark</v>
      </c>
      <c r="D199" s="1" t="str">
        <f>VLOOKUP(17,Textbausteine_203[],Hilfsgrössen!$D$2,FALSE)</f>
        <v>Indice</v>
      </c>
      <c r="E199" s="37">
        <v>2</v>
      </c>
      <c r="H199" s="100" t="s">
        <v>1595</v>
      </c>
      <c r="I199" s="100" t="s">
        <v>1595</v>
      </c>
      <c r="J199" s="100" t="s">
        <v>1595</v>
      </c>
      <c r="K199" s="100" t="s">
        <v>1595</v>
      </c>
      <c r="L199" s="100" t="s">
        <v>1595</v>
      </c>
      <c r="M199" s="100" t="s">
        <v>1595</v>
      </c>
      <c r="N199" s="100" t="s">
        <v>1595</v>
      </c>
      <c r="O199" s="100">
        <v>198</v>
      </c>
      <c r="P199" s="100">
        <v>197</v>
      </c>
      <c r="Q199" s="100">
        <v>231</v>
      </c>
      <c r="R199" s="100">
        <v>231</v>
      </c>
      <c r="S199" s="100">
        <v>235</v>
      </c>
      <c r="T199" s="20">
        <v>243</v>
      </c>
      <c r="U199" s="262">
        <v>216</v>
      </c>
    </row>
    <row r="200" spans="1:79" ht="13" customHeight="1" x14ac:dyDescent="0.3">
      <c r="C200" s="36" t="str">
        <f>VLOOKUP(124,Textbausteine_203[],Hilfsgrössen!$D$2,FALSE)</f>
        <v>Irlande</v>
      </c>
      <c r="D200" s="1" t="str">
        <f>VLOOKUP(17,Textbausteine_203[],Hilfsgrössen!$D$2,FALSE)</f>
        <v>Indice</v>
      </c>
      <c r="E200" s="37">
        <v>2</v>
      </c>
      <c r="H200" s="100" t="s">
        <v>1595</v>
      </c>
      <c r="I200" s="100" t="s">
        <v>1595</v>
      </c>
      <c r="J200" s="100" t="s">
        <v>1595</v>
      </c>
      <c r="K200" s="100" t="s">
        <v>1595</v>
      </c>
      <c r="L200" s="100" t="s">
        <v>1595</v>
      </c>
      <c r="M200" s="100" t="s">
        <v>1595</v>
      </c>
      <c r="N200" s="100" t="s">
        <v>1595</v>
      </c>
      <c r="O200" s="100">
        <v>201</v>
      </c>
      <c r="P200" s="100">
        <v>203</v>
      </c>
      <c r="Q200" s="100">
        <v>199</v>
      </c>
      <c r="R200" s="100">
        <v>212</v>
      </c>
      <c r="S200" s="100">
        <v>206</v>
      </c>
      <c r="T200" s="20">
        <v>193</v>
      </c>
      <c r="U200" s="262">
        <v>212</v>
      </c>
    </row>
    <row r="201" spans="1:79" ht="13" customHeight="1" x14ac:dyDescent="0.3">
      <c r="C201" s="36" t="str">
        <f>VLOOKUP(122,Textbausteine_203[],Hilfsgrössen!$D$2,FALSE)</f>
        <v>France</v>
      </c>
      <c r="D201" s="1" t="str">
        <f>VLOOKUP(17,Textbausteine_203[],Hilfsgrössen!$D$2,FALSE)</f>
        <v>Indice</v>
      </c>
      <c r="E201" s="37">
        <v>2</v>
      </c>
      <c r="H201" s="100" t="s">
        <v>1595</v>
      </c>
      <c r="I201" s="100" t="s">
        <v>1595</v>
      </c>
      <c r="J201" s="100" t="s">
        <v>1595</v>
      </c>
      <c r="K201" s="100" t="s">
        <v>1595</v>
      </c>
      <c r="L201" s="100" t="s">
        <v>1595</v>
      </c>
      <c r="M201" s="100" t="s">
        <v>1595</v>
      </c>
      <c r="N201" s="100" t="s">
        <v>1595</v>
      </c>
      <c r="O201" s="100">
        <v>175</v>
      </c>
      <c r="P201" s="100">
        <v>174</v>
      </c>
      <c r="Q201" s="100">
        <v>177</v>
      </c>
      <c r="R201" s="100">
        <v>186</v>
      </c>
      <c r="S201" s="100">
        <v>191</v>
      </c>
      <c r="T201" s="20">
        <v>179</v>
      </c>
      <c r="U201" s="262">
        <v>177</v>
      </c>
    </row>
    <row r="202" spans="1:79" ht="13" customHeight="1" x14ac:dyDescent="0.3">
      <c r="C202" s="36" t="str">
        <f>VLOOKUP(116,Textbausteine_203[],Hilfsgrössen!$D$2,FALSE)</f>
        <v>Belgique</v>
      </c>
      <c r="D202" s="1" t="str">
        <f>VLOOKUP(17,Textbausteine_203[],Hilfsgrössen!$D$2,FALSE)</f>
        <v>Indice</v>
      </c>
      <c r="E202" s="37">
        <v>2</v>
      </c>
      <c r="H202" s="100" t="s">
        <v>1595</v>
      </c>
      <c r="I202" s="100" t="s">
        <v>1595</v>
      </c>
      <c r="J202" s="100" t="s">
        <v>1595</v>
      </c>
      <c r="K202" s="100" t="s">
        <v>1595</v>
      </c>
      <c r="L202" s="100" t="s">
        <v>1595</v>
      </c>
      <c r="M202" s="100" t="s">
        <v>1595</v>
      </c>
      <c r="N202" s="100" t="s">
        <v>1595</v>
      </c>
      <c r="O202" s="100">
        <v>134</v>
      </c>
      <c r="P202" s="100">
        <v>133</v>
      </c>
      <c r="Q202" s="100">
        <v>133</v>
      </c>
      <c r="R202" s="100">
        <v>135</v>
      </c>
      <c r="S202" s="100">
        <v>134</v>
      </c>
      <c r="T202" s="20">
        <v>136</v>
      </c>
      <c r="U202" s="262">
        <v>135</v>
      </c>
    </row>
    <row r="203" spans="1:79" ht="13" customHeight="1" x14ac:dyDescent="0.3">
      <c r="C203" s="36" t="str">
        <f>VLOOKUP(126,Textbausteine_203[],Hilfsgrössen!$D$2,FALSE)</f>
        <v>Pays-Bas</v>
      </c>
      <c r="D203" s="1" t="str">
        <f>VLOOKUP(17,Textbausteine_203[],Hilfsgrössen!$D$2,FALSE)</f>
        <v>Indice</v>
      </c>
      <c r="E203" s="37">
        <v>2</v>
      </c>
      <c r="H203" s="100" t="s">
        <v>1595</v>
      </c>
      <c r="I203" s="100" t="s">
        <v>1595</v>
      </c>
      <c r="J203" s="100" t="s">
        <v>1595</v>
      </c>
      <c r="K203" s="100" t="s">
        <v>1595</v>
      </c>
      <c r="L203" s="100" t="s">
        <v>1595</v>
      </c>
      <c r="M203" s="100" t="s">
        <v>1595</v>
      </c>
      <c r="N203" s="100" t="s">
        <v>1595</v>
      </c>
      <c r="O203" s="100">
        <v>155</v>
      </c>
      <c r="P203" s="100">
        <v>149</v>
      </c>
      <c r="Q203" s="100">
        <v>143</v>
      </c>
      <c r="R203" s="100">
        <v>148</v>
      </c>
      <c r="S203" s="100">
        <v>146</v>
      </c>
      <c r="T203" s="20">
        <v>136</v>
      </c>
      <c r="U203" s="262">
        <v>134</v>
      </c>
    </row>
    <row r="204" spans="1:79" ht="13" customHeight="1" x14ac:dyDescent="0.3">
      <c r="C204" s="36" t="str">
        <f>VLOOKUP(123,Textbausteine_203[],Hilfsgrössen!$D$2,FALSE)</f>
        <v>Royaume-Uni</v>
      </c>
      <c r="D204" s="1" t="str">
        <f>VLOOKUP(17,Textbausteine_203[],Hilfsgrössen!$D$2,FALSE)</f>
        <v>Indice</v>
      </c>
      <c r="E204" s="37" t="s">
        <v>389</v>
      </c>
      <c r="H204" s="100" t="s">
        <v>1595</v>
      </c>
      <c r="I204" s="100" t="s">
        <v>1595</v>
      </c>
      <c r="J204" s="100" t="s">
        <v>1595</v>
      </c>
      <c r="K204" s="100" t="s">
        <v>1595</v>
      </c>
      <c r="L204" s="100" t="s">
        <v>1595</v>
      </c>
      <c r="M204" s="100" t="s">
        <v>1595</v>
      </c>
      <c r="N204" s="100" t="s">
        <v>1595</v>
      </c>
      <c r="O204" s="100">
        <v>183</v>
      </c>
      <c r="P204" s="100">
        <v>198</v>
      </c>
      <c r="Q204" s="100">
        <v>154</v>
      </c>
      <c r="R204" s="100">
        <v>142</v>
      </c>
      <c r="S204" s="100">
        <v>134</v>
      </c>
      <c r="T204" s="20">
        <v>129</v>
      </c>
      <c r="U204" s="262">
        <v>127</v>
      </c>
    </row>
    <row r="205" spans="1:79" ht="13" customHeight="1" x14ac:dyDescent="0.3">
      <c r="C205" s="320" t="str">
        <f>VLOOKUP(117,Textbausteine_203[],Hilfsgrössen!$D$2,FALSE)</f>
        <v>Suisse</v>
      </c>
      <c r="D205" s="31" t="str">
        <f>VLOOKUP(17,Textbausteine_203[],Hilfsgrössen!$D$2,FALSE)</f>
        <v>Indice</v>
      </c>
      <c r="E205" s="39">
        <v>2</v>
      </c>
      <c r="F205" s="39"/>
      <c r="G205" s="46"/>
      <c r="H205" s="96" t="s">
        <v>1595</v>
      </c>
      <c r="I205" s="96" t="s">
        <v>1595</v>
      </c>
      <c r="J205" s="96" t="s">
        <v>1595</v>
      </c>
      <c r="K205" s="96" t="s">
        <v>1595</v>
      </c>
      <c r="L205" s="96" t="s">
        <v>1595</v>
      </c>
      <c r="M205" s="96" t="s">
        <v>1595</v>
      </c>
      <c r="N205" s="96" t="s">
        <v>1595</v>
      </c>
      <c r="O205" s="96">
        <v>100</v>
      </c>
      <c r="P205" s="96">
        <v>100</v>
      </c>
      <c r="Q205" s="96">
        <v>100</v>
      </c>
      <c r="R205" s="96">
        <v>100</v>
      </c>
      <c r="S205" s="96">
        <v>100</v>
      </c>
      <c r="T205" s="117">
        <v>100</v>
      </c>
      <c r="U205" s="261">
        <v>100</v>
      </c>
    </row>
    <row r="206" spans="1:79" ht="13" customHeight="1" x14ac:dyDescent="0.3">
      <c r="C206" s="36" t="str">
        <f>VLOOKUP(118,Textbausteine_203[],Hilfsgrössen!$D$2,FALSE)</f>
        <v>Allemagne</v>
      </c>
      <c r="D206" s="1" t="str">
        <f>VLOOKUP(17,Textbausteine_203[],Hilfsgrössen!$D$2,FALSE)</f>
        <v>Indice</v>
      </c>
      <c r="E206" s="37">
        <v>2</v>
      </c>
      <c r="H206" s="100" t="s">
        <v>1595</v>
      </c>
      <c r="I206" s="100" t="s">
        <v>1595</v>
      </c>
      <c r="J206" s="100" t="s">
        <v>1595</v>
      </c>
      <c r="K206" s="100" t="s">
        <v>1595</v>
      </c>
      <c r="L206" s="100" t="s">
        <v>1595</v>
      </c>
      <c r="M206" s="100" t="s">
        <v>1595</v>
      </c>
      <c r="N206" s="100" t="s">
        <v>1595</v>
      </c>
      <c r="O206" s="100">
        <v>112</v>
      </c>
      <c r="P206" s="100">
        <v>108</v>
      </c>
      <c r="Q206" s="100">
        <v>104</v>
      </c>
      <c r="R206" s="100">
        <v>105</v>
      </c>
      <c r="S206" s="100">
        <v>105</v>
      </c>
      <c r="T206" s="20">
        <v>100</v>
      </c>
      <c r="U206" s="262">
        <v>98</v>
      </c>
    </row>
    <row r="207" spans="1:79" s="31" customFormat="1" ht="13" customHeight="1" x14ac:dyDescent="0.3">
      <c r="A207" s="90"/>
      <c r="C207" s="36" t="str">
        <f>VLOOKUP(115,Textbausteine_203[],Hilfsgrössen!$D$2,FALSE)</f>
        <v>Autriche</v>
      </c>
      <c r="D207" s="1" t="str">
        <f>VLOOKUP(17,Textbausteine_203[],Hilfsgrössen!$D$2,FALSE)</f>
        <v>Indice</v>
      </c>
      <c r="E207" s="37">
        <v>2</v>
      </c>
      <c r="F207" s="37"/>
      <c r="G207" s="47"/>
      <c r="H207" s="100" t="s">
        <v>1595</v>
      </c>
      <c r="I207" s="100" t="s">
        <v>1595</v>
      </c>
      <c r="J207" s="100" t="s">
        <v>1595</v>
      </c>
      <c r="K207" s="100" t="s">
        <v>1595</v>
      </c>
      <c r="L207" s="100" t="s">
        <v>1595</v>
      </c>
      <c r="M207" s="100" t="s">
        <v>1595</v>
      </c>
      <c r="N207" s="100" t="s">
        <v>1595</v>
      </c>
      <c r="O207" s="100">
        <v>104</v>
      </c>
      <c r="P207" s="100">
        <v>102</v>
      </c>
      <c r="Q207" s="100">
        <v>104</v>
      </c>
      <c r="R207" s="100">
        <v>103</v>
      </c>
      <c r="S207" s="100">
        <v>105</v>
      </c>
      <c r="T207" s="20">
        <v>100</v>
      </c>
      <c r="U207" s="262">
        <v>89</v>
      </c>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row>
    <row r="209" spans="1:79" s="328" customFormat="1" ht="13" customHeight="1" x14ac:dyDescent="0.25">
      <c r="A209" s="327"/>
      <c r="B209" s="328" t="str">
        <f>VLOOKUP(221,Textbausteine_203[],Hilfsgrössen!$D$2,FALSE)</f>
        <v>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2017). Suisse = 100 (par définition).</v>
      </c>
      <c r="E209" s="327"/>
      <c r="F209" s="327"/>
      <c r="G209" s="329"/>
      <c r="H209" s="330"/>
      <c r="I209" s="330"/>
      <c r="J209" s="330"/>
      <c r="K209" s="330"/>
      <c r="L209" s="330"/>
      <c r="M209" s="330"/>
      <c r="N209" s="330"/>
      <c r="O209" s="330"/>
      <c r="P209" s="330"/>
      <c r="Q209" s="330"/>
      <c r="R209" s="330"/>
      <c r="S209" s="330"/>
      <c r="T209" s="331"/>
      <c r="U209" s="331"/>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7"/>
      <c r="BA209" s="327"/>
      <c r="BB209" s="327"/>
      <c r="BC209" s="327"/>
      <c r="BD209" s="327"/>
      <c r="BE209" s="327"/>
      <c r="BF209" s="327"/>
      <c r="BG209" s="327"/>
      <c r="BH209" s="327"/>
      <c r="BI209" s="327"/>
      <c r="BJ209" s="327"/>
      <c r="BK209" s="327"/>
      <c r="BL209" s="327"/>
      <c r="BM209" s="327"/>
      <c r="BN209" s="327"/>
      <c r="BO209" s="327"/>
      <c r="BP209" s="327"/>
      <c r="BQ209" s="327"/>
      <c r="BR209" s="327"/>
      <c r="BS209" s="327"/>
      <c r="BT209" s="327"/>
      <c r="BU209" s="327"/>
      <c r="BV209" s="327"/>
      <c r="BW209" s="327"/>
      <c r="BX209" s="327"/>
      <c r="BY209" s="327"/>
      <c r="BZ209" s="327"/>
      <c r="CA209" s="327"/>
    </row>
    <row r="210" spans="1:79" s="328" customFormat="1" ht="13" customHeight="1" x14ac:dyDescent="0.25">
      <c r="A210" s="327"/>
      <c r="B210" s="328" t="str">
        <f>VLOOKUP(222,Textbausteine_203[],Hilfsgrössen!$D$2,FALSE)</f>
        <v>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2017). Suisse = 100 (par définition).</v>
      </c>
      <c r="E210" s="327"/>
      <c r="F210" s="327"/>
      <c r="G210" s="329"/>
      <c r="H210" s="330"/>
      <c r="I210" s="330"/>
      <c r="J210" s="330"/>
      <c r="K210" s="330"/>
      <c r="L210" s="330"/>
      <c r="M210" s="330"/>
      <c r="N210" s="330"/>
      <c r="O210" s="330"/>
      <c r="P210" s="330"/>
      <c r="Q210" s="330"/>
      <c r="R210" s="330"/>
      <c r="S210" s="330"/>
      <c r="T210" s="331"/>
      <c r="U210" s="331"/>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327"/>
      <c r="BK210" s="327"/>
      <c r="BL210" s="327"/>
      <c r="BM210" s="327"/>
      <c r="BN210" s="327"/>
      <c r="BO210" s="327"/>
      <c r="BP210" s="327"/>
      <c r="BQ210" s="327"/>
      <c r="BR210" s="327"/>
      <c r="BS210" s="327"/>
      <c r="BT210" s="327"/>
      <c r="BU210" s="327"/>
      <c r="BV210" s="327"/>
      <c r="BW210" s="327"/>
      <c r="BX210" s="327"/>
      <c r="BY210" s="327"/>
      <c r="BZ210" s="327"/>
      <c r="CA210" s="327"/>
    </row>
    <row r="211" spans="1:79" s="328" customFormat="1" ht="13" customHeight="1" x14ac:dyDescent="0.25">
      <c r="A211" s="327"/>
      <c r="B211" s="328" t="str">
        <f>VLOOKUP(223,Textbausteine_203[],Hilfsgrössen!$D$2,FALSE)</f>
        <v>3) Valeurs de l'exercice précédent partiellement adaptées.</v>
      </c>
      <c r="E211" s="327"/>
      <c r="F211" s="327"/>
      <c r="G211" s="329"/>
      <c r="H211" s="330"/>
      <c r="I211" s="330"/>
      <c r="J211" s="330"/>
      <c r="K211" s="330"/>
      <c r="L211" s="330"/>
      <c r="M211" s="330"/>
      <c r="N211" s="330"/>
      <c r="O211" s="330"/>
      <c r="P211" s="330"/>
      <c r="Q211" s="330"/>
      <c r="R211" s="330"/>
      <c r="S211" s="330"/>
      <c r="T211" s="331"/>
      <c r="U211" s="331"/>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327"/>
      <c r="BK211" s="327"/>
      <c r="BL211" s="327"/>
      <c r="BM211" s="327"/>
      <c r="BN211" s="327"/>
      <c r="BO211" s="327"/>
      <c r="BP211" s="327"/>
      <c r="BQ211" s="327"/>
      <c r="BR211" s="327"/>
      <c r="BS211" s="327"/>
      <c r="BT211" s="327"/>
      <c r="BU211" s="327"/>
      <c r="BV211" s="327"/>
      <c r="BW211" s="327"/>
      <c r="BX211" s="327"/>
      <c r="BY211" s="327"/>
      <c r="BZ211" s="327"/>
      <c r="CA211" s="327"/>
    </row>
    <row r="215" spans="1:79" s="31" customFormat="1" ht="13" customHeight="1" x14ac:dyDescent="0.3">
      <c r="A215" s="56" t="s">
        <v>900</v>
      </c>
      <c r="B215" s="385" t="str">
        <f>$C$11</f>
        <v>Délais d'acheminement des services postaux</v>
      </c>
      <c r="C215" s="385"/>
      <c r="D215" s="6" t="str">
        <f>VLOOKUP(32,Textbausteine_Menu[],Hilfsgrössen!$D$2,FALSE)</f>
        <v>Unité</v>
      </c>
      <c r="E215" s="39" t="str">
        <f>VLOOKUP(33,Textbausteine_Menu[],Hilfsgrössen!$D$2,FALSE)</f>
        <v>Notes</v>
      </c>
      <c r="F215" s="39" t="str">
        <f>VLOOKUP(34,Textbausteine_Menu[],Hilfsgrössen!$D$2,FALSE)</f>
        <v>GRI</v>
      </c>
      <c r="G215" s="53"/>
      <c r="H215" s="117">
        <v>2004</v>
      </c>
      <c r="I215" s="117">
        <v>2005</v>
      </c>
      <c r="J215" s="117">
        <v>2006</v>
      </c>
      <c r="K215" s="117">
        <v>2007</v>
      </c>
      <c r="L215" s="117">
        <v>2008</v>
      </c>
      <c r="M215" s="117">
        <v>2009</v>
      </c>
      <c r="N215" s="117">
        <v>2010</v>
      </c>
      <c r="O215" s="117">
        <v>2011</v>
      </c>
      <c r="P215" s="117">
        <v>2012</v>
      </c>
      <c r="Q215" s="117">
        <v>2013</v>
      </c>
      <c r="R215" s="117">
        <v>2014</v>
      </c>
      <c r="S215" s="117">
        <v>2015</v>
      </c>
      <c r="T215" s="117">
        <v>2016</v>
      </c>
      <c r="U215" s="261">
        <v>2017</v>
      </c>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row>
    <row r="216" spans="1:79" s="31" customFormat="1" ht="13" customHeight="1" x14ac:dyDescent="0.3">
      <c r="A216" s="55"/>
      <c r="B216" s="385"/>
      <c r="C216" s="385"/>
      <c r="D216" s="6"/>
      <c r="E216" s="37"/>
      <c r="F216" s="37"/>
      <c r="G216" s="47"/>
      <c r="H216" s="117"/>
      <c r="I216" s="117"/>
      <c r="J216" s="117"/>
      <c r="K216" s="117"/>
      <c r="L216" s="106"/>
      <c r="M216" s="106"/>
      <c r="N216" s="107"/>
      <c r="O216" s="107"/>
      <c r="P216" s="107"/>
      <c r="Q216" s="107"/>
      <c r="R216" s="107"/>
      <c r="S216" s="107"/>
      <c r="T216" s="20"/>
      <c r="U216" s="262"/>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row>
    <row r="217" spans="1:79" ht="13" customHeight="1" x14ac:dyDescent="0.3">
      <c r="A217" s="66"/>
      <c r="B217" s="8"/>
      <c r="C217" s="9"/>
      <c r="D217" s="9"/>
      <c r="E217" s="40"/>
      <c r="F217" s="40"/>
      <c r="H217" s="117"/>
      <c r="I217" s="117"/>
      <c r="J217" s="117"/>
      <c r="K217" s="117"/>
      <c r="L217" s="106"/>
      <c r="M217" s="106"/>
      <c r="N217" s="107"/>
      <c r="O217" s="107"/>
      <c r="P217" s="107"/>
      <c r="Q217" s="107"/>
      <c r="R217" s="107"/>
      <c r="S217" s="107"/>
      <c r="U217" s="262"/>
    </row>
    <row r="218" spans="1:79" ht="13" customHeight="1" x14ac:dyDescent="0.3">
      <c r="A218" s="66"/>
      <c r="B218" s="8" t="str">
        <f>VLOOKUP(37,Textbausteine_Menu[],Hilfsgrössen!$D$2,FALSE)</f>
        <v>Groupe Suisse</v>
      </c>
      <c r="C218" s="9"/>
      <c r="D218" s="9"/>
      <c r="E218" s="40"/>
      <c r="F218" s="40"/>
      <c r="H218" s="117"/>
      <c r="I218" s="117"/>
      <c r="J218" s="117"/>
      <c r="K218" s="117"/>
      <c r="L218" s="106"/>
      <c r="M218" s="106"/>
      <c r="N218" s="107"/>
      <c r="O218" s="107"/>
      <c r="P218" s="107"/>
      <c r="Q218" s="107"/>
      <c r="R218" s="107"/>
      <c r="S218" s="107"/>
      <c r="U218" s="262"/>
    </row>
    <row r="219" spans="1:79" s="31" customFormat="1" ht="13" customHeight="1" x14ac:dyDescent="0.3">
      <c r="A219" s="90"/>
      <c r="C219" s="31" t="str">
        <f>VLOOKUP(141,Textbausteine_203[],Hilfsgrössen!$D$2,FALSE)</f>
        <v>Lettres domestiques distribués dans les délais au destinataire</v>
      </c>
      <c r="E219" s="39"/>
      <c r="F219" s="39"/>
      <c r="G219" s="46"/>
      <c r="H219" s="96"/>
      <c r="I219" s="96"/>
      <c r="J219" s="96"/>
      <c r="K219" s="96"/>
      <c r="L219" s="96"/>
      <c r="M219" s="96"/>
      <c r="N219" s="96"/>
      <c r="O219" s="96"/>
      <c r="P219" s="96"/>
      <c r="Q219" s="96"/>
      <c r="R219" s="96"/>
      <c r="S219" s="96"/>
      <c r="T219" s="117"/>
      <c r="U219" s="261"/>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row>
    <row r="220" spans="1:79" ht="13" customHeight="1" x14ac:dyDescent="0.3">
      <c r="C220" s="36" t="str">
        <f>VLOOKUP(142,Textbausteine_203[],Hilfsgrössen!$D$2,FALSE)</f>
        <v>Courrier A</v>
      </c>
      <c r="D220" s="1" t="str">
        <f>VLOOKUP(12,Textbausteine_203[],Hilfsgrössen!$D$2,FALSE)</f>
        <v>%</v>
      </c>
      <c r="E220" s="37">
        <v>1</v>
      </c>
      <c r="H220" s="100">
        <v>97.4</v>
      </c>
      <c r="I220" s="100">
        <v>97.7</v>
      </c>
      <c r="J220" s="100">
        <v>98</v>
      </c>
      <c r="K220" s="100">
        <v>97.1</v>
      </c>
      <c r="L220" s="100">
        <v>95.9</v>
      </c>
      <c r="M220" s="100">
        <v>97.7</v>
      </c>
      <c r="N220" s="100">
        <v>97.2</v>
      </c>
      <c r="O220" s="100">
        <v>97.5</v>
      </c>
      <c r="P220" s="100">
        <v>97.9</v>
      </c>
      <c r="Q220" s="100">
        <v>97.6</v>
      </c>
      <c r="R220" s="100">
        <v>97.7</v>
      </c>
      <c r="S220" s="100">
        <v>97.8</v>
      </c>
      <c r="T220" s="20">
        <v>98</v>
      </c>
      <c r="U220" s="262">
        <v>97.6</v>
      </c>
    </row>
    <row r="221" spans="1:79" ht="13" customHeight="1" x14ac:dyDescent="0.3">
      <c r="C221" s="36" t="str">
        <f>VLOOKUP(143,Textbausteine_203[],Hilfsgrössen!$D$2,FALSE)</f>
        <v>Courrier B</v>
      </c>
      <c r="D221" s="1" t="str">
        <f>VLOOKUP(12,Textbausteine_203[],Hilfsgrössen!$D$2,FALSE)</f>
        <v>%</v>
      </c>
      <c r="E221" s="37">
        <v>1</v>
      </c>
      <c r="H221" s="100">
        <v>97.4</v>
      </c>
      <c r="I221" s="100">
        <v>98.2</v>
      </c>
      <c r="J221" s="100">
        <v>98.3</v>
      </c>
      <c r="K221" s="100">
        <v>96.7</v>
      </c>
      <c r="L221" s="100">
        <v>95.9</v>
      </c>
      <c r="M221" s="100">
        <v>98.4</v>
      </c>
      <c r="N221" s="100">
        <v>98.5</v>
      </c>
      <c r="O221" s="100">
        <v>99.3</v>
      </c>
      <c r="P221" s="100">
        <v>98.8</v>
      </c>
      <c r="Q221" s="100">
        <v>98.8</v>
      </c>
      <c r="R221" s="100">
        <v>99</v>
      </c>
      <c r="S221" s="100">
        <v>98.9</v>
      </c>
      <c r="T221" s="20">
        <v>98.9</v>
      </c>
      <c r="U221" s="262">
        <v>99</v>
      </c>
    </row>
    <row r="222" spans="1:79" ht="13" customHeight="1" x14ac:dyDescent="0.3">
      <c r="U222" s="262"/>
    </row>
    <row r="223" spans="1:79" s="31" customFormat="1" ht="13" customHeight="1" x14ac:dyDescent="0.3">
      <c r="A223" s="90"/>
      <c r="C223" s="31" t="str">
        <f>VLOOKUP(144,Textbausteine_203[],Hilfsgrössen!$D$2,FALSE)</f>
        <v>Colis domestiques distribués dans les délais au destinataire</v>
      </c>
      <c r="E223" s="39"/>
      <c r="F223" s="39"/>
      <c r="G223" s="46"/>
      <c r="H223" s="96"/>
      <c r="I223" s="96"/>
      <c r="J223" s="96"/>
      <c r="K223" s="96"/>
      <c r="L223" s="96"/>
      <c r="M223" s="96"/>
      <c r="N223" s="96"/>
      <c r="O223" s="96"/>
      <c r="P223" s="96"/>
      <c r="Q223" s="96"/>
      <c r="R223" s="96"/>
      <c r="S223" s="96"/>
      <c r="T223" s="117"/>
      <c r="U223" s="261"/>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row>
    <row r="224" spans="1:79" ht="13" customHeight="1" x14ac:dyDescent="0.3">
      <c r="C224" s="36" t="str">
        <f>VLOOKUP(145,Textbausteine_203[],Hilfsgrössen!$D$2,FALSE)</f>
        <v>PostPac Priority</v>
      </c>
      <c r="D224" s="1" t="str">
        <f>VLOOKUP(12,Textbausteine_203[],Hilfsgrössen!$D$2,FALSE)</f>
        <v>%</v>
      </c>
      <c r="E224" s="37">
        <v>1</v>
      </c>
      <c r="H224" s="100">
        <v>95.8</v>
      </c>
      <c r="I224" s="100">
        <v>97.4</v>
      </c>
      <c r="J224" s="100">
        <v>97.3</v>
      </c>
      <c r="K224" s="100">
        <v>97.6</v>
      </c>
      <c r="L224" s="100">
        <v>98</v>
      </c>
      <c r="M224" s="100">
        <v>97.8</v>
      </c>
      <c r="N224" s="100">
        <v>97.7</v>
      </c>
      <c r="O224" s="100">
        <v>97.4</v>
      </c>
      <c r="P224" s="100">
        <v>97.7</v>
      </c>
      <c r="Q224" s="100">
        <v>97.3</v>
      </c>
      <c r="R224" s="100">
        <v>97.4</v>
      </c>
      <c r="S224" s="100">
        <v>97.5</v>
      </c>
      <c r="T224" s="20">
        <v>98.1</v>
      </c>
      <c r="U224" s="262">
        <v>96</v>
      </c>
    </row>
    <row r="225" spans="1:79" ht="13" customHeight="1" x14ac:dyDescent="0.3">
      <c r="C225" s="36" t="str">
        <f>VLOOKUP(146,Textbausteine_203[],Hilfsgrössen!$D$2,FALSE)</f>
        <v>PostPac Economy</v>
      </c>
      <c r="D225" s="1" t="str">
        <f>VLOOKUP(12,Textbausteine_203[],Hilfsgrössen!$D$2,FALSE)</f>
        <v>%</v>
      </c>
      <c r="E225" s="37">
        <v>1</v>
      </c>
      <c r="H225" s="100">
        <v>97.7</v>
      </c>
      <c r="I225" s="100">
        <v>97.7</v>
      </c>
      <c r="J225" s="100">
        <v>97.6</v>
      </c>
      <c r="K225" s="100">
        <v>97.5</v>
      </c>
      <c r="L225" s="100">
        <v>98.7</v>
      </c>
      <c r="M225" s="100">
        <v>98.1</v>
      </c>
      <c r="N225" s="100">
        <v>97.5</v>
      </c>
      <c r="O225" s="100">
        <v>97.7</v>
      </c>
      <c r="P225" s="100">
        <v>97.9</v>
      </c>
      <c r="Q225" s="100">
        <v>97.7</v>
      </c>
      <c r="R225" s="100">
        <v>97.5</v>
      </c>
      <c r="S225" s="100">
        <v>97.5</v>
      </c>
      <c r="T225" s="20">
        <v>97.2</v>
      </c>
      <c r="U225" s="262">
        <v>97.5</v>
      </c>
    </row>
    <row r="227" spans="1:79" s="328" customFormat="1" ht="13" customHeight="1" x14ac:dyDescent="0.25">
      <c r="A227" s="327"/>
      <c r="B227" s="328" t="str">
        <f>VLOOKUP(231,Textbausteine_203[],Hilfsgrössen!$D$2,FALSE)</f>
        <v>1) Distribué dans les délais au destinataire signifie, pour le courrier A (Priority), le jour ouvrable suivant le dépôt et, pour le courrier B (Economy), au plus tard trois jours ouvrables après le dépôt.</v>
      </c>
      <c r="E227" s="327"/>
      <c r="F227" s="327"/>
      <c r="G227" s="329"/>
      <c r="H227" s="330"/>
      <c r="I227" s="330"/>
      <c r="J227" s="330"/>
      <c r="K227" s="330"/>
      <c r="L227" s="330"/>
      <c r="M227" s="330"/>
      <c r="N227" s="330"/>
      <c r="O227" s="330"/>
      <c r="P227" s="330"/>
      <c r="Q227" s="330"/>
      <c r="R227" s="330"/>
      <c r="S227" s="330"/>
      <c r="T227" s="331"/>
      <c r="U227" s="331"/>
      <c r="V227" s="327"/>
      <c r="W227" s="327"/>
      <c r="X227" s="327"/>
      <c r="Y227" s="327"/>
      <c r="Z227" s="327"/>
      <c r="AA227" s="327"/>
      <c r="AB227" s="327"/>
      <c r="AC227" s="327"/>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7"/>
      <c r="AY227" s="327"/>
      <c r="AZ227" s="327"/>
      <c r="BA227" s="327"/>
      <c r="BB227" s="327"/>
      <c r="BC227" s="327"/>
      <c r="BD227" s="327"/>
      <c r="BE227" s="327"/>
      <c r="BF227" s="327"/>
      <c r="BG227" s="327"/>
      <c r="BH227" s="327"/>
      <c r="BI227" s="327"/>
      <c r="BJ227" s="327"/>
      <c r="BK227" s="327"/>
      <c r="BL227" s="327"/>
      <c r="BM227" s="327"/>
      <c r="BN227" s="327"/>
      <c r="BO227" s="327"/>
      <c r="BP227" s="327"/>
      <c r="BQ227" s="327"/>
      <c r="BR227" s="327"/>
      <c r="BS227" s="327"/>
      <c r="BT227" s="327"/>
      <c r="BU227" s="327"/>
      <c r="BV227" s="327"/>
      <c r="BW227" s="327"/>
      <c r="BX227" s="327"/>
      <c r="BY227" s="327"/>
      <c r="BZ227" s="327"/>
      <c r="CA227" s="327"/>
    </row>
    <row r="231" spans="1:79" s="31" customFormat="1" ht="13" customHeight="1" x14ac:dyDescent="0.3">
      <c r="A231" s="56" t="s">
        <v>900</v>
      </c>
      <c r="B231" s="385" t="str">
        <f>$C$12</f>
        <v>Temps d'attente dans les filiales</v>
      </c>
      <c r="C231" s="385"/>
      <c r="D231" s="6" t="str">
        <f>VLOOKUP(32,Textbausteine_Menu[],Hilfsgrössen!$D$2,FALSE)</f>
        <v>Unité</v>
      </c>
      <c r="E231" s="39" t="str">
        <f>VLOOKUP(33,Textbausteine_Menu[],Hilfsgrössen!$D$2,FALSE)</f>
        <v>Notes</v>
      </c>
      <c r="F231" s="39" t="str">
        <f>VLOOKUP(34,Textbausteine_Menu[],Hilfsgrössen!$D$2,FALSE)</f>
        <v>GRI</v>
      </c>
      <c r="G231" s="53"/>
      <c r="H231" s="117">
        <v>2004</v>
      </c>
      <c r="I231" s="117">
        <v>2005</v>
      </c>
      <c r="J231" s="117">
        <v>2006</v>
      </c>
      <c r="K231" s="117">
        <v>2007</v>
      </c>
      <c r="L231" s="117">
        <v>2008</v>
      </c>
      <c r="M231" s="117">
        <v>2009</v>
      </c>
      <c r="N231" s="117">
        <v>2010</v>
      </c>
      <c r="O231" s="117">
        <v>2011</v>
      </c>
      <c r="P231" s="117">
        <v>2012</v>
      </c>
      <c r="Q231" s="117">
        <v>2013</v>
      </c>
      <c r="R231" s="117">
        <v>2014</v>
      </c>
      <c r="S231" s="117">
        <v>2015</v>
      </c>
      <c r="T231" s="117">
        <v>2016</v>
      </c>
      <c r="U231" s="261">
        <v>2017</v>
      </c>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row>
    <row r="232" spans="1:79" s="31" customFormat="1" ht="13" customHeight="1" x14ac:dyDescent="0.3">
      <c r="A232" s="55"/>
      <c r="B232" s="385"/>
      <c r="C232" s="385"/>
      <c r="D232" s="6"/>
      <c r="E232" s="37"/>
      <c r="F232" s="37"/>
      <c r="G232" s="47"/>
      <c r="H232" s="117"/>
      <c r="I232" s="117"/>
      <c r="J232" s="117"/>
      <c r="K232" s="117"/>
      <c r="L232" s="106"/>
      <c r="M232" s="106"/>
      <c r="N232" s="107"/>
      <c r="O232" s="107"/>
      <c r="P232" s="107"/>
      <c r="Q232" s="107"/>
      <c r="R232" s="107"/>
      <c r="S232" s="107"/>
      <c r="T232" s="20"/>
      <c r="U232" s="262"/>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row>
    <row r="233" spans="1:79" ht="13" customHeight="1" x14ac:dyDescent="0.3">
      <c r="A233" s="66"/>
      <c r="B233" s="8"/>
      <c r="C233" s="9"/>
      <c r="D233" s="9"/>
      <c r="E233" s="40"/>
      <c r="F233" s="40"/>
      <c r="H233" s="117"/>
      <c r="I233" s="117"/>
      <c r="J233" s="117"/>
      <c r="K233" s="117"/>
      <c r="L233" s="106"/>
      <c r="M233" s="106"/>
      <c r="N233" s="107"/>
      <c r="O233" s="107"/>
      <c r="P233" s="107"/>
      <c r="Q233" s="107"/>
      <c r="R233" s="107"/>
      <c r="S233" s="107"/>
      <c r="U233" s="262"/>
    </row>
    <row r="234" spans="1:79" ht="13" customHeight="1" x14ac:dyDescent="0.3">
      <c r="A234" s="66"/>
      <c r="B234" s="8" t="str">
        <f>VLOOKUP(37,Textbausteine_Menu[],Hilfsgrössen!$D$2,FALSE)</f>
        <v>Groupe Suisse</v>
      </c>
      <c r="C234" s="9"/>
      <c r="D234" s="9"/>
      <c r="E234" s="40"/>
      <c r="F234" s="40"/>
      <c r="H234" s="117"/>
      <c r="I234" s="117"/>
      <c r="J234" s="117"/>
      <c r="K234" s="117"/>
      <c r="L234" s="106"/>
      <c r="M234" s="106"/>
      <c r="N234" s="107"/>
      <c r="O234" s="107"/>
      <c r="P234" s="107"/>
      <c r="Q234" s="107"/>
      <c r="R234" s="107"/>
      <c r="S234" s="107"/>
      <c r="U234" s="262"/>
    </row>
    <row r="235" spans="1:79" s="31" customFormat="1" ht="13" customHeight="1" x14ac:dyDescent="0.3">
      <c r="A235" s="90"/>
      <c r="C235" s="31" t="str">
        <f>VLOOKUP(151,Textbausteine_203[],Hilfsgrössen!$D$2,FALSE)</f>
        <v>Temps d'attente au guichet</v>
      </c>
      <c r="E235" s="39"/>
      <c r="F235" s="39"/>
      <c r="G235" s="46"/>
      <c r="H235" s="96"/>
      <c r="I235" s="96"/>
      <c r="J235" s="96"/>
      <c r="K235" s="96"/>
      <c r="L235" s="96"/>
      <c r="M235" s="96"/>
      <c r="N235" s="96"/>
      <c r="O235" s="96"/>
      <c r="P235" s="96"/>
      <c r="Q235" s="96"/>
      <c r="R235" s="96"/>
      <c r="S235" s="96"/>
      <c r="T235" s="117"/>
      <c r="U235" s="261"/>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row>
    <row r="236" spans="1:79" ht="13" customHeight="1" x14ac:dyDescent="0.3">
      <c r="C236" s="36" t="str">
        <f>VLOOKUP(152,Textbausteine_203[],Hilfsgrössen!$D$2,FALSE)</f>
        <v>Part de clients qui attendent moins de 7 minutes</v>
      </c>
      <c r="D236" s="1" t="str">
        <f>VLOOKUP(12,Textbausteine_203[],Hilfsgrössen!$D$2,FALSE)</f>
        <v>%</v>
      </c>
      <c r="E236" s="37">
        <v>1</v>
      </c>
      <c r="H236" s="100" t="s">
        <v>1595</v>
      </c>
      <c r="I236" s="100">
        <v>95.7</v>
      </c>
      <c r="J236" s="100">
        <v>95.7</v>
      </c>
      <c r="K236" s="100">
        <v>95</v>
      </c>
      <c r="L236" s="100">
        <v>94.3</v>
      </c>
      <c r="M236" s="100">
        <v>95.399999999999991</v>
      </c>
      <c r="N236" s="100">
        <v>95.8</v>
      </c>
      <c r="O236" s="100">
        <v>95.7</v>
      </c>
      <c r="P236" s="100">
        <v>95</v>
      </c>
      <c r="Q236" s="100">
        <v>94.6</v>
      </c>
      <c r="R236" s="100">
        <v>94.899999999999991</v>
      </c>
      <c r="S236" s="100">
        <v>94.899999999999991</v>
      </c>
      <c r="T236" s="20">
        <v>95.807900000000004</v>
      </c>
      <c r="U236" s="262">
        <v>94.94</v>
      </c>
    </row>
    <row r="237" spans="1:79" ht="13" customHeight="1" x14ac:dyDescent="0.3">
      <c r="C237" s="36" t="str">
        <f>VLOOKUP(153,Textbausteine_203[],Hilfsgrössen!$D$2,FALSE)</f>
        <v>Part de clients qui attendent moins de 10 minutes</v>
      </c>
      <c r="D237" s="1" t="str">
        <f>VLOOKUP(12,Textbausteine_203[],Hilfsgrössen!$D$2,FALSE)</f>
        <v>%</v>
      </c>
      <c r="E237" s="37">
        <v>1</v>
      </c>
      <c r="H237" s="100" t="s">
        <v>1595</v>
      </c>
      <c r="I237" s="100">
        <v>98.6</v>
      </c>
      <c r="J237" s="100">
        <v>98.8</v>
      </c>
      <c r="K237" s="100">
        <v>98.5</v>
      </c>
      <c r="L237" s="100">
        <v>98.2</v>
      </c>
      <c r="M237" s="100">
        <v>98.6</v>
      </c>
      <c r="N237" s="100">
        <v>98.7</v>
      </c>
      <c r="O237" s="100">
        <v>98.6</v>
      </c>
      <c r="P237" s="100">
        <v>98.3</v>
      </c>
      <c r="Q237" s="100">
        <v>98</v>
      </c>
      <c r="R237" s="100">
        <v>98.2</v>
      </c>
      <c r="S237" s="100">
        <v>98.2</v>
      </c>
      <c r="T237" s="20">
        <v>98.550000000000011</v>
      </c>
      <c r="U237" s="262">
        <v>98.13</v>
      </c>
    </row>
    <row r="239" spans="1:79" s="328" customFormat="1" ht="13" customHeight="1" x14ac:dyDescent="0.25">
      <c r="A239" s="327"/>
      <c r="B239" s="328" t="str">
        <f>VLOOKUP(241,Textbausteine_203[],Hilfsgrössen!$D$2,FALSE)</f>
        <v>1) Les temps d'attente sont relevés par l'unité RéseauPostal au moyen du système de tickets dans 290 filiales.</v>
      </c>
      <c r="E239" s="327"/>
      <c r="F239" s="327"/>
      <c r="G239" s="329"/>
      <c r="H239" s="330"/>
      <c r="I239" s="330"/>
      <c r="J239" s="330"/>
      <c r="K239" s="330"/>
      <c r="L239" s="330"/>
      <c r="M239" s="330"/>
      <c r="N239" s="330"/>
      <c r="O239" s="330"/>
      <c r="P239" s="330"/>
      <c r="Q239" s="330"/>
      <c r="R239" s="330"/>
      <c r="S239" s="330"/>
      <c r="T239" s="331"/>
      <c r="U239" s="331"/>
      <c r="V239" s="327"/>
      <c r="W239" s="327"/>
      <c r="X239" s="327"/>
      <c r="Y239" s="327"/>
      <c r="Z239" s="327"/>
      <c r="AA239" s="327"/>
      <c r="AB239" s="327"/>
      <c r="AC239" s="327"/>
      <c r="AD239" s="327"/>
      <c r="AE239" s="327"/>
      <c r="AF239" s="327"/>
      <c r="AG239" s="327"/>
      <c r="AH239" s="327"/>
      <c r="AI239" s="327"/>
      <c r="AJ239" s="327"/>
      <c r="AK239" s="327"/>
      <c r="AL239" s="327"/>
      <c r="AM239" s="327"/>
      <c r="AN239" s="327"/>
      <c r="AO239" s="327"/>
      <c r="AP239" s="327"/>
      <c r="AQ239" s="327"/>
      <c r="AR239" s="327"/>
      <c r="AS239" s="327"/>
      <c r="AT239" s="327"/>
      <c r="AU239" s="327"/>
      <c r="AV239" s="327"/>
      <c r="AW239" s="327"/>
      <c r="AX239" s="327"/>
      <c r="AY239" s="327"/>
      <c r="AZ239" s="327"/>
      <c r="BA239" s="327"/>
      <c r="BB239" s="327"/>
      <c r="BC239" s="327"/>
      <c r="BD239" s="327"/>
      <c r="BE239" s="327"/>
      <c r="BF239" s="327"/>
      <c r="BG239" s="327"/>
      <c r="BH239" s="327"/>
      <c r="BI239" s="327"/>
      <c r="BJ239" s="327"/>
      <c r="BK239" s="327"/>
      <c r="BL239" s="327"/>
      <c r="BM239" s="327"/>
      <c r="BN239" s="327"/>
      <c r="BO239" s="327"/>
      <c r="BP239" s="327"/>
      <c r="BQ239" s="327"/>
      <c r="BR239" s="327"/>
      <c r="BS239" s="327"/>
      <c r="BT239" s="327"/>
      <c r="BU239" s="327"/>
      <c r="BV239" s="327"/>
      <c r="BW239" s="327"/>
      <c r="BX239" s="327"/>
      <c r="BY239" s="327"/>
      <c r="BZ239" s="327"/>
      <c r="CA239" s="327"/>
    </row>
    <row r="243" spans="1:79" s="31" customFormat="1" ht="13" customHeight="1" x14ac:dyDescent="0.3">
      <c r="A243" s="56" t="s">
        <v>900</v>
      </c>
      <c r="B243" s="385" t="str">
        <f>$C$13</f>
        <v>Délais de traitement des services financiers</v>
      </c>
      <c r="C243" s="385"/>
      <c r="D243" s="6" t="str">
        <f>VLOOKUP(32,Textbausteine_Menu[],Hilfsgrössen!$D$2,FALSE)</f>
        <v>Unité</v>
      </c>
      <c r="E243" s="39" t="str">
        <f>VLOOKUP(33,Textbausteine_Menu[],Hilfsgrössen!$D$2,FALSE)</f>
        <v>Notes</v>
      </c>
      <c r="F243" s="39" t="str">
        <f>VLOOKUP(34,Textbausteine_Menu[],Hilfsgrössen!$D$2,FALSE)</f>
        <v>GRI</v>
      </c>
      <c r="G243" s="53"/>
      <c r="H243" s="117">
        <v>2004</v>
      </c>
      <c r="I243" s="117">
        <v>2005</v>
      </c>
      <c r="J243" s="117">
        <v>2006</v>
      </c>
      <c r="K243" s="117">
        <v>2007</v>
      </c>
      <c r="L243" s="117">
        <v>2008</v>
      </c>
      <c r="M243" s="117">
        <v>2009</v>
      </c>
      <c r="N243" s="117">
        <v>2010</v>
      </c>
      <c r="O243" s="117">
        <v>2011</v>
      </c>
      <c r="P243" s="117">
        <v>2012</v>
      </c>
      <c r="Q243" s="117">
        <v>2013</v>
      </c>
      <c r="R243" s="117">
        <v>2014</v>
      </c>
      <c r="S243" s="117">
        <v>2015</v>
      </c>
      <c r="T243" s="117">
        <v>2016</v>
      </c>
      <c r="U243" s="261">
        <v>2017</v>
      </c>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row>
    <row r="244" spans="1:79" s="31" customFormat="1" ht="13" customHeight="1" x14ac:dyDescent="0.3">
      <c r="A244" s="55"/>
      <c r="B244" s="385"/>
      <c r="C244" s="385"/>
      <c r="D244" s="6"/>
      <c r="E244" s="37"/>
      <c r="F244" s="37"/>
      <c r="G244" s="47"/>
      <c r="H244" s="117"/>
      <c r="I244" s="117"/>
      <c r="J244" s="117"/>
      <c r="K244" s="117"/>
      <c r="L244" s="106"/>
      <c r="M244" s="106"/>
      <c r="N244" s="107"/>
      <c r="O244" s="107"/>
      <c r="P244" s="107"/>
      <c r="Q244" s="107"/>
      <c r="R244" s="107"/>
      <c r="S244" s="107"/>
      <c r="T244" s="20"/>
      <c r="U244" s="262"/>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row>
    <row r="245" spans="1:79" ht="13" customHeight="1" x14ac:dyDescent="0.3">
      <c r="A245" s="66"/>
      <c r="B245" s="8"/>
      <c r="C245" s="9"/>
      <c r="D245" s="9"/>
      <c r="E245" s="40"/>
      <c r="F245" s="40"/>
      <c r="H245" s="117"/>
      <c r="I245" s="117"/>
      <c r="J245" s="117"/>
      <c r="K245" s="117"/>
      <c r="L245" s="106"/>
      <c r="M245" s="106"/>
      <c r="N245" s="107"/>
      <c r="O245" s="107"/>
      <c r="P245" s="107"/>
      <c r="Q245" s="107"/>
      <c r="R245" s="107"/>
      <c r="S245" s="107"/>
      <c r="U245" s="262"/>
    </row>
    <row r="246" spans="1:79" ht="13" customHeight="1" x14ac:dyDescent="0.3">
      <c r="A246" s="66"/>
      <c r="B246" s="8" t="str">
        <f>VLOOKUP(37,Textbausteine_Menu[],Hilfsgrössen!$D$2,FALSE)</f>
        <v>Groupe Suisse</v>
      </c>
      <c r="C246" s="9"/>
      <c r="D246" s="9"/>
      <c r="E246" s="40"/>
      <c r="F246" s="40"/>
      <c r="H246" s="117"/>
      <c r="I246" s="117"/>
      <c r="J246" s="117"/>
      <c r="K246" s="117"/>
      <c r="L246" s="106"/>
      <c r="M246" s="106"/>
      <c r="N246" s="107"/>
      <c r="O246" s="107"/>
      <c r="P246" s="107"/>
      <c r="Q246" s="107"/>
      <c r="R246" s="107"/>
      <c r="S246" s="107"/>
      <c r="U246" s="262"/>
    </row>
    <row r="247" spans="1:79" ht="13" customHeight="1" x14ac:dyDescent="0.3">
      <c r="C247" s="1" t="str">
        <f>VLOOKUP(161,Textbausteine_203[],Hilfsgrössen!$D$2,FALSE)</f>
        <v>Traitement des justificatifs des filiales le jour prévu</v>
      </c>
      <c r="D247" s="1" t="str">
        <f>VLOOKUP(12,Textbausteine_203[],Hilfsgrössen!$D$2,FALSE)</f>
        <v>%</v>
      </c>
      <c r="E247" s="37">
        <v>1</v>
      </c>
      <c r="H247" s="100" t="s">
        <v>1595</v>
      </c>
      <c r="I247" s="100">
        <v>99.7</v>
      </c>
      <c r="J247" s="100">
        <v>99.9</v>
      </c>
      <c r="K247" s="100">
        <v>99.99</v>
      </c>
      <c r="L247" s="100">
        <v>99.99</v>
      </c>
      <c r="M247" s="100">
        <v>99.66</v>
      </c>
      <c r="N247" s="100">
        <v>99.99</v>
      </c>
      <c r="O247" s="100">
        <v>99.3</v>
      </c>
      <c r="P247" s="100">
        <v>99.99</v>
      </c>
      <c r="Q247" s="100">
        <v>100</v>
      </c>
      <c r="R247" s="100">
        <v>99.11</v>
      </c>
      <c r="S247" s="100">
        <v>99.87</v>
      </c>
      <c r="T247" s="20">
        <v>100</v>
      </c>
      <c r="U247" s="262">
        <v>99.57</v>
      </c>
    </row>
    <row r="248" spans="1:79" ht="13" customHeight="1" x14ac:dyDescent="0.3">
      <c r="C248" s="1" t="str">
        <f>VLOOKUP(162,Textbausteine_203[],Hilfsgrössen!$D$2,FALSE)</f>
        <v>Traitement des justificatifs des ordres de paiement le jour prévu</v>
      </c>
      <c r="D248" s="1" t="str">
        <f>VLOOKUP(12,Textbausteine_203[],Hilfsgrössen!$D$2,FALSE)</f>
        <v>%</v>
      </c>
      <c r="E248" s="37">
        <v>1</v>
      </c>
      <c r="H248" s="100" t="s">
        <v>1595</v>
      </c>
      <c r="I248" s="100">
        <v>98.2</v>
      </c>
      <c r="J248" s="100">
        <v>100</v>
      </c>
      <c r="K248" s="100">
        <v>99.66</v>
      </c>
      <c r="L248" s="100">
        <v>99.99</v>
      </c>
      <c r="M248" s="100">
        <v>99.81</v>
      </c>
      <c r="N248" s="100">
        <v>99.98</v>
      </c>
      <c r="O248" s="100">
        <v>98.8</v>
      </c>
      <c r="P248" s="100">
        <v>99.9</v>
      </c>
      <c r="Q248" s="100">
        <v>99.99</v>
      </c>
      <c r="R248" s="100">
        <v>99.66</v>
      </c>
      <c r="S248" s="100">
        <v>99.89</v>
      </c>
      <c r="T248" s="20">
        <v>99.94</v>
      </c>
      <c r="U248" s="262">
        <v>99.89</v>
      </c>
    </row>
    <row r="249" spans="1:79" ht="13" customHeight="1" x14ac:dyDescent="0.3">
      <c r="C249" s="1" t="str">
        <f>VLOOKUP(163,Textbausteine_203[],Hilfsgrössen!$D$2,FALSE)</f>
        <v>Traitement des justificatifs des filiales (SCHAPO) le jour prévu</v>
      </c>
      <c r="D249" s="1" t="str">
        <f>VLOOKUP(12,Textbausteine_203[],Hilfsgrössen!$D$2,FALSE)</f>
        <v>%</v>
      </c>
      <c r="H249" s="100" t="s">
        <v>1595</v>
      </c>
      <c r="I249" s="100" t="s">
        <v>1595</v>
      </c>
      <c r="J249" s="100" t="s">
        <v>1595</v>
      </c>
      <c r="K249" s="100" t="s">
        <v>1595</v>
      </c>
      <c r="L249" s="100" t="s">
        <v>1595</v>
      </c>
      <c r="M249" s="100" t="s">
        <v>1595</v>
      </c>
      <c r="N249" s="100">
        <v>99.88</v>
      </c>
      <c r="O249" s="100">
        <v>99.68</v>
      </c>
      <c r="P249" s="100">
        <v>99.75</v>
      </c>
      <c r="Q249" s="100">
        <v>99.66</v>
      </c>
      <c r="R249" s="100">
        <v>99.89</v>
      </c>
      <c r="S249" s="100">
        <v>99.86</v>
      </c>
      <c r="T249" s="20">
        <v>99.94</v>
      </c>
      <c r="U249" s="262">
        <v>99.97</v>
      </c>
    </row>
    <row r="251" spans="1:79" s="21" customFormat="1" ht="13" customHeight="1" x14ac:dyDescent="0.25">
      <c r="A251" s="321"/>
      <c r="B251" s="21" t="str">
        <f>VLOOKUP(251,Textbausteine_203[],Hilfsgrössen!$D$2,FALSE)</f>
        <v>1) Traitement le jour prévu: les ordres de paiement écrits sont traités le jour de leur réception par courrier dans l'un des Operations Centers de PostFinance. Les paiements effectués dans les filiales sont traités le jour ouvrable suivant le versement dans une filiale.</v>
      </c>
      <c r="E251" s="324"/>
      <c r="F251" s="324"/>
      <c r="G251" s="332"/>
      <c r="H251" s="322"/>
      <c r="I251" s="322"/>
      <c r="J251" s="322"/>
      <c r="K251" s="322"/>
      <c r="L251" s="322"/>
      <c r="M251" s="322"/>
      <c r="N251" s="322"/>
      <c r="O251" s="322"/>
      <c r="P251" s="322"/>
      <c r="Q251" s="322"/>
      <c r="R251" s="322"/>
      <c r="S251" s="322"/>
      <c r="T251" s="325"/>
      <c r="U251" s="325"/>
      <c r="V251" s="324"/>
      <c r="W251" s="324"/>
      <c r="X251" s="324"/>
      <c r="Y251" s="324"/>
      <c r="Z251" s="324"/>
      <c r="AA251" s="324"/>
      <c r="AB251" s="324"/>
      <c r="AC251" s="324"/>
      <c r="AD251" s="324"/>
      <c r="AE251" s="324"/>
      <c r="AF251" s="324"/>
      <c r="AG251" s="324"/>
      <c r="AH251" s="324"/>
      <c r="AI251" s="324"/>
      <c r="AJ251" s="324"/>
      <c r="AK251" s="324"/>
      <c r="AL251" s="324"/>
      <c r="AM251" s="324"/>
      <c r="AN251" s="324"/>
      <c r="AO251" s="324"/>
      <c r="AP251" s="324"/>
      <c r="AQ251" s="324"/>
      <c r="AR251" s="324"/>
      <c r="AS251" s="324"/>
      <c r="AT251" s="324"/>
      <c r="AU251" s="324"/>
      <c r="AV251" s="324"/>
      <c r="AW251" s="324"/>
      <c r="AX251" s="324"/>
      <c r="AY251" s="324"/>
      <c r="AZ251" s="324"/>
      <c r="BA251" s="324"/>
      <c r="BB251" s="324"/>
      <c r="BC251" s="324"/>
      <c r="BD251" s="324"/>
      <c r="BE251" s="324"/>
      <c r="BF251" s="324"/>
      <c r="BG251" s="324"/>
      <c r="BH251" s="324"/>
      <c r="BI251" s="324"/>
      <c r="BJ251" s="324"/>
      <c r="BK251" s="324"/>
      <c r="BL251" s="324"/>
      <c r="BM251" s="324"/>
      <c r="BN251" s="324"/>
      <c r="BO251" s="324"/>
      <c r="BP251" s="324"/>
      <c r="BQ251" s="324"/>
      <c r="BR251" s="324"/>
      <c r="BS251" s="324"/>
      <c r="BT251" s="324"/>
      <c r="BU251" s="324"/>
      <c r="BV251" s="324"/>
      <c r="BW251" s="324"/>
      <c r="BX251" s="324"/>
      <c r="BY251" s="324"/>
      <c r="BZ251" s="324"/>
      <c r="CA251" s="324"/>
    </row>
  </sheetData>
  <sheetProtection algorithmName="SHA-512" hashValue="gEhve3BbT7Y0dU2aImMt165cHts/jRR4wzL2+yk2NUYIMoIP0i5vkqVJdpHKIECOz4qoi3OaTIzM1WCJuUXouw==" saltValue="7+9eqwvmHdd2Lg70AeytvQ==" spinCount="100000" sheet="1" objects="1" scenarios="1"/>
  <mergeCells count="11">
    <mergeCell ref="D2:E2"/>
    <mergeCell ref="B40:C41"/>
    <mergeCell ref="B134:R134"/>
    <mergeCell ref="B58:C59"/>
    <mergeCell ref="B137:C138"/>
    <mergeCell ref="B215:C216"/>
    <mergeCell ref="B231:C232"/>
    <mergeCell ref="B243:C244"/>
    <mergeCell ref="B2:C2"/>
    <mergeCell ref="B3:C3"/>
    <mergeCell ref="B16:C17"/>
  </mergeCells>
  <conditionalFormatting sqref="H6:CA19 H27:CA27 V20:CA26 H35:CA43 V28:CA34 H54:CA62 V44:CA53 H90:CA141 V63:CA89 H208:CA246 V142:CA207 H250:CA10003 V247:CA249">
    <cfRule type="expression" dxfId="110" priority="80">
      <formula>AND($D6&lt;&gt;"",H$16&lt;&gt;"",H6="")</formula>
    </cfRule>
  </conditionalFormatting>
  <conditionalFormatting sqref="B1:D1048576">
    <cfRule type="expression" dxfId="109" priority="79">
      <formula>AND(B1&lt;&gt;"",NOT(_xlfn.ISFORMULA(B1)))</formula>
    </cfRule>
  </conditionalFormatting>
  <conditionalFormatting sqref="H1:CA19 H27:CA27 V20:CA26 H35:CA43 V28:CA34 H54:CA62 V44:CA53 H90:CA141 V63:CA89 H208:CA246 V142:CA207 H250:CA1048576 V247:CA249">
    <cfRule type="expression" dxfId="108" priority="81">
      <formula>AND($A1="",ABS(H1)=0)</formula>
    </cfRule>
    <cfRule type="expression" dxfId="107" priority="82">
      <formula>AND($A1="",ABS(H1)&lt;10)</formula>
    </cfRule>
    <cfRule type="expression" dxfId="106" priority="83">
      <formula>AND($A1="",ABS(H1)&lt;100)</formula>
    </cfRule>
    <cfRule type="expression" dxfId="105" priority="84">
      <formula>AND($A1="",ABS(H1)&gt;=100)</formula>
    </cfRule>
  </conditionalFormatting>
  <conditionalFormatting sqref="H20:U26">
    <cfRule type="expression" dxfId="104" priority="8">
      <formula>AND($A1048571="",ABS(XEY1048571)&lt;100)</formula>
    </cfRule>
  </conditionalFormatting>
  <conditionalFormatting sqref="H29:U34">
    <cfRule type="expression" dxfId="103" priority="7">
      <formula>AND($A1048566="",ABS(XEL1048566)&lt;100)</formula>
    </cfRule>
  </conditionalFormatting>
  <conditionalFormatting sqref="H44:U53">
    <cfRule type="expression" dxfId="102" priority="6">
      <formula>AND($A1048568="",ABS(XEY1048568)=0)</formula>
    </cfRule>
  </conditionalFormatting>
  <conditionalFormatting sqref="H63:U89">
    <cfRule type="expression" dxfId="101" priority="4">
      <formula>AND($A1048551="",ABS(XEY1048551)&gt;=100)</formula>
    </cfRule>
    <cfRule type="expression" dxfId="100" priority="5">
      <formula>AND($A1048551="",ABS(XEY1048551)=0)</formula>
    </cfRule>
  </conditionalFormatting>
  <conditionalFormatting sqref="H142:U207">
    <cfRule type="expression" dxfId="99" priority="2">
      <formula>AND($A1="",ABS(H1)&gt;=100)</formula>
    </cfRule>
    <cfRule type="expression" dxfId="98" priority="3">
      <formula>AND($A1="",ABS(H1)=0)</formula>
    </cfRule>
  </conditionalFormatting>
  <conditionalFormatting sqref="H247:U249">
    <cfRule type="expression" dxfId="97" priority="1">
      <formula>AND($A1048575="",ABS(XEY1048575)&lt;100)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3_2" display="GRI_203_2"/>
    <hyperlink ref="A16" location="GRI_203" display="Ó"/>
    <hyperlink ref="D2" location="Home" display="Home"/>
    <hyperlink ref="C8" location="GRI_203_2b" display="Poststellen"/>
    <hyperlink ref="C9" location="GRI_203_2c" display="Arbeitsplätze in den Regionen"/>
    <hyperlink ref="C10" location="GRI_203_2d" display="GRI_203_2d"/>
    <hyperlink ref="C11" location="GRI_203_2e" display="GRI_203_2e"/>
    <hyperlink ref="C12" location="GRI_203_2f" display="GRI_203_2f"/>
    <hyperlink ref="C13" location="GRI_203_2g" display="GRI_203_2g"/>
    <hyperlink ref="A40" location="GRI_203" display="Ó"/>
    <hyperlink ref="A58" location="GRI_203" display="Ó"/>
    <hyperlink ref="A137" location="GRI_203" display="Ó"/>
    <hyperlink ref="A215" location="GRI_203" display="Ó"/>
    <hyperlink ref="A231" location="GRI_203" display="Ó"/>
    <hyperlink ref="A243" location="GRI_203" display="Ó"/>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6D68"/>
  </sheetPr>
  <dimension ref="A2:CA125"/>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7" customWidth="1"/>
    <col min="2" max="2" width="2.453125" style="101" customWidth="1"/>
    <col min="3" max="3" width="73.1796875" style="101" customWidth="1"/>
    <col min="4" max="4" width="23.54296875" style="101" customWidth="1"/>
    <col min="5" max="5" width="9.453125" style="100" customWidth="1"/>
    <col min="6" max="6" width="14.1796875" style="100" customWidth="1"/>
    <col min="7" max="7" width="2.453125" style="47" customWidth="1"/>
    <col min="8" max="13" width="11.7265625" style="107" customWidth="1"/>
    <col min="14" max="15" width="11.7265625" style="20" customWidth="1"/>
    <col min="16" max="79" width="11.7265625" style="37" customWidth="1"/>
    <col min="80" max="16384" width="10.81640625" style="101"/>
  </cols>
  <sheetData>
    <row r="2" spans="1:79" s="155" customFormat="1" ht="26.15" customHeight="1" x14ac:dyDescent="0.3">
      <c r="A2" s="93"/>
      <c r="B2" s="395" t="str">
        <f>UPPER(RIGHT('Table des matières'!$C$21,LEN('Table des matières'!$C$21)-FIND(" – ",'Table des matières'!$C$21,1)-2))</f>
        <v>ENERGIE</v>
      </c>
      <c r="C2" s="395"/>
      <c r="D2" s="386" t="str">
        <f>VLOOKUP(35,Textbausteine_Menu[],Hilfsgrössen!$D$2,FALSE)</f>
        <v>retour à la table des matières</v>
      </c>
      <c r="E2" s="387"/>
      <c r="F2" s="145" t="s">
        <v>88</v>
      </c>
      <c r="G2" s="171"/>
      <c r="H2" s="136"/>
      <c r="I2" s="136"/>
      <c r="J2" s="136"/>
      <c r="K2" s="136"/>
      <c r="L2" s="136"/>
      <c r="M2" s="136"/>
      <c r="N2" s="116"/>
      <c r="O2" s="116"/>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6" customFormat="1" ht="26.15" customHeight="1" x14ac:dyDescent="0.3">
      <c r="A3" s="93"/>
      <c r="B3" s="396" t="str">
        <f>UPPER("GRI "&amp;LEFT('Table des matières'!$C$21,3))</f>
        <v>GRI 302</v>
      </c>
      <c r="C3" s="396"/>
      <c r="E3" s="198"/>
      <c r="F3" s="198"/>
      <c r="G3" s="45"/>
      <c r="H3" s="136"/>
      <c r="I3" s="136"/>
      <c r="J3" s="136"/>
      <c r="K3" s="136"/>
      <c r="L3" s="136"/>
      <c r="M3" s="136"/>
      <c r="N3" s="116"/>
      <c r="O3" s="116"/>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95" customFormat="1" ht="13" customHeight="1" x14ac:dyDescent="0.3">
      <c r="A6" s="97"/>
      <c r="B6" s="95" t="str">
        <f>VLOOKUP(31,Textbausteine_Menu[],Hilfsgrössen!$D$2,FALSE)</f>
        <v>Divulgations</v>
      </c>
      <c r="E6" s="96"/>
      <c r="F6" s="96"/>
      <c r="G6" s="46"/>
      <c r="H6" s="107"/>
      <c r="I6" s="107"/>
      <c r="J6" s="107"/>
      <c r="K6" s="107"/>
      <c r="L6" s="107"/>
      <c r="M6" s="107"/>
      <c r="N6" s="20"/>
      <c r="O6" s="20"/>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98"/>
      <c r="C7" s="201" t="str">
        <f>VLOOKUP(1,Textbausteine_302[],Hilfsgrössen!$D$2,FALSE)</f>
        <v>Consommation énergétique au sein et en dehors de l'organisation</v>
      </c>
      <c r="D7" s="99"/>
    </row>
    <row r="8" spans="1:79" ht="13" customHeight="1" x14ac:dyDescent="0.3">
      <c r="B8" s="98"/>
      <c r="C8" s="201" t="str">
        <f>VLOOKUP(2,Textbausteine_302[],Hilfsgrössen!$D$2,FALSE)</f>
        <v>Autres indicateurs énergétiques</v>
      </c>
      <c r="D8" s="99"/>
    </row>
    <row r="9" spans="1:79" ht="13" customHeight="1" x14ac:dyDescent="0.3">
      <c r="B9" s="98"/>
    </row>
    <row r="10" spans="1:79" ht="13" customHeight="1" x14ac:dyDescent="0.3">
      <c r="B10" s="98"/>
      <c r="E10" s="96"/>
      <c r="F10" s="96"/>
      <c r="H10" s="20"/>
      <c r="I10" s="20"/>
      <c r="J10" s="20"/>
      <c r="K10" s="20"/>
      <c r="L10" s="20"/>
      <c r="M10" s="20"/>
      <c r="P10" s="7"/>
      <c r="Q10" s="7"/>
      <c r="R10" s="7"/>
      <c r="S10" s="7"/>
      <c r="T10" s="7"/>
      <c r="U10" s="7"/>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row>
    <row r="11" spans="1:79" s="130" customFormat="1" ht="13" customHeight="1" x14ac:dyDescent="0.3">
      <c r="A11" s="202" t="s">
        <v>900</v>
      </c>
      <c r="B11" s="394" t="str">
        <f>$C$7</f>
        <v>Consommation énergétique au sein et en dehors de l'organisation</v>
      </c>
      <c r="C11" s="394"/>
      <c r="D11" s="126" t="str">
        <f>VLOOKUP(32,Textbausteine_Menu[],Hilfsgrössen!$D$2,FALSE)</f>
        <v>Unité</v>
      </c>
      <c r="E11" s="127" t="str">
        <f>VLOOKUP(33,Textbausteine_Menu[],Hilfsgrössen!$D$2,FALSE)</f>
        <v>Notes</v>
      </c>
      <c r="F11" s="127" t="str">
        <f>VLOOKUP(34,Textbausteine_Menu[],Hilfsgrössen!$D$2,FALSE)</f>
        <v>GRI</v>
      </c>
      <c r="G11" s="47"/>
      <c r="H11" s="127">
        <v>2010</v>
      </c>
      <c r="I11" s="127">
        <v>2011</v>
      </c>
      <c r="J11" s="127">
        <v>2012</v>
      </c>
      <c r="K11" s="127">
        <v>2013</v>
      </c>
      <c r="L11" s="127">
        <v>2014</v>
      </c>
      <c r="M11" s="127">
        <v>2015</v>
      </c>
      <c r="N11" s="120">
        <v>2016</v>
      </c>
      <c r="O11" s="132">
        <v>2017</v>
      </c>
      <c r="P11" s="131"/>
      <c r="Q11" s="118"/>
      <c r="R11" s="118"/>
      <c r="S11" s="118"/>
      <c r="T11" s="118"/>
      <c r="U11" s="118"/>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row>
    <row r="12" spans="1:79" s="95" customFormat="1" ht="13" customHeight="1" x14ac:dyDescent="0.3">
      <c r="A12" s="97"/>
      <c r="B12" s="394"/>
      <c r="C12" s="394"/>
      <c r="D12" s="102"/>
      <c r="E12" s="103"/>
      <c r="F12" s="103"/>
      <c r="G12" s="48"/>
      <c r="H12" s="107"/>
      <c r="I12" s="107"/>
      <c r="J12" s="107"/>
      <c r="K12" s="107"/>
      <c r="L12" s="107"/>
      <c r="M12" s="107"/>
      <c r="N12" s="20"/>
      <c r="O12" s="133"/>
      <c r="P12" s="12"/>
      <c r="Q12" s="7"/>
      <c r="R12" s="7"/>
      <c r="S12" s="7"/>
      <c r="T12" s="7"/>
      <c r="U12" s="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row>
    <row r="13" spans="1:79" ht="13" customHeight="1" x14ac:dyDescent="0.3">
      <c r="B13" s="104"/>
      <c r="C13" s="105"/>
      <c r="D13" s="105"/>
      <c r="E13" s="106"/>
      <c r="F13" s="107"/>
      <c r="G13" s="48"/>
      <c r="O13" s="133"/>
      <c r="P13" s="11"/>
      <c r="Q13" s="11"/>
      <c r="R13" s="11"/>
      <c r="S13" s="11"/>
      <c r="T13" s="11"/>
      <c r="U13" s="11"/>
    </row>
    <row r="14" spans="1:79" ht="13" customHeight="1" x14ac:dyDescent="0.3">
      <c r="B14" s="104" t="str">
        <f>VLOOKUP(36,Textbausteine_Menu[],Hilfsgrössen!$D$2,FALSE)</f>
        <v>Groupe</v>
      </c>
      <c r="C14" s="104"/>
      <c r="D14" s="104"/>
      <c r="E14" s="107"/>
      <c r="F14" s="107"/>
      <c r="G14" s="49"/>
      <c r="H14" s="20"/>
      <c r="I14" s="20"/>
      <c r="L14" s="137"/>
      <c r="M14" s="137"/>
      <c r="O14" s="133"/>
      <c r="P14" s="14"/>
      <c r="Q14" s="74"/>
      <c r="R14" s="74"/>
      <c r="S14" s="74"/>
      <c r="T14" s="74"/>
      <c r="U14" s="17"/>
    </row>
    <row r="15" spans="1:79" ht="13" customHeight="1" x14ac:dyDescent="0.3">
      <c r="C15" s="203" t="str">
        <f>VLOOKUP(31,Textbausteine_302[],Hilfsgrössen!$D$2,FALSE)</f>
        <v>Carburants</v>
      </c>
      <c r="D15" s="182"/>
      <c r="E15" s="107"/>
      <c r="F15" s="107"/>
      <c r="G15" s="49"/>
      <c r="H15" s="20"/>
      <c r="I15" s="20"/>
      <c r="L15" s="137"/>
      <c r="M15" s="137"/>
      <c r="O15" s="133"/>
      <c r="P15" s="14"/>
      <c r="Q15" s="74"/>
      <c r="R15" s="74"/>
      <c r="S15" s="74"/>
      <c r="T15" s="74"/>
      <c r="U15" s="17"/>
    </row>
    <row r="16" spans="1:79" ht="13" customHeight="1" x14ac:dyDescent="0.3">
      <c r="C16" s="204" t="str">
        <f>VLOOKUP(31,Textbausteine_302[],Hilfsgrössen!$D$2,FALSE)</f>
        <v>Carburants</v>
      </c>
      <c r="D16" s="182" t="str">
        <f>VLOOKUP(11,Textbausteine_302[],Hilfsgrössen!$D$2,FALSE)</f>
        <v>GWh</v>
      </c>
      <c r="E16" s="107">
        <v>1</v>
      </c>
      <c r="F16" s="107"/>
      <c r="G16" s="49"/>
      <c r="H16" s="20">
        <f>SUM(H17,H28)</f>
        <v>1141.5601300707381</v>
      </c>
      <c r="I16" s="20">
        <f>SUM(I17,I28)</f>
        <v>1149.493855542866</v>
      </c>
      <c r="J16" s="107">
        <f>SUM(J17,J28)</f>
        <v>1197.244812174489</v>
      </c>
      <c r="K16" s="107">
        <f t="shared" ref="K16" si="0">SUM(K17,K28)</f>
        <v>1138.6504437543717</v>
      </c>
      <c r="L16" s="137">
        <f>SUM(L17,L28)</f>
        <v>1134.2495197794015</v>
      </c>
      <c r="M16" s="137">
        <f>SUM(M17,M28)</f>
        <v>1143.9663664568016</v>
      </c>
      <c r="N16" s="119">
        <f>SUM(N17,N28)</f>
        <v>1180.5568753905591</v>
      </c>
      <c r="O16" s="134">
        <f>SUM(O17,O28)</f>
        <v>1147.378730758021</v>
      </c>
      <c r="P16" s="14"/>
      <c r="Q16" s="14"/>
      <c r="R16" s="14"/>
      <c r="S16" s="14"/>
      <c r="T16" s="14"/>
      <c r="U16" s="11"/>
    </row>
    <row r="17" spans="3:21" ht="13" customHeight="1" x14ac:dyDescent="0.3">
      <c r="C17" s="205" t="str">
        <f>VLOOKUP(32,Textbausteine_302[],Hilfsgrössen!$D$2,FALSE)</f>
        <v>Carburants (au sein de la Poste)</v>
      </c>
      <c r="D17" s="182" t="str">
        <f>VLOOKUP(11,Textbausteine_302[],Hilfsgrössen!$D$2,FALSE)</f>
        <v>GWh</v>
      </c>
      <c r="E17" s="107">
        <v>1</v>
      </c>
      <c r="F17" s="107" t="s">
        <v>254</v>
      </c>
      <c r="G17" s="49"/>
      <c r="H17" s="20">
        <f>SUM(H19,H21:H22,H24)</f>
        <v>609.31514508888813</v>
      </c>
      <c r="I17" s="20">
        <f>SUM(I19,I21:I22,I24)</f>
        <v>621.85307296666599</v>
      </c>
      <c r="J17" s="107">
        <f>SUM(J19,J21:J22,J24)</f>
        <v>636.07586048888902</v>
      </c>
      <c r="K17" s="107">
        <f>SUM(K19,K21:K22,K24,K26)</f>
        <v>653.72490732221183</v>
      </c>
      <c r="L17" s="137">
        <f>SUM(L19,L21:L22,L24,L26)</f>
        <v>649.59068726110149</v>
      </c>
      <c r="M17" s="137">
        <f>SUM(M19,M21:M22,M24,M26)</f>
        <v>651.67637380774147</v>
      </c>
      <c r="N17" s="119">
        <f>SUM(N19,N21:N22,N24,N26)</f>
        <v>669.96657913647914</v>
      </c>
      <c r="O17" s="134">
        <f>SUM(O19,O21:O22,O24)</f>
        <v>658.08255089914098</v>
      </c>
      <c r="P17" s="123"/>
      <c r="Q17" s="74"/>
      <c r="R17" s="74"/>
      <c r="S17" s="74"/>
      <c r="T17" s="74"/>
      <c r="U17" s="17"/>
    </row>
    <row r="18" spans="3:21" ht="13" customHeight="1" x14ac:dyDescent="0.3">
      <c r="C18" s="206" t="str">
        <f>VLOOKUP(33,Textbausteine_302[],Hilfsgrössen!$D$2,FALSE)</f>
        <v>Part de carburants renouvelables, total (au sein de la Poste)</v>
      </c>
      <c r="D18" s="182" t="str">
        <f>VLOOKUP(12,Textbausteine_302[],Hilfsgrössen!$D$2,FALSE)</f>
        <v>%</v>
      </c>
      <c r="E18" s="107"/>
      <c r="F18" s="107" t="s">
        <v>254</v>
      </c>
      <c r="G18" s="49"/>
      <c r="H18" s="20">
        <v>0.35478541872998998</v>
      </c>
      <c r="I18" s="20">
        <v>1.1567168482984</v>
      </c>
      <c r="J18" s="138">
        <v>1.1485380847405</v>
      </c>
      <c r="K18" s="107">
        <v>1.1168743896872999</v>
      </c>
      <c r="L18" s="137">
        <v>1.0955225747880999</v>
      </c>
      <c r="M18" s="137">
        <v>1.5431254318726999</v>
      </c>
      <c r="N18" s="20">
        <v>1.252446342611</v>
      </c>
      <c r="O18" s="133">
        <v>1.2342065211546001</v>
      </c>
      <c r="P18" s="14"/>
      <c r="Q18" s="74"/>
      <c r="R18" s="74"/>
      <c r="S18" s="74"/>
      <c r="T18" s="74"/>
      <c r="U18" s="11"/>
    </row>
    <row r="19" spans="3:21" ht="13" customHeight="1" x14ac:dyDescent="0.3">
      <c r="C19" s="207" t="str">
        <f>VLOOKUP(34,Textbausteine_302[],Hilfsgrössen!$D$2,FALSE)</f>
        <v>Diesel (au sein de la Poste)</v>
      </c>
      <c r="D19" s="182" t="str">
        <f>VLOOKUP(11,Textbausteine_302[],Hilfsgrössen!$D$2,FALSE)</f>
        <v>GWh</v>
      </c>
      <c r="E19" s="107">
        <v>1</v>
      </c>
      <c r="F19" s="107" t="s">
        <v>254</v>
      </c>
      <c r="G19" s="49"/>
      <c r="H19" s="20">
        <v>544.40902000000006</v>
      </c>
      <c r="I19" s="20">
        <v>560.00621000000001</v>
      </c>
      <c r="J19" s="107">
        <v>582.90075000000002</v>
      </c>
      <c r="K19" s="107">
        <v>608.74079799999004</v>
      </c>
      <c r="L19" s="137">
        <v>607.69878899999003</v>
      </c>
      <c r="M19" s="137">
        <v>613.16696364972995</v>
      </c>
      <c r="N19" s="107">
        <v>637.89312152758998</v>
      </c>
      <c r="O19" s="139">
        <v>630.95065035518996</v>
      </c>
      <c r="P19" s="14"/>
      <c r="Q19" s="74"/>
      <c r="R19" s="74"/>
      <c r="S19" s="74"/>
      <c r="T19" s="74"/>
      <c r="U19" s="17"/>
    </row>
    <row r="20" spans="3:21" ht="13" customHeight="1" x14ac:dyDescent="0.3">
      <c r="C20" s="206" t="str">
        <f>VLOOKUP(35,Textbausteine_302[],Hilfsgrössen!$D$2,FALSE)</f>
        <v>Part de biodiesel renouvelable (au sein de la Poste)</v>
      </c>
      <c r="D20" s="182" t="str">
        <f>VLOOKUP(12,Textbausteine_302[],Hilfsgrössen!$D$2,FALSE)</f>
        <v>%</v>
      </c>
      <c r="E20" s="107">
        <v>1</v>
      </c>
      <c r="F20" s="107" t="s">
        <v>254</v>
      </c>
      <c r="G20" s="49"/>
      <c r="H20" s="107" t="s">
        <v>1595</v>
      </c>
      <c r="I20" s="107" t="s">
        <v>1595</v>
      </c>
      <c r="J20" s="107" t="s">
        <v>1595</v>
      </c>
      <c r="K20" s="107" t="s">
        <v>1595</v>
      </c>
      <c r="L20" s="107" t="s">
        <v>1595</v>
      </c>
      <c r="M20" s="137">
        <v>0.54443258490796997</v>
      </c>
      <c r="N20" s="107">
        <v>0.48426318195439999</v>
      </c>
      <c r="O20" s="139">
        <v>0.72887832434894995</v>
      </c>
      <c r="P20" s="13"/>
      <c r="Q20" s="72"/>
      <c r="R20" s="72"/>
      <c r="S20" s="72"/>
      <c r="T20" s="72"/>
      <c r="U20" s="17"/>
    </row>
    <row r="21" spans="3:21" ht="13" customHeight="1" x14ac:dyDescent="0.3">
      <c r="C21" s="207" t="str">
        <f>VLOOKUP(36,Textbausteine_302[],Hilfsgrössen!$D$2,FALSE)</f>
        <v>Essence (au sein de la Poste)</v>
      </c>
      <c r="D21" s="182" t="str">
        <f>VLOOKUP(11,Textbausteine_302[],Hilfsgrössen!$D$2,FALSE)</f>
        <v>GWh</v>
      </c>
      <c r="E21" s="107">
        <v>1</v>
      </c>
      <c r="F21" s="107" t="s">
        <v>254</v>
      </c>
      <c r="G21" s="49"/>
      <c r="H21" s="107">
        <v>47.134163999999998</v>
      </c>
      <c r="I21" s="107">
        <v>42.558746999999997</v>
      </c>
      <c r="J21" s="107">
        <v>41.277111333333998</v>
      </c>
      <c r="K21" s="107">
        <v>33.425691933332999</v>
      </c>
      <c r="L21" s="107">
        <v>30.902586244445001</v>
      </c>
      <c r="M21" s="107">
        <v>28.164445756945</v>
      </c>
      <c r="N21" s="107">
        <v>25.191793305556001</v>
      </c>
      <c r="O21" s="139">
        <v>22.953475213950998</v>
      </c>
    </row>
    <row r="22" spans="3:21" ht="13" customHeight="1" x14ac:dyDescent="0.3">
      <c r="C22" s="207" t="str">
        <f>VLOOKUP(37,Textbausteine_302[],Hilfsgrössen!$D$2,FALSE)</f>
        <v>Gaz naturel (au sein de la Poste)</v>
      </c>
      <c r="D22" s="182" t="str">
        <f>VLOOKUP(11,Textbausteine_302[],Hilfsgrössen!$D$2,FALSE)</f>
        <v>GWh</v>
      </c>
      <c r="E22" s="107" t="s">
        <v>79</v>
      </c>
      <c r="F22" s="107" t="s">
        <v>254</v>
      </c>
      <c r="G22" s="49"/>
      <c r="H22" s="107">
        <v>17.359948088888</v>
      </c>
      <c r="I22" s="107">
        <v>18.315607966666001</v>
      </c>
      <c r="J22" s="107">
        <v>10.627592155555</v>
      </c>
      <c r="K22" s="107">
        <v>8.6863183888887008</v>
      </c>
      <c r="L22" s="107">
        <v>7.7856172666664998</v>
      </c>
      <c r="M22" s="107">
        <v>7.3162420243998003</v>
      </c>
      <c r="N22" s="107">
        <v>3.4726373333331999</v>
      </c>
      <c r="O22" s="139">
        <v>1.4541024</v>
      </c>
    </row>
    <row r="23" spans="3:21" ht="13" customHeight="1" x14ac:dyDescent="0.3">
      <c r="C23" s="206" t="str">
        <f>VLOOKUP(38,Textbausteine_302[],Hilfsgrössen!$D$2,FALSE)</f>
        <v>Part de biogaz renouvelable (au sein de la Poste)</v>
      </c>
      <c r="D23" s="182" t="str">
        <f>VLOOKUP(12,Textbausteine_302[],Hilfsgrössen!$D$2,FALSE)</f>
        <v>%</v>
      </c>
      <c r="E23" s="107" t="s">
        <v>79</v>
      </c>
      <c r="F23" s="107" t="s">
        <v>254</v>
      </c>
      <c r="G23" s="49"/>
      <c r="H23" s="107">
        <v>10.079225352112999</v>
      </c>
      <c r="I23" s="107">
        <v>33.963225670629001</v>
      </c>
      <c r="J23" s="107">
        <v>56.787712750162001</v>
      </c>
      <c r="K23" s="107">
        <v>52.064144858813997</v>
      </c>
      <c r="L23" s="107">
        <v>51.146533797846999</v>
      </c>
      <c r="M23" s="107">
        <v>51.490128563768998</v>
      </c>
      <c r="N23" s="107">
        <v>55.482631740411001</v>
      </c>
      <c r="O23" s="139">
        <v>54.941955944781</v>
      </c>
    </row>
    <row r="24" spans="3:21" ht="13" customHeight="1" x14ac:dyDescent="0.3">
      <c r="C24" s="208" t="str">
        <f>VLOOKUP(39,Textbausteine_302[],Hilfsgrössen!$D$2,FALSE)</f>
        <v>Electricité comme carburant (au sein de la Poste)</v>
      </c>
      <c r="D24" s="182" t="str">
        <f>VLOOKUP(11,Textbausteine_302[],Hilfsgrössen!$D$2,FALSE)</f>
        <v>GWh</v>
      </c>
      <c r="E24" s="107" t="s">
        <v>79</v>
      </c>
      <c r="F24" s="107" t="s">
        <v>254</v>
      </c>
      <c r="G24" s="49"/>
      <c r="H24" s="107">
        <v>0.41201300000000002</v>
      </c>
      <c r="I24" s="107">
        <v>0.97250800000000004</v>
      </c>
      <c r="J24" s="107">
        <v>1.2704070000000001</v>
      </c>
      <c r="K24" s="107">
        <v>1.812209</v>
      </c>
      <c r="L24" s="107">
        <v>2.240424</v>
      </c>
      <c r="M24" s="107">
        <v>2.3199797100000001</v>
      </c>
      <c r="N24" s="107">
        <v>2.7038777199999999</v>
      </c>
      <c r="O24" s="139">
        <v>2.72432293</v>
      </c>
    </row>
    <row r="25" spans="3:21" ht="13" customHeight="1" x14ac:dyDescent="0.3">
      <c r="C25" s="209" t="str">
        <f>VLOOKUP(40,Textbausteine_302[],Hilfsgrössen!$D$2,FALSE)</f>
        <v>Part d'électricité renouvelable comme carburant (au sein de la Poste)</v>
      </c>
      <c r="D25" s="182" t="str">
        <f>VLOOKUP(12,Textbausteine_302[],Hilfsgrössen!$D$2,FALSE)</f>
        <v>%</v>
      </c>
      <c r="E25" s="107" t="s">
        <v>79</v>
      </c>
      <c r="F25" s="107" t="s">
        <v>254</v>
      </c>
      <c r="G25" s="49"/>
      <c r="H25" s="107">
        <v>100</v>
      </c>
      <c r="I25" s="107">
        <v>100</v>
      </c>
      <c r="J25" s="107">
        <v>100</v>
      </c>
      <c r="K25" s="107">
        <v>100</v>
      </c>
      <c r="L25" s="107">
        <v>100</v>
      </c>
      <c r="M25" s="107">
        <v>100</v>
      </c>
      <c r="N25" s="107">
        <v>100</v>
      </c>
      <c r="O25" s="139">
        <v>100</v>
      </c>
    </row>
    <row r="26" spans="3:21" ht="13" customHeight="1" x14ac:dyDescent="0.3">
      <c r="C26" s="208" t="str">
        <f>VLOOKUP(41,Textbausteine_302[],Hilfsgrössen!$D$2,FALSE)</f>
        <v>Hydrogène (au sein de la Poste)</v>
      </c>
      <c r="D26" s="182" t="str">
        <f>VLOOKUP(11,Textbausteine_302[],Hilfsgrössen!$D$2,FALSE)</f>
        <v>GWh</v>
      </c>
      <c r="E26" s="107" t="s">
        <v>79</v>
      </c>
      <c r="F26" s="107" t="s">
        <v>254</v>
      </c>
      <c r="G26" s="49"/>
      <c r="H26" s="107" t="s">
        <v>1595</v>
      </c>
      <c r="I26" s="107" t="s">
        <v>1595</v>
      </c>
      <c r="J26" s="107" t="s">
        <v>1595</v>
      </c>
      <c r="K26" s="107">
        <v>1.05989</v>
      </c>
      <c r="L26" s="107">
        <v>0.96327074999999995</v>
      </c>
      <c r="M26" s="107">
        <v>0.70874266666666996</v>
      </c>
      <c r="N26" s="107">
        <v>0.70514924999999995</v>
      </c>
      <c r="O26" s="139" t="s">
        <v>1595</v>
      </c>
    </row>
    <row r="27" spans="3:21" ht="13" customHeight="1" x14ac:dyDescent="0.3">
      <c r="C27" s="209" t="str">
        <f>VLOOKUP(42,Textbausteine_302[],Hilfsgrössen!$D$2,FALSE)</f>
        <v>Part d'hydrogène renouvelable (au sein de la Poste)</v>
      </c>
      <c r="D27" s="182" t="str">
        <f>VLOOKUP(12,Textbausteine_302[],Hilfsgrössen!$D$2,FALSE)</f>
        <v>%</v>
      </c>
      <c r="E27" s="107" t="s">
        <v>79</v>
      </c>
      <c r="F27" s="107" t="s">
        <v>254</v>
      </c>
      <c r="G27" s="49"/>
      <c r="H27" s="107" t="s">
        <v>1595</v>
      </c>
      <c r="I27" s="107" t="s">
        <v>1595</v>
      </c>
      <c r="J27" s="107" t="s">
        <v>1595</v>
      </c>
      <c r="K27" s="107">
        <v>91.2</v>
      </c>
      <c r="L27" s="107">
        <v>92.8</v>
      </c>
      <c r="M27" s="107">
        <v>89</v>
      </c>
      <c r="N27" s="107">
        <v>95.2</v>
      </c>
      <c r="O27" s="139" t="s">
        <v>1595</v>
      </c>
    </row>
    <row r="28" spans="3:21" ht="13" customHeight="1" x14ac:dyDescent="0.3">
      <c r="C28" s="205" t="str">
        <f>VLOOKUP(43,Textbausteine_302[],Hilfsgrössen!$D$2,FALSE)</f>
        <v>Carburants (en dehors de la Poste)</v>
      </c>
      <c r="D28" s="210" t="str">
        <f>VLOOKUP(11,Textbausteine_302[],Hilfsgrössen!$D$2,FALSE)</f>
        <v>GWh</v>
      </c>
      <c r="E28" s="107">
        <v>1</v>
      </c>
      <c r="F28" s="107" t="s">
        <v>255</v>
      </c>
      <c r="G28" s="49"/>
      <c r="H28" s="107">
        <v>532.24498498185005</v>
      </c>
      <c r="I28" s="107">
        <v>527.64078257619997</v>
      </c>
      <c r="J28" s="107">
        <v>561.16895168559995</v>
      </c>
      <c r="K28" s="107">
        <v>484.92553643216002</v>
      </c>
      <c r="L28" s="107">
        <v>484.65883251830002</v>
      </c>
      <c r="M28" s="107">
        <v>492.28999264906003</v>
      </c>
      <c r="N28" s="107">
        <v>510.59029625407999</v>
      </c>
      <c r="O28" s="139">
        <v>489.29617985888001</v>
      </c>
    </row>
    <row r="29" spans="3:21" ht="13" customHeight="1" x14ac:dyDescent="0.3">
      <c r="C29" s="211"/>
      <c r="D29" s="182"/>
      <c r="E29" s="107"/>
      <c r="F29" s="107"/>
      <c r="G29" s="49"/>
      <c r="N29" s="107"/>
      <c r="O29" s="139"/>
    </row>
    <row r="30" spans="3:21" ht="13" customHeight="1" x14ac:dyDescent="0.3">
      <c r="C30" s="203" t="str">
        <f>VLOOKUP(44,Textbausteine_302[],Hilfsgrössen!$D$2,FALSE)</f>
        <v>Combustibles (chaleur)</v>
      </c>
      <c r="D30" s="182"/>
      <c r="E30" s="107"/>
      <c r="F30" s="20"/>
      <c r="G30" s="49"/>
      <c r="N30" s="107"/>
      <c r="O30" s="139"/>
    </row>
    <row r="31" spans="3:21" ht="13" customHeight="1" x14ac:dyDescent="0.3">
      <c r="C31" s="204" t="str">
        <f>VLOOKUP(44,Textbausteine_302[],Hilfsgrössen!$D$2,FALSE)</f>
        <v>Combustibles (chaleur)</v>
      </c>
      <c r="D31" s="182" t="str">
        <f>VLOOKUP(11,Textbausteine_302[],Hilfsgrössen!$D$2,FALSE)</f>
        <v>GWh</v>
      </c>
      <c r="E31" s="107">
        <v>1</v>
      </c>
      <c r="F31" s="107"/>
      <c r="G31" s="50"/>
      <c r="H31" s="107">
        <v>197.44983799999898</v>
      </c>
      <c r="I31" s="107">
        <v>166.77795333333202</v>
      </c>
      <c r="J31" s="107">
        <v>162.46546533333299</v>
      </c>
      <c r="K31" s="107">
        <v>144.567847495053</v>
      </c>
      <c r="L31" s="107">
        <v>133.73786956666601</v>
      </c>
      <c r="M31" s="107">
        <v>134.609974516666</v>
      </c>
      <c r="N31" s="107">
        <v>135.64601366666599</v>
      </c>
      <c r="O31" s="139">
        <v>134.533306227297</v>
      </c>
    </row>
    <row r="32" spans="3:21" ht="13" customHeight="1" x14ac:dyDescent="0.3">
      <c r="C32" s="205" t="str">
        <f>VLOOKUP(45,Textbausteine_302[],Hilfsgrössen!$D$2,FALSE)</f>
        <v>Combustibles (au sein de la Poste)</v>
      </c>
      <c r="D32" s="182" t="str">
        <f>VLOOKUP(11,Textbausteine_302[],Hilfsgrössen!$D$2,FALSE)</f>
        <v>GWh</v>
      </c>
      <c r="E32" s="107">
        <v>1</v>
      </c>
      <c r="F32" s="107" t="s">
        <v>254</v>
      </c>
      <c r="G32" s="49"/>
      <c r="H32" s="107">
        <v>100.882782833333</v>
      </c>
      <c r="I32" s="107">
        <v>85.45137166666602</v>
      </c>
      <c r="J32" s="107">
        <v>95.44584233333299</v>
      </c>
      <c r="K32" s="107">
        <v>78.260579333332998</v>
      </c>
      <c r="L32" s="107">
        <v>78.104861999999997</v>
      </c>
      <c r="M32" s="107">
        <v>79.642092000000005</v>
      </c>
      <c r="N32" s="107">
        <v>79.983076833333001</v>
      </c>
      <c r="O32" s="139">
        <v>76.252287333333001</v>
      </c>
    </row>
    <row r="33" spans="3:15" ht="13" customHeight="1" x14ac:dyDescent="0.3">
      <c r="C33" s="206" t="str">
        <f>VLOOKUP(46,Textbausteine_302[],Hilfsgrössen!$D$2,FALSE)</f>
        <v>Part de combustibles renouvelables, total (au sein de la Poste)</v>
      </c>
      <c r="D33" s="182" t="str">
        <f>VLOOKUP(12,Textbausteine_302[],Hilfsgrössen!$D$2,FALSE)</f>
        <v>%</v>
      </c>
      <c r="E33" s="107"/>
      <c r="F33" s="107" t="s">
        <v>254</v>
      </c>
      <c r="G33" s="49"/>
      <c r="H33" s="107">
        <v>9.8889626330711007</v>
      </c>
      <c r="I33" s="107">
        <v>8.4005998089798002</v>
      </c>
      <c r="J33" s="107">
        <v>8.7451638922550998</v>
      </c>
      <c r="K33" s="107">
        <v>9.4947815098100001</v>
      </c>
      <c r="L33" s="107">
        <v>13.149458430124</v>
      </c>
      <c r="M33" s="107">
        <v>14.406724736997999</v>
      </c>
      <c r="N33" s="107">
        <v>14.396322900954001</v>
      </c>
      <c r="O33" s="139">
        <v>18.165597460392</v>
      </c>
    </row>
    <row r="34" spans="3:15" ht="13" customHeight="1" x14ac:dyDescent="0.3">
      <c r="C34" s="207" t="str">
        <f>VLOOKUP(47,Textbausteine_302[],Hilfsgrössen!$D$2,FALSE)</f>
        <v>Mazout extra-léger (au sein de la Poste)</v>
      </c>
      <c r="D34" s="182" t="str">
        <f>VLOOKUP(11,Textbausteine_302[],Hilfsgrössen!$D$2,FALSE)</f>
        <v>GWh</v>
      </c>
      <c r="E34" s="107">
        <v>1</v>
      </c>
      <c r="F34" s="20" t="s">
        <v>254</v>
      </c>
      <c r="G34" s="49"/>
      <c r="H34" s="107">
        <v>60.484234833332998</v>
      </c>
      <c r="I34" s="107">
        <v>50.574408666666002</v>
      </c>
      <c r="J34" s="107">
        <v>51.829524333332998</v>
      </c>
      <c r="K34" s="107">
        <v>43.358942333332998</v>
      </c>
      <c r="L34" s="107">
        <v>33.214683000000001</v>
      </c>
      <c r="M34" s="107">
        <v>30.504086999999998</v>
      </c>
      <c r="N34" s="107">
        <v>28.167044833333001</v>
      </c>
      <c r="O34" s="139">
        <v>27.763987333332999</v>
      </c>
    </row>
    <row r="35" spans="3:15" ht="13" customHeight="1" x14ac:dyDescent="0.3">
      <c r="C35" s="207" t="str">
        <f>VLOOKUP(48,Textbausteine_302[],Hilfsgrössen!$D$2,FALSE)</f>
        <v>Gaz naturel (au sein de la Poste)</v>
      </c>
      <c r="D35" s="182" t="str">
        <f>VLOOKUP(11,Textbausteine_302[],Hilfsgrössen!$D$2,FALSE)</f>
        <v>GWh</v>
      </c>
      <c r="E35" s="20">
        <v>1</v>
      </c>
      <c r="F35" s="20" t="s">
        <v>254</v>
      </c>
      <c r="G35" s="50"/>
      <c r="H35" s="107">
        <v>19.330335999999999</v>
      </c>
      <c r="I35" s="107">
        <v>19.300885000000001</v>
      </c>
      <c r="J35" s="107">
        <v>25.737584999999999</v>
      </c>
      <c r="K35" s="107">
        <v>18.861450000000001</v>
      </c>
      <c r="L35" s="107">
        <v>20.544436999999999</v>
      </c>
      <c r="M35" s="107">
        <v>19.133552999999999</v>
      </c>
      <c r="N35" s="107">
        <v>18.24288</v>
      </c>
      <c r="O35" s="139">
        <v>16.296202999999998</v>
      </c>
    </row>
    <row r="36" spans="3:15" ht="13" customHeight="1" x14ac:dyDescent="0.3">
      <c r="C36" s="206" t="str">
        <f>VLOOKUP(49,Textbausteine_302[],Hilfsgrössen!$D$2,FALSE)</f>
        <v>Part de biogaz renouvelable (au sein de la Poste)</v>
      </c>
      <c r="D36" s="182" t="str">
        <f>VLOOKUP(12,Textbausteine_302[],Hilfsgrössen!$D$2,FALSE)</f>
        <v>%</v>
      </c>
      <c r="E36" s="20" t="s">
        <v>79</v>
      </c>
      <c r="F36" s="107" t="s">
        <v>254</v>
      </c>
      <c r="G36" s="50"/>
      <c r="H36" s="107">
        <v>0</v>
      </c>
      <c r="I36" s="107">
        <v>0</v>
      </c>
      <c r="J36" s="107">
        <v>0</v>
      </c>
      <c r="K36" s="107">
        <v>0</v>
      </c>
      <c r="L36" s="107">
        <v>6.0080541511067</v>
      </c>
      <c r="M36" s="107">
        <v>6.5253128888293999</v>
      </c>
      <c r="N36" s="107">
        <v>6.4321845015698997</v>
      </c>
      <c r="O36" s="139">
        <v>13.380348784315</v>
      </c>
    </row>
    <row r="37" spans="3:15" ht="13" customHeight="1" x14ac:dyDescent="0.3">
      <c r="C37" s="207" t="str">
        <f>VLOOKUP(50,Textbausteine_302[],Hilfsgrössen!$D$2,FALSE)</f>
        <v>Chaleur à distance (au sein de la Poste)</v>
      </c>
      <c r="D37" s="182" t="str">
        <f>VLOOKUP(11,Textbausteine_302[],Hilfsgrössen!$D$2,FALSE)</f>
        <v>GWh</v>
      </c>
      <c r="E37" s="20">
        <v>1</v>
      </c>
      <c r="F37" s="107" t="s">
        <v>254</v>
      </c>
      <c r="G37" s="49"/>
      <c r="H37" s="107">
        <v>19.435192000000001</v>
      </c>
      <c r="I37" s="107">
        <v>13.943058000000001</v>
      </c>
      <c r="J37" s="107">
        <v>16.245712999999999</v>
      </c>
      <c r="K37" s="107">
        <v>14.407166999999999</v>
      </c>
      <c r="L37" s="107">
        <v>15.621492999999999</v>
      </c>
      <c r="M37" s="107">
        <v>16.353833000000002</v>
      </c>
      <c r="N37" s="107">
        <v>15.255806</v>
      </c>
      <c r="O37" s="139">
        <v>13.918751</v>
      </c>
    </row>
    <row r="38" spans="3:15" ht="13" customHeight="1" x14ac:dyDescent="0.3">
      <c r="C38" s="206" t="str">
        <f>VLOOKUP(51,Textbausteine_302[],Hilfsgrössen!$D$2,FALSE)</f>
        <v>Part de chaleur à distance renouvelable (au sein de la Poste)</v>
      </c>
      <c r="D38" s="182" t="str">
        <f>VLOOKUP(12,Textbausteine_302[],Hilfsgrössen!$D$2,FALSE)</f>
        <v>%</v>
      </c>
      <c r="E38" s="107"/>
      <c r="F38" s="20" t="s">
        <v>254</v>
      </c>
      <c r="G38" s="49"/>
      <c r="H38" s="107">
        <v>50.5</v>
      </c>
      <c r="I38" s="107">
        <v>50.5</v>
      </c>
      <c r="J38" s="107">
        <v>50.5</v>
      </c>
      <c r="K38" s="107">
        <v>50.5</v>
      </c>
      <c r="L38" s="107">
        <v>50.5</v>
      </c>
      <c r="M38" s="107">
        <v>50.5</v>
      </c>
      <c r="N38" s="107">
        <v>50.5</v>
      </c>
      <c r="O38" s="139">
        <v>60.3</v>
      </c>
    </row>
    <row r="39" spans="3:15" ht="13" customHeight="1" x14ac:dyDescent="0.3">
      <c r="C39" s="207" t="str">
        <f>VLOOKUP(52,Textbausteine_302[],Hilfsgrössen!$D$2,FALSE)</f>
        <v>Electricité de chauffage (au sein de la Poste)</v>
      </c>
      <c r="D39" s="182" t="str">
        <f>VLOOKUP(11,Textbausteine_302[],Hilfsgrössen!$D$2,FALSE)</f>
        <v>GWh</v>
      </c>
      <c r="E39" s="20" t="s">
        <v>1715</v>
      </c>
      <c r="F39" s="20" t="s">
        <v>254</v>
      </c>
      <c r="G39" s="50"/>
      <c r="H39" s="107">
        <v>0</v>
      </c>
      <c r="I39" s="107">
        <v>0</v>
      </c>
      <c r="J39" s="107">
        <v>0</v>
      </c>
      <c r="K39" s="107">
        <v>0</v>
      </c>
      <c r="L39" s="107">
        <v>0</v>
      </c>
      <c r="M39" s="107">
        <v>0</v>
      </c>
      <c r="N39" s="107">
        <v>0</v>
      </c>
      <c r="O39" s="139">
        <v>0</v>
      </c>
    </row>
    <row r="40" spans="3:15" ht="13" customHeight="1" x14ac:dyDescent="0.3">
      <c r="C40" s="207" t="str">
        <f>VLOOKUP(53,Textbausteine_302[],Hilfsgrössen!$D$2,FALSE)</f>
        <v>Aérothermie, géothermie et héliothermie (au sein de la Poste)</v>
      </c>
      <c r="D40" s="182" t="str">
        <f>VLOOKUP(11,Textbausteine_302[],Hilfsgrössen!$D$2,FALSE)</f>
        <v>GWh</v>
      </c>
      <c r="E40" s="20">
        <v>1</v>
      </c>
      <c r="F40" s="107" t="s">
        <v>254</v>
      </c>
      <c r="G40" s="50"/>
      <c r="H40" s="107">
        <v>1.6330199999999999</v>
      </c>
      <c r="I40" s="107">
        <v>1.6330199999999999</v>
      </c>
      <c r="J40" s="107">
        <v>1.6330199999999999</v>
      </c>
      <c r="K40" s="107">
        <v>1.6330199999999999</v>
      </c>
      <c r="L40" s="107">
        <v>8.7242490000000004</v>
      </c>
      <c r="M40" s="107">
        <v>13.650619000000001</v>
      </c>
      <c r="N40" s="107">
        <v>18.317346000000001</v>
      </c>
      <c r="O40" s="139">
        <v>18.273346</v>
      </c>
    </row>
    <row r="41" spans="3:15" ht="13" customHeight="1" x14ac:dyDescent="0.3">
      <c r="C41" s="205" t="str">
        <f>VLOOKUP(54,Textbausteine_302[],Hilfsgrössen!$D$2,FALSE)</f>
        <v>Combustibles (en dehors de la Poste)</v>
      </c>
      <c r="D41" s="210" t="str">
        <f>VLOOKUP(11,Textbausteine_302[],Hilfsgrössen!$D$2,FALSE)</f>
        <v>GWh</v>
      </c>
      <c r="E41" s="20">
        <v>1</v>
      </c>
      <c r="F41" s="107" t="s">
        <v>255</v>
      </c>
      <c r="G41" s="49"/>
      <c r="H41" s="107">
        <v>96.567055166665995</v>
      </c>
      <c r="I41" s="107">
        <v>81.326581666666002</v>
      </c>
      <c r="J41" s="107">
        <v>67.019622999999996</v>
      </c>
      <c r="K41" s="107">
        <v>66.307268161720003</v>
      </c>
      <c r="L41" s="107">
        <v>55.633007566666002</v>
      </c>
      <c r="M41" s="107">
        <v>54.967882516666002</v>
      </c>
      <c r="N41" s="107">
        <v>55.662936833332999</v>
      </c>
      <c r="O41" s="139">
        <v>58.281018893964003</v>
      </c>
    </row>
    <row r="42" spans="3:15" ht="13" customHeight="1" x14ac:dyDescent="0.3">
      <c r="C42" s="212"/>
      <c r="D42" s="213"/>
      <c r="E42" s="20"/>
      <c r="F42" s="107"/>
      <c r="G42" s="49"/>
      <c r="N42" s="107"/>
      <c r="O42" s="139"/>
    </row>
    <row r="43" spans="3:15" ht="13" customHeight="1" x14ac:dyDescent="0.3">
      <c r="C43" s="203" t="str">
        <f>VLOOKUP(55,Textbausteine_302[],Hilfsgrössen!$D$2,FALSE)</f>
        <v>Electricité (sans carburant, ni chaleur)</v>
      </c>
      <c r="D43" s="214"/>
      <c r="E43" s="20"/>
      <c r="F43" s="107"/>
      <c r="G43" s="49"/>
      <c r="N43" s="107"/>
      <c r="O43" s="139"/>
    </row>
    <row r="44" spans="3:15" ht="13" customHeight="1" x14ac:dyDescent="0.3">
      <c r="C44" s="204" t="str">
        <f>VLOOKUP(56,Textbausteine_302[],Hilfsgrössen!$D$2,FALSE)</f>
        <v>Electricité</v>
      </c>
      <c r="D44" s="182" t="str">
        <f>VLOOKUP(11,Textbausteine_302[],Hilfsgrössen!$D$2,FALSE)</f>
        <v>GWh</v>
      </c>
      <c r="E44" s="107">
        <v>1</v>
      </c>
      <c r="F44" s="107"/>
      <c r="G44" s="49"/>
      <c r="H44" s="107">
        <v>215.77504099999999</v>
      </c>
      <c r="I44" s="107">
        <v>203.308536</v>
      </c>
      <c r="J44" s="107">
        <v>186.968772</v>
      </c>
      <c r="K44" s="107">
        <v>177.78381180000002</v>
      </c>
      <c r="L44" s="107">
        <v>187.78284600000001</v>
      </c>
      <c r="M44" s="107">
        <v>179.51580106</v>
      </c>
      <c r="N44" s="107">
        <v>174.96544728000001</v>
      </c>
      <c r="O44" s="139">
        <f>SUM(O45,O47)</f>
        <v>171.52816507</v>
      </c>
    </row>
    <row r="45" spans="3:15" ht="13" customHeight="1" x14ac:dyDescent="0.3">
      <c r="C45" s="211" t="str">
        <f>VLOOKUP(57,Textbausteine_302[],Hilfsgrössen!$D$2,FALSE)</f>
        <v>Electricité (au sein de la Poste)</v>
      </c>
      <c r="D45" s="182" t="str">
        <f>VLOOKUP(11,Textbausteine_302[],Hilfsgrössen!$D$2,FALSE)</f>
        <v>GWh</v>
      </c>
      <c r="E45" s="107" t="s">
        <v>250</v>
      </c>
      <c r="F45" s="20" t="s">
        <v>254</v>
      </c>
      <c r="G45" s="49"/>
      <c r="H45" s="107">
        <v>197.36829299999999</v>
      </c>
      <c r="I45" s="107">
        <v>182.65411800000001</v>
      </c>
      <c r="J45" s="107">
        <v>165.36073400000001</v>
      </c>
      <c r="K45" s="107">
        <v>158.94715780000001</v>
      </c>
      <c r="L45" s="107">
        <v>166.66481400000001</v>
      </c>
      <c r="M45" s="107">
        <v>158.70853406000001</v>
      </c>
      <c r="N45" s="107">
        <v>155.07117228000001</v>
      </c>
      <c r="O45" s="139">
        <v>152.39495206999999</v>
      </c>
    </row>
    <row r="46" spans="3:15" ht="13" customHeight="1" x14ac:dyDescent="0.3">
      <c r="C46" s="207" t="str">
        <f>VLOOKUP(58,Textbausteine_302[],Hilfsgrössen!$D$2,FALSE)</f>
        <v>Part d'électricité renouvelable (au sein de la Poste)</v>
      </c>
      <c r="D46" s="182" t="str">
        <f>VLOOKUP(12,Textbausteine_302[],Hilfsgrössen!$D$2,FALSE)</f>
        <v>%</v>
      </c>
      <c r="E46" s="107"/>
      <c r="F46" s="107" t="s">
        <v>254</v>
      </c>
      <c r="G46" s="50"/>
      <c r="H46" s="107">
        <v>99.999988200800999</v>
      </c>
      <c r="I46" s="107">
        <v>81.916222506029996</v>
      </c>
      <c r="J46" s="107">
        <v>78.630838478567</v>
      </c>
      <c r="K46" s="107">
        <v>100</v>
      </c>
      <c r="L46" s="107">
        <v>100</v>
      </c>
      <c r="M46" s="107">
        <v>100</v>
      </c>
      <c r="N46" s="107">
        <v>100</v>
      </c>
      <c r="O46" s="139">
        <v>100</v>
      </c>
    </row>
    <row r="47" spans="3:15" ht="13" customHeight="1" x14ac:dyDescent="0.3">
      <c r="C47" s="211" t="str">
        <f>VLOOKUP(59,Textbausteine_302[],Hilfsgrössen!$D$2,FALSE)</f>
        <v>Electricité (en dehors de la Poste)</v>
      </c>
      <c r="D47" s="182" t="str">
        <f>VLOOKUP(11,Textbausteine_302[],Hilfsgrössen!$D$2,FALSE)</f>
        <v>GWh</v>
      </c>
      <c r="E47" s="107">
        <v>1</v>
      </c>
      <c r="F47" s="107" t="s">
        <v>255</v>
      </c>
      <c r="G47" s="49"/>
      <c r="H47" s="107">
        <v>18.406748</v>
      </c>
      <c r="I47" s="107">
        <v>20.654418</v>
      </c>
      <c r="J47" s="107">
        <v>21.608038000000001</v>
      </c>
      <c r="K47" s="107">
        <v>18.836653999999999</v>
      </c>
      <c r="L47" s="107">
        <v>21.118031999999999</v>
      </c>
      <c r="M47" s="107">
        <v>20.807267</v>
      </c>
      <c r="N47" s="107">
        <v>19.894275</v>
      </c>
      <c r="O47" s="139">
        <v>19.133213000000001</v>
      </c>
    </row>
    <row r="48" spans="3:15" ht="13" customHeight="1" x14ac:dyDescent="0.3">
      <c r="C48" s="99"/>
      <c r="D48" s="182"/>
      <c r="E48" s="107"/>
      <c r="F48" s="20"/>
      <c r="G48" s="49"/>
      <c r="N48" s="107"/>
      <c r="O48" s="139"/>
    </row>
    <row r="49" spans="1:79" ht="13" customHeight="1" x14ac:dyDescent="0.3">
      <c r="C49" s="203" t="str">
        <f>VLOOKUP(60,Textbausteine_302[],Hilfsgrössen!$D$2,FALSE)</f>
        <v>Total</v>
      </c>
      <c r="D49" s="182"/>
      <c r="E49" s="107"/>
      <c r="F49" s="107"/>
      <c r="G49" s="50"/>
      <c r="N49" s="107"/>
      <c r="O49" s="139"/>
    </row>
    <row r="50" spans="1:79" ht="13" customHeight="1" x14ac:dyDescent="0.3">
      <c r="C50" s="215" t="str">
        <f>VLOOKUP(61,Textbausteine_302[],Hilfsgrössen!$D$2,FALSE)</f>
        <v>Total des besoins énergétiques</v>
      </c>
      <c r="D50" s="210" t="str">
        <f>VLOOKUP(11,Textbausteine_302[],Hilfsgrössen!$D$2,FALSE)</f>
        <v>GWh</v>
      </c>
      <c r="E50" s="107">
        <v>1</v>
      </c>
      <c r="F50" s="107" t="s">
        <v>254</v>
      </c>
      <c r="G50" s="49"/>
      <c r="H50" s="380">
        <f>SUM(H51,H53)</f>
        <v>1554.785009070737</v>
      </c>
      <c r="I50" s="380">
        <f>SUM(I51,I53)</f>
        <v>1519.5803448761981</v>
      </c>
      <c r="J50" s="380">
        <f>SUM(J51,J53)</f>
        <v>1546.6790495078219</v>
      </c>
      <c r="K50" s="380">
        <f t="shared" ref="K50" si="1">SUM(K51,K53)</f>
        <v>1461.0021030494249</v>
      </c>
      <c r="L50" s="380">
        <f>SUM(L51,L53)</f>
        <v>1455.7702353460675</v>
      </c>
      <c r="M50" s="380">
        <f>SUM(M51,M53)</f>
        <v>1458.0921420334676</v>
      </c>
      <c r="N50" s="380">
        <f>SUM(N51,N53)</f>
        <v>1491.1683363372254</v>
      </c>
      <c r="O50" s="381">
        <f>SUM(O51,O53)</f>
        <v>1453.440202055318</v>
      </c>
    </row>
    <row r="51" spans="1:79" ht="13" customHeight="1" x14ac:dyDescent="0.3">
      <c r="C51" s="211" t="str">
        <f>VLOOKUP(62,Textbausteine_302[],Hilfsgrössen!$D$2,FALSE)</f>
        <v>Total des besoins énergétiques (au sein de la Poste)</v>
      </c>
      <c r="D51" s="182" t="str">
        <f>VLOOKUP(11,Textbausteine_302[],Hilfsgrössen!$D$2,FALSE)</f>
        <v>GWh</v>
      </c>
      <c r="E51" s="107">
        <v>1</v>
      </c>
      <c r="F51" s="107" t="s">
        <v>254</v>
      </c>
      <c r="G51" s="49"/>
      <c r="H51" s="380">
        <f>SUM(H17,H32,H45)</f>
        <v>907.56622092222108</v>
      </c>
      <c r="I51" s="380">
        <f>SUM(I17,I32,I45)</f>
        <v>889.95856263333201</v>
      </c>
      <c r="J51" s="380">
        <f>SUM(J17,J32,J45)</f>
        <v>896.88243682222196</v>
      </c>
      <c r="K51" s="380">
        <f t="shared" ref="K51" si="2">SUM(K17,K32,K45)</f>
        <v>890.93264445554485</v>
      </c>
      <c r="L51" s="380">
        <f>SUM(L17,L32,L45)</f>
        <v>894.3603632611015</v>
      </c>
      <c r="M51" s="380">
        <f>SUM(M17,M32,M45)</f>
        <v>890.02699986774155</v>
      </c>
      <c r="N51" s="380">
        <f>SUM(N17,N32,N45)</f>
        <v>905.02082824981221</v>
      </c>
      <c r="O51" s="381">
        <f>SUM(O17,O32,O45)</f>
        <v>886.72979030247393</v>
      </c>
    </row>
    <row r="52" spans="1:79" ht="13" customHeight="1" x14ac:dyDescent="0.3">
      <c r="C52" s="208" t="str">
        <f>VLOOKUP(63,Textbausteine_302[],Hilfsgrössen!$D$2,FALSE)</f>
        <v>Part d'énergie renouvelable dans les besoins énergétiques (au sein de la Poste)</v>
      </c>
      <c r="D52" s="210" t="str">
        <f>VLOOKUP(12,Textbausteine_302[],Hilfsgrössen!$D$2,FALSE)</f>
        <v>%</v>
      </c>
      <c r="E52" s="107"/>
      <c r="F52" s="107" t="s">
        <v>254</v>
      </c>
      <c r="G52" s="49"/>
      <c r="H52" s="380">
        <v>23.108194152494001</v>
      </c>
      <c r="I52" s="380">
        <v>17.952801711770999</v>
      </c>
      <c r="J52" s="380">
        <v>15.701303624192001</v>
      </c>
      <c r="K52" s="380">
        <v>19.101987854531</v>
      </c>
      <c r="L52" s="380">
        <v>20.290979341735</v>
      </c>
      <c r="M52" s="380">
        <v>19.995921883158999</v>
      </c>
      <c r="N52" s="380">
        <v>19.258017591822</v>
      </c>
      <c r="O52" s="381">
        <v>19.620217243828002</v>
      </c>
    </row>
    <row r="53" spans="1:79" ht="13" customHeight="1" x14ac:dyDescent="0.3">
      <c r="C53" s="211" t="str">
        <f>VLOOKUP(64,Textbausteine_302[],Hilfsgrössen!$D$2,FALSE)</f>
        <v>Total des besoins énergétiques (en dehors de la Poste)</v>
      </c>
      <c r="D53" s="182" t="str">
        <f>VLOOKUP(11,Textbausteine_302[],Hilfsgrössen!$D$2,FALSE)</f>
        <v>GWh</v>
      </c>
      <c r="E53" s="107">
        <v>1</v>
      </c>
      <c r="F53" s="107" t="s">
        <v>255</v>
      </c>
      <c r="G53" s="49"/>
      <c r="H53" s="380">
        <f>SUM(H28,H41,H47)</f>
        <v>647.21878814851607</v>
      </c>
      <c r="I53" s="380">
        <f>SUM(I28,I41,I47)</f>
        <v>629.62178224286595</v>
      </c>
      <c r="J53" s="380">
        <f>SUM(J28,J41,J47)</f>
        <v>649.79661268559994</v>
      </c>
      <c r="K53" s="380">
        <f t="shared" ref="K53" si="3">SUM(K28,K41,K47)</f>
        <v>570.06945859387997</v>
      </c>
      <c r="L53" s="380">
        <f>SUM(L28,L41,L47)</f>
        <v>561.40987208496597</v>
      </c>
      <c r="M53" s="380">
        <f>SUM(M28,M41,M47)</f>
        <v>568.065142165726</v>
      </c>
      <c r="N53" s="380">
        <f>SUM(N28,N41,N47)</f>
        <v>586.14750808741303</v>
      </c>
      <c r="O53" s="381">
        <f>SUM(O28,O41,O47)</f>
        <v>566.71041175284392</v>
      </c>
    </row>
    <row r="54" spans="1:79" ht="13" customHeight="1" x14ac:dyDescent="0.3">
      <c r="E54" s="107"/>
      <c r="F54" s="107"/>
      <c r="G54" s="49"/>
      <c r="N54" s="107"/>
      <c r="O54" s="107"/>
    </row>
    <row r="55" spans="1:79" ht="13" customHeight="1" x14ac:dyDescent="0.3">
      <c r="B55" s="164" t="str">
        <f>VLOOKUP(131,Textbausteine_302[],Hilfsgrössen!$D$2,FALSE)</f>
        <v>1) Normes, méthodes et coefficients de conversion: protocole GHG, Revised Edition (2004). Les coefficients de conversion sont tirés d'ecoinvent 2.2.</v>
      </c>
      <c r="E55" s="107"/>
      <c r="F55" s="107"/>
      <c r="G55" s="49"/>
      <c r="N55" s="107"/>
      <c r="O55" s="107"/>
    </row>
    <row r="56" spans="1:79" ht="13" customHeight="1" x14ac:dyDescent="0.3">
      <c r="B56" s="164" t="str">
        <f>VLOOKUP(132,Textbausteine_302[],Hilfsgrössen!$D$2,FALSE)</f>
        <v>2) Electricité verte / biogaz certifiés «naturemade star».</v>
      </c>
      <c r="E56" s="107"/>
      <c r="F56" s="107"/>
      <c r="G56" s="49"/>
      <c r="N56" s="107"/>
      <c r="O56" s="107"/>
    </row>
    <row r="57" spans="1:79" ht="13" customHeight="1" x14ac:dyDescent="0.3">
      <c r="B57" s="164" t="str">
        <f>VLOOKUP(133,Textbausteine_302[],Hilfsgrössen!$D$2,FALSE)</f>
        <v>3) Electricité certifiée «naturemade basic» provenant d'énergies renouvelables.</v>
      </c>
      <c r="E57" s="107"/>
      <c r="F57" s="107"/>
      <c r="G57" s="49"/>
      <c r="N57" s="107"/>
      <c r="O57" s="107"/>
    </row>
    <row r="58" spans="1:79" ht="13" customHeight="1" x14ac:dyDescent="0.3">
      <c r="B58" s="164" t="str">
        <f>VLOOKUP(134,Textbausteine_302[],Hilfsgrössen!$D$2,FALSE)</f>
        <v>4) L'électricité thermique est comprise dans l'électricité des bâtiments.</v>
      </c>
      <c r="E58" s="20"/>
      <c r="F58" s="107"/>
      <c r="G58" s="49"/>
      <c r="N58" s="107"/>
      <c r="O58" s="107"/>
    </row>
    <row r="59" spans="1:79" ht="13" customHeight="1" x14ac:dyDescent="0.3">
      <c r="E59" s="20"/>
      <c r="F59" s="107"/>
      <c r="G59" s="49"/>
      <c r="N59" s="107"/>
      <c r="O59" s="107"/>
    </row>
    <row r="60" spans="1:79" ht="13" customHeight="1" x14ac:dyDescent="0.3">
      <c r="E60" s="107"/>
      <c r="F60" s="107"/>
      <c r="G60" s="49"/>
      <c r="N60" s="107"/>
      <c r="O60" s="107"/>
    </row>
    <row r="61" spans="1:79" ht="13" customHeight="1" x14ac:dyDescent="0.3">
      <c r="E61" s="107"/>
      <c r="F61" s="107"/>
      <c r="G61" s="49"/>
      <c r="N61" s="107"/>
      <c r="O61" s="107"/>
    </row>
    <row r="62" spans="1:79" s="95" customFormat="1" ht="13" customHeight="1" x14ac:dyDescent="0.3">
      <c r="A62" s="216" t="s">
        <v>900</v>
      </c>
      <c r="B62" s="394" t="str">
        <f>$C$8</f>
        <v>Autres indicateurs énergétiques</v>
      </c>
      <c r="C62" s="394"/>
      <c r="D62" s="102" t="str">
        <f>VLOOKUP(32,Textbausteine_Menu[],Hilfsgrössen!$D$2,FALSE)</f>
        <v>Unité</v>
      </c>
      <c r="E62" s="108" t="str">
        <f>VLOOKUP(33,Textbausteine_Menu[],Hilfsgrössen!$D$2,FALSE)</f>
        <v>Notes</v>
      </c>
      <c r="F62" s="108" t="str">
        <f>VLOOKUP(34,Textbausteine_Menu[],Hilfsgrössen!$D$2,FALSE)</f>
        <v>GRI</v>
      </c>
      <c r="G62" s="49"/>
      <c r="H62" s="103">
        <v>2010</v>
      </c>
      <c r="I62" s="103">
        <v>2011</v>
      </c>
      <c r="J62" s="103">
        <v>2012</v>
      </c>
      <c r="K62" s="103">
        <v>2013</v>
      </c>
      <c r="L62" s="103">
        <v>2014</v>
      </c>
      <c r="M62" s="103">
        <v>2015</v>
      </c>
      <c r="N62" s="103">
        <v>2016</v>
      </c>
      <c r="O62" s="135">
        <v>2017</v>
      </c>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row>
    <row r="63" spans="1:79" s="95" customFormat="1" ht="13" customHeight="1" x14ac:dyDescent="0.3">
      <c r="A63" s="97"/>
      <c r="B63" s="394"/>
      <c r="C63" s="394"/>
      <c r="D63" s="102"/>
      <c r="E63" s="199"/>
      <c r="F63" s="199"/>
      <c r="G63" s="51"/>
      <c r="H63" s="107"/>
      <c r="I63" s="107"/>
      <c r="J63" s="107"/>
      <c r="K63" s="107"/>
      <c r="L63" s="107"/>
      <c r="M63" s="107"/>
      <c r="N63" s="107"/>
      <c r="O63" s="139"/>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row>
    <row r="64" spans="1:79" ht="13" customHeight="1" x14ac:dyDescent="0.3">
      <c r="B64" s="104"/>
      <c r="C64" s="105"/>
      <c r="D64" s="105"/>
      <c r="E64" s="199"/>
      <c r="F64" s="199"/>
      <c r="G64" s="51"/>
      <c r="N64" s="107"/>
      <c r="O64" s="139"/>
    </row>
    <row r="65" spans="2:15" ht="13" customHeight="1" x14ac:dyDescent="0.3">
      <c r="B65" s="104" t="str">
        <f>VLOOKUP(36,Textbausteine_Menu[],Hilfsgrössen!$D$2,FALSE)</f>
        <v>Groupe</v>
      </c>
      <c r="C65" s="104"/>
      <c r="D65" s="104"/>
      <c r="E65" s="200"/>
      <c r="F65" s="200"/>
      <c r="G65" s="51"/>
      <c r="O65" s="133"/>
    </row>
    <row r="66" spans="2:15" ht="13" customHeight="1" x14ac:dyDescent="0.3">
      <c r="C66" s="182" t="str">
        <f>VLOOKUP(81,Textbausteine_302[],Hilfsgrössen!$D$2,FALSE)</f>
        <v>Amélioration de l'efficacité énergétique depuis 2006</v>
      </c>
      <c r="D66" s="182" t="str">
        <f>VLOOKUP(12,Textbausteine_302[],Hilfsgrössen!$D$2,FALSE)</f>
        <v>%</v>
      </c>
      <c r="E66" s="200">
        <v>1</v>
      </c>
      <c r="F66" s="200" t="s">
        <v>749</v>
      </c>
      <c r="G66" s="52"/>
      <c r="H66" s="107">
        <v>5.2588002770916509</v>
      </c>
      <c r="I66" s="107">
        <v>7.4980953636902088</v>
      </c>
      <c r="J66" s="107">
        <v>10.752343471570532</v>
      </c>
      <c r="K66" s="107">
        <v>18.936471731041141</v>
      </c>
      <c r="L66" s="107">
        <v>21.035332139468849</v>
      </c>
      <c r="M66" s="107">
        <v>23.396948930687923</v>
      </c>
      <c r="N66" s="20">
        <v>25.568649342807056</v>
      </c>
      <c r="O66" s="133">
        <v>29.609811998684098</v>
      </c>
    </row>
    <row r="67" spans="2:15" ht="13" customHeight="1" x14ac:dyDescent="0.3">
      <c r="C67" s="182" t="str">
        <f>VLOOKUP(82,Textbausteine_302[],Hilfsgrössen!$D$2,FALSE)</f>
        <v>Achat de garanties d'origine pour l'électricité produite à partir de sources d'énergie renouvelables certifiées</v>
      </c>
      <c r="D67" s="182" t="str">
        <f>VLOOKUP(11,Textbausteine_302[],Hilfsgrössen!$D$2,FALSE)</f>
        <v>GWh</v>
      </c>
      <c r="E67" s="20">
        <v>2</v>
      </c>
      <c r="F67" s="20"/>
      <c r="G67" s="52"/>
      <c r="H67" s="107">
        <v>200.00000399999999</v>
      </c>
      <c r="I67" s="107">
        <v>150.00000600000001</v>
      </c>
      <c r="J67" s="107">
        <v>130.00000600000001</v>
      </c>
      <c r="K67" s="107">
        <v>156.00000600000001</v>
      </c>
      <c r="L67" s="107">
        <v>158.00000600000001</v>
      </c>
      <c r="M67" s="107">
        <v>151.18600599999999</v>
      </c>
      <c r="N67" s="20">
        <v>139.81400600000001</v>
      </c>
      <c r="O67" s="133">
        <v>140.00000700000001</v>
      </c>
    </row>
    <row r="68" spans="2:15" ht="13" customHeight="1" x14ac:dyDescent="0.3">
      <c r="C68" s="182" t="str">
        <f>VLOOKUP(83,Textbausteine_302[],Hilfsgrössen!$D$2,FALSE)</f>
        <v>Achat de garanties d'origine pour l'électricité verte certifiée</v>
      </c>
      <c r="D68" s="182" t="str">
        <f>VLOOKUP(11,Textbausteine_302[],Hilfsgrössen!$D$2,FALSE)</f>
        <v>GWh</v>
      </c>
      <c r="E68" s="100">
        <v>2</v>
      </c>
      <c r="G68" s="53"/>
      <c r="H68" s="107">
        <v>0.6</v>
      </c>
      <c r="I68" s="107">
        <v>0.6</v>
      </c>
      <c r="J68" s="107">
        <v>1.3</v>
      </c>
      <c r="K68" s="107">
        <v>8.3000000000000007</v>
      </c>
      <c r="L68" s="107">
        <v>8.3149999999999995</v>
      </c>
      <c r="M68" s="107">
        <v>8.4789999999999992</v>
      </c>
      <c r="N68" s="20">
        <v>15.95</v>
      </c>
      <c r="O68" s="133">
        <v>16.147041999999999</v>
      </c>
    </row>
    <row r="69" spans="2:15" ht="13" customHeight="1" x14ac:dyDescent="0.3">
      <c r="C69" s="182" t="str">
        <f>VLOOKUP(84,Textbausteine_302[],Hilfsgrössen!$D$2,FALSE)</f>
        <v>Achat de garanties d'origine pour le biogaz certifié</v>
      </c>
      <c r="D69" s="182" t="str">
        <f>VLOOKUP(11,Textbausteine_302[],Hilfsgrössen!$D$2,FALSE)</f>
        <v>GWh</v>
      </c>
      <c r="E69" s="100">
        <v>3</v>
      </c>
      <c r="H69" s="107">
        <v>0</v>
      </c>
      <c r="I69" s="107">
        <v>5.13</v>
      </c>
      <c r="J69" s="107">
        <v>5.5717499999999998</v>
      </c>
      <c r="K69" s="107">
        <v>4.0897500000000004</v>
      </c>
      <c r="L69" s="107">
        <v>5.5266890000000002</v>
      </c>
      <c r="M69" s="107">
        <v>4.8260779999999999</v>
      </c>
      <c r="N69" s="20">
        <v>3.3096169999999998</v>
      </c>
      <c r="O69" s="133">
        <v>2.8334139999999999</v>
      </c>
    </row>
    <row r="71" spans="2:15" ht="13" customHeight="1" x14ac:dyDescent="0.3">
      <c r="B71" s="164" t="str">
        <f>VLOOKUP(141,Textbausteine_302[],Hilfsgrössen!$D$2,FALSE)</f>
        <v>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v>
      </c>
      <c r="E71" s="103"/>
      <c r="F71" s="103"/>
    </row>
    <row r="72" spans="2:15" ht="13" customHeight="1" x14ac:dyDescent="0.3">
      <c r="B72" s="164" t="str">
        <f>VLOOKUP(142,Textbausteine_302[],Hilfsgrössen!$D$2,FALSE)</f>
        <v>2) Garanties d'origine pour la consommation totale d'électricité au sein de La Poste Suisse.</v>
      </c>
      <c r="E72" s="103"/>
      <c r="F72" s="103"/>
      <c r="G72" s="48"/>
    </row>
    <row r="73" spans="2:15" ht="13" customHeight="1" x14ac:dyDescent="0.3">
      <c r="B73" s="164" t="str">
        <f>VLOOKUP(143,Textbausteine_302[],Hilfsgrössen!$D$2,FALSE)</f>
        <v>3) Garanties d'origine pour la consommation de GNC dans le transport de marchandises et les déplacements professionnels au sein de La Poste Suisse.</v>
      </c>
      <c r="E73" s="20"/>
      <c r="F73" s="107"/>
      <c r="N73" s="107"/>
      <c r="O73" s="107"/>
    </row>
    <row r="74" spans="2:15" ht="13" customHeight="1" x14ac:dyDescent="0.3">
      <c r="E74" s="20"/>
      <c r="F74" s="107"/>
      <c r="N74" s="107"/>
      <c r="O74" s="107"/>
    </row>
    <row r="75" spans="2:15" ht="13" customHeight="1" x14ac:dyDescent="0.3">
      <c r="E75" s="20"/>
      <c r="F75" s="107"/>
      <c r="N75" s="107"/>
      <c r="O75" s="107"/>
    </row>
    <row r="76" spans="2:15" ht="13" customHeight="1" x14ac:dyDescent="0.3">
      <c r="E76" s="20"/>
      <c r="F76" s="107"/>
      <c r="N76" s="107"/>
      <c r="O76" s="107"/>
    </row>
    <row r="77" spans="2:15" ht="13" customHeight="1" x14ac:dyDescent="0.3">
      <c r="E77" s="20"/>
      <c r="F77" s="107"/>
      <c r="N77" s="107"/>
      <c r="O77" s="107"/>
    </row>
    <row r="78" spans="2:15" ht="13" customHeight="1" x14ac:dyDescent="0.3">
      <c r="E78" s="20"/>
      <c r="F78" s="107"/>
      <c r="N78" s="107"/>
      <c r="O78" s="107"/>
    </row>
    <row r="79" spans="2:15" ht="13" customHeight="1" x14ac:dyDescent="0.3">
      <c r="E79" s="119"/>
      <c r="F79" s="119"/>
      <c r="N79" s="107"/>
      <c r="O79" s="107"/>
    </row>
    <row r="80" spans="2:15" ht="13" customHeight="1" x14ac:dyDescent="0.3">
      <c r="E80" s="119"/>
      <c r="F80" s="119"/>
      <c r="N80" s="107"/>
      <c r="O80" s="107"/>
    </row>
    <row r="81" spans="5:15" ht="13" customHeight="1" x14ac:dyDescent="0.3">
      <c r="E81" s="119"/>
      <c r="F81" s="119"/>
      <c r="N81" s="107"/>
      <c r="O81" s="107"/>
    </row>
    <row r="82" spans="5:15" ht="13" customHeight="1" x14ac:dyDescent="0.3">
      <c r="N82" s="107"/>
      <c r="O82" s="107"/>
    </row>
    <row r="83" spans="5:15" ht="13" customHeight="1" x14ac:dyDescent="0.3">
      <c r="N83" s="107"/>
      <c r="O83" s="107"/>
    </row>
    <row r="84" spans="5:15" ht="13" customHeight="1" x14ac:dyDescent="0.3">
      <c r="N84" s="119"/>
      <c r="O84" s="119"/>
    </row>
    <row r="85" spans="5:15" ht="13" customHeight="1" x14ac:dyDescent="0.3">
      <c r="N85" s="119"/>
      <c r="O85" s="119"/>
    </row>
    <row r="89" spans="5:15" ht="13" customHeight="1" x14ac:dyDescent="0.3">
      <c r="N89" s="107"/>
      <c r="O89" s="107"/>
    </row>
    <row r="90" spans="5:15" ht="13" customHeight="1" x14ac:dyDescent="0.3">
      <c r="N90" s="107"/>
      <c r="O90" s="107"/>
    </row>
    <row r="91" spans="5:15" ht="13" customHeight="1" x14ac:dyDescent="0.3">
      <c r="N91" s="107"/>
      <c r="O91" s="107"/>
    </row>
    <row r="92" spans="5:15" ht="13" customHeight="1" x14ac:dyDescent="0.3">
      <c r="N92" s="107"/>
      <c r="O92" s="107"/>
    </row>
    <row r="93" spans="5:15" ht="13" customHeight="1" x14ac:dyDescent="0.3">
      <c r="N93" s="107"/>
      <c r="O93" s="107"/>
    </row>
    <row r="94" spans="5:15" ht="13" customHeight="1" x14ac:dyDescent="0.3">
      <c r="N94" s="107"/>
      <c r="O94" s="107"/>
    </row>
    <row r="95" spans="5:15" ht="13" customHeight="1" x14ac:dyDescent="0.3">
      <c r="N95" s="107"/>
      <c r="O95" s="107"/>
    </row>
    <row r="96" spans="5:15" ht="13" customHeight="1" x14ac:dyDescent="0.3">
      <c r="N96" s="107"/>
      <c r="O96" s="107"/>
    </row>
    <row r="97" spans="7:15" ht="13" customHeight="1" x14ac:dyDescent="0.3">
      <c r="N97" s="107"/>
      <c r="O97" s="107"/>
    </row>
    <row r="98" spans="7:15" ht="13" customHeight="1" x14ac:dyDescent="0.3">
      <c r="G98" s="49"/>
      <c r="N98" s="107"/>
      <c r="O98" s="107"/>
    </row>
    <row r="99" spans="7:15" ht="13" customHeight="1" x14ac:dyDescent="0.3">
      <c r="G99" s="49"/>
      <c r="N99" s="107"/>
      <c r="O99" s="107"/>
    </row>
    <row r="100" spans="7:15" ht="13" customHeight="1" x14ac:dyDescent="0.3">
      <c r="G100" s="49"/>
      <c r="N100" s="107"/>
      <c r="O100" s="107"/>
    </row>
    <row r="101" spans="7:15" ht="13" customHeight="1" x14ac:dyDescent="0.3">
      <c r="G101" s="49"/>
      <c r="N101" s="107"/>
      <c r="O101" s="107"/>
    </row>
    <row r="102" spans="7:15" ht="13" customHeight="1" x14ac:dyDescent="0.3">
      <c r="G102" s="49"/>
      <c r="N102" s="107"/>
      <c r="O102" s="107"/>
    </row>
    <row r="103" spans="7:15" ht="13" customHeight="1" x14ac:dyDescent="0.3">
      <c r="G103" s="49"/>
      <c r="N103" s="107"/>
      <c r="O103" s="107"/>
    </row>
    <row r="104" spans="7:15" ht="13" customHeight="1" x14ac:dyDescent="0.3">
      <c r="G104" s="49"/>
      <c r="N104" s="107"/>
      <c r="O104" s="107"/>
    </row>
    <row r="105" spans="7:15" ht="13" customHeight="1" x14ac:dyDescent="0.3">
      <c r="N105" s="107"/>
      <c r="O105" s="107"/>
    </row>
    <row r="106" spans="7:15" ht="13" customHeight="1" x14ac:dyDescent="0.3">
      <c r="N106" s="107"/>
      <c r="O106" s="107"/>
    </row>
    <row r="110" spans="7:15" ht="13" customHeight="1" x14ac:dyDescent="0.3">
      <c r="G110" s="48"/>
    </row>
    <row r="111" spans="7:15" ht="13" customHeight="1" x14ac:dyDescent="0.3">
      <c r="G111" s="48"/>
    </row>
    <row r="112" spans="7:15" ht="13" customHeight="1" x14ac:dyDescent="0.3">
      <c r="G112" s="49"/>
    </row>
    <row r="113" spans="7:15" ht="13" customHeight="1" x14ac:dyDescent="0.3">
      <c r="G113" s="46"/>
      <c r="N113" s="119"/>
      <c r="O113" s="119"/>
    </row>
    <row r="114" spans="7:15" ht="13" customHeight="1" x14ac:dyDescent="0.3">
      <c r="G114" s="49"/>
      <c r="N114" s="119"/>
      <c r="O114" s="119"/>
    </row>
    <row r="115" spans="7:15" ht="13" customHeight="1" x14ac:dyDescent="0.3">
      <c r="G115" s="49"/>
    </row>
    <row r="116" spans="7:15" ht="13" customHeight="1" x14ac:dyDescent="0.3">
      <c r="G116" s="49"/>
    </row>
    <row r="117" spans="7:15" ht="13" customHeight="1" x14ac:dyDescent="0.3">
      <c r="G117" s="49"/>
    </row>
    <row r="118" spans="7:15" ht="13" customHeight="1" x14ac:dyDescent="0.3">
      <c r="G118" s="54"/>
      <c r="N118" s="140"/>
      <c r="O118" s="140"/>
    </row>
    <row r="119" spans="7:15" ht="13" customHeight="1" x14ac:dyDescent="0.3">
      <c r="G119" s="54"/>
      <c r="N119" s="140"/>
      <c r="O119" s="140"/>
    </row>
    <row r="120" spans="7:15" ht="13" customHeight="1" x14ac:dyDescent="0.3">
      <c r="G120" s="54"/>
      <c r="N120" s="140"/>
      <c r="O120" s="140"/>
    </row>
    <row r="121" spans="7:15" ht="13" customHeight="1" x14ac:dyDescent="0.3">
      <c r="N121" s="140"/>
      <c r="O121" s="140"/>
    </row>
    <row r="122" spans="7:15" ht="13" customHeight="1" x14ac:dyDescent="0.3">
      <c r="N122" s="140"/>
      <c r="O122" s="140"/>
    </row>
    <row r="123" spans="7:15" ht="13" customHeight="1" x14ac:dyDescent="0.3">
      <c r="N123" s="140"/>
      <c r="O123" s="140"/>
    </row>
    <row r="124" spans="7:15" ht="13" customHeight="1" x14ac:dyDescent="0.3">
      <c r="N124" s="140"/>
      <c r="O124" s="140"/>
    </row>
    <row r="125" spans="7:15" ht="13" customHeight="1" x14ac:dyDescent="0.3">
      <c r="N125" s="140"/>
      <c r="O125" s="140"/>
    </row>
  </sheetData>
  <sheetProtection algorithmName="SHA-512" hashValue="YzTYLevi1nPJ8K5DSWPwbvsNsFQI7t9NQxFg7bwbsUemM4iL1FiuSLPJ3yLIWLnG5a5vrO8LzelvT88Mfd+2QQ==" saltValue="oV3xY9OaqeEjeygJhyT8Jw==" spinCount="100000" sheet="1" objects="1" scenarios="1"/>
  <mergeCells count="5">
    <mergeCell ref="B62:C63"/>
    <mergeCell ref="B2:C2"/>
    <mergeCell ref="B3:C3"/>
    <mergeCell ref="B11:C12"/>
    <mergeCell ref="D2:E2"/>
  </mergeCells>
  <conditionalFormatting sqref="H6:CA15 H29:CA30 P16:CA28 H54:CA65 P50:CA53 H69:CA10000 P66:CA68 H42:CA43 P39:CA41 H38:CA38 P37:CA37 H36:CA36 P34:CA35 H33:CA33 P31:CA32 H48:CA49 P44:CA47">
    <cfRule type="expression" dxfId="96" priority="27">
      <formula>AND($D6&lt;&gt;"",H$11&lt;&gt;"",H6="")</formula>
    </cfRule>
  </conditionalFormatting>
  <conditionalFormatting sqref="H1:CA15 H29:CA30 P16:CA28 H54:CA65 P50:CA53 P66:CA68 H42:CA43 P39:CA41 H38:CA38 P37:CA37 H36:CA36 P34:CA35 H33:CA33 P31:CA32 H48:CA49 P44:CA47 H69:CA1048576">
    <cfRule type="expression" dxfId="95" priority="28">
      <formula>AND($A1="",ABS(H1)=0)</formula>
    </cfRule>
    <cfRule type="expression" dxfId="94" priority="29">
      <formula>AND($A1="",ABS(H1)&lt;100)</formula>
    </cfRule>
    <cfRule type="expression" dxfId="93" priority="30">
      <formula>AND($A1="",ABS(H1)&lt;10)</formula>
    </cfRule>
    <cfRule type="expression" dxfId="92" priority="31">
      <formula>AND($A1="",ABS(H1)&gt;=100)</formula>
    </cfRule>
  </conditionalFormatting>
  <conditionalFormatting sqref="B74:D1048576 C70:D73 B71:B73 B1:D69">
    <cfRule type="expression" dxfId="91" priority="26">
      <formula>AND(B1&lt;&gt;"",NOT(_xlfn.ISFORMULA(B1)))</formula>
    </cfRule>
  </conditionalFormatting>
  <conditionalFormatting sqref="H25:O25">
    <cfRule type="expression" dxfId="90" priority="21">
      <formula>AND($D25&lt;&gt;"",H$11&lt;&gt;"",H25="")</formula>
    </cfRule>
  </conditionalFormatting>
  <conditionalFormatting sqref="H25:O25">
    <cfRule type="expression" dxfId="89" priority="22">
      <formula>AND($A25="",ABS(H25)=0)</formula>
    </cfRule>
    <cfRule type="expression" dxfId="88" priority="23">
      <formula>AND($A25="",ABS(H25)&lt;100)</formula>
    </cfRule>
    <cfRule type="expression" dxfId="87" priority="24">
      <formula>AND($A25="",ABS(H25)&lt;10)</formula>
    </cfRule>
    <cfRule type="expression" dxfId="86" priority="25">
      <formula>AND($A25="",ABS(H25)&gt;=100)</formula>
    </cfRule>
  </conditionalFormatting>
  <conditionalFormatting sqref="H16:O24 H26:O28">
    <cfRule type="expression" dxfId="85" priority="10">
      <formula>AND($A1048567="",ABS(H1048567)&lt;10000)</formula>
    </cfRule>
  </conditionalFormatting>
  <conditionalFormatting sqref="H31:O32 H34:O35 H37:O37 H40:O41">
    <cfRule type="expression" dxfId="84" priority="9">
      <formula>AND($A1048558="",ABS(H1048558)&lt;1000)</formula>
    </cfRule>
  </conditionalFormatting>
  <conditionalFormatting sqref="H47:O47 H44:O45">
    <cfRule type="expression" dxfId="83" priority="8">
      <formula>AND($A1048558="",ABS(H1048558)&lt;1000)</formula>
    </cfRule>
  </conditionalFormatting>
  <conditionalFormatting sqref="H46:O46">
    <cfRule type="expression" dxfId="82" priority="2">
      <formula>AND($A66="",ABS(H66)&lt;100)</formula>
    </cfRule>
    <cfRule type="expression" dxfId="81" priority="3">
      <formula>AND($A66="",ABS(H66)&gt;=100)</formula>
    </cfRule>
  </conditionalFormatting>
  <conditionalFormatting sqref="H66:O68">
    <cfRule type="expression" dxfId="80" priority="1">
      <formula>AND($A1048558="",ABS(H1048558)&lt;1000)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302_1" display="GRI_302_1"/>
    <hyperlink ref="C8" location="GRI_302_2" display="GRI_302_2"/>
    <hyperlink ref="A11" location="GRI_302" display="Ó"/>
    <hyperlink ref="A62" location="GRI_302" display="Ó"/>
    <hyperlink ref="D2" location="Home" display="Home"/>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6D68"/>
  </sheetPr>
  <dimension ref="A2:CA122"/>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66" customWidth="1"/>
    <col min="2" max="2" width="2.453125" style="1" customWidth="1"/>
    <col min="3" max="3" width="61.453125" style="1" customWidth="1"/>
    <col min="4" max="4" width="35.453125" style="1" customWidth="1"/>
    <col min="5" max="5" width="9.453125" style="37" customWidth="1"/>
    <col min="6" max="6" width="14.1796875" style="37" customWidth="1"/>
    <col min="7" max="7" width="2.453125" style="47" customWidth="1"/>
    <col min="8" max="13" width="11.7265625" style="107" customWidth="1"/>
    <col min="14" max="15" width="11.7265625" style="20" customWidth="1"/>
    <col min="16" max="79" width="11.7265625" style="37" customWidth="1"/>
    <col min="80" max="16384" width="10.81640625" style="1"/>
  </cols>
  <sheetData>
    <row r="2" spans="1:79" s="153" customFormat="1" ht="26.15" customHeight="1" x14ac:dyDescent="0.3">
      <c r="A2" s="64"/>
      <c r="B2" s="390" t="str">
        <f>UPPER(RIGHT('Table des matières'!$C$22,LEN('Table des matières'!$C$22)-FIND(" – ",'Table des matières'!$C$22,1)-2))</f>
        <v>EMISSIONS</v>
      </c>
      <c r="C2" s="390"/>
      <c r="D2" s="386" t="str">
        <f>VLOOKUP(35,Textbausteine_Menu[],Hilfsgrössen!$D$2,FALSE)</f>
        <v>retour à la table des matières</v>
      </c>
      <c r="E2" s="387"/>
      <c r="F2" s="145" t="s">
        <v>88</v>
      </c>
      <c r="G2" s="171"/>
      <c r="H2" s="136"/>
      <c r="I2" s="136"/>
      <c r="J2" s="136"/>
      <c r="K2" s="136"/>
      <c r="L2" s="136"/>
      <c r="M2" s="136"/>
      <c r="N2" s="116"/>
      <c r="O2" s="116"/>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4" customFormat="1" ht="26.15" customHeight="1" x14ac:dyDescent="0.3">
      <c r="A3" s="65"/>
      <c r="B3" s="391" t="str">
        <f>UPPER("GRI "&amp;LEFT('Table des matières'!$C$22,3))</f>
        <v>GRI 305</v>
      </c>
      <c r="C3" s="391"/>
      <c r="E3" s="38"/>
      <c r="F3" s="38"/>
      <c r="G3" s="45"/>
      <c r="H3" s="136"/>
      <c r="I3" s="136"/>
      <c r="J3" s="136"/>
      <c r="K3" s="136"/>
      <c r="L3" s="136"/>
      <c r="M3" s="136"/>
      <c r="N3" s="116"/>
      <c r="O3" s="116"/>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31" customFormat="1" ht="13" customHeight="1" x14ac:dyDescent="0.3">
      <c r="A6" s="55"/>
      <c r="B6" s="31" t="str">
        <f>VLOOKUP(31,Textbausteine_Menu[],Hilfsgrössen!$D$2,FALSE)</f>
        <v>Divulgations</v>
      </c>
      <c r="E6" s="39"/>
      <c r="F6" s="39"/>
      <c r="G6" s="46"/>
      <c r="H6" s="107"/>
      <c r="I6" s="107"/>
      <c r="J6" s="107"/>
      <c r="K6" s="107"/>
      <c r="L6" s="107"/>
      <c r="M6" s="107"/>
      <c r="N6" s="20"/>
      <c r="O6" s="20"/>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2"/>
      <c r="C7" s="5" t="str">
        <f>VLOOKUP(1,Textbausteine_305[],Hilfsgrössen!$D$2,FALSE)</f>
        <v>Emissions de gaz à effet de serre</v>
      </c>
      <c r="D7" s="4"/>
    </row>
    <row r="8" spans="1:79" ht="13" customHeight="1" x14ac:dyDescent="0.3">
      <c r="B8" s="2"/>
      <c r="C8" s="5" t="str">
        <f>VLOOKUP(2,Textbausteine_305[],Hilfsgrössen!$D$2,FALSE)</f>
        <v>Intensité de gaz à effet de serre</v>
      </c>
      <c r="D8" s="4"/>
    </row>
    <row r="9" spans="1:79" ht="13" customHeight="1" x14ac:dyDescent="0.3">
      <c r="B9" s="2"/>
      <c r="C9" s="5" t="str">
        <f>VLOOKUP(3,Textbausteine_305[],Hilfsgrössen!$D$2,FALSE)</f>
        <v>Emissions de gaz à effet de serre compensées</v>
      </c>
      <c r="D9" s="4"/>
    </row>
    <row r="10" spans="1:79" ht="13" customHeight="1" x14ac:dyDescent="0.3">
      <c r="B10" s="2"/>
      <c r="C10" s="5" t="str">
        <f>VLOOKUP(4,Textbausteine_305[],Hilfsgrössen!$D$2,FALSE)</f>
        <v>Autres indicateurs des gaz à effet de serre</v>
      </c>
      <c r="D10" s="4"/>
      <c r="E10" s="39"/>
      <c r="F10" s="39"/>
      <c r="H10" s="20"/>
      <c r="I10" s="20"/>
      <c r="J10" s="20"/>
      <c r="K10" s="20"/>
      <c r="L10" s="20"/>
      <c r="M10" s="20"/>
      <c r="P10" s="7"/>
      <c r="Q10" s="7"/>
      <c r="R10" s="7"/>
      <c r="S10" s="7"/>
      <c r="T10" s="7"/>
      <c r="U10" s="7"/>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row>
    <row r="11" spans="1:79" ht="13" customHeight="1" x14ac:dyDescent="0.3">
      <c r="B11" s="2"/>
      <c r="C11" s="148" t="str">
        <f>VLOOKUP(5,Textbausteine_305[],Hilfsgrössen!$D$2,FALSE)</f>
        <v>Emissions de polluants atmosphériques</v>
      </c>
      <c r="D11" s="4"/>
      <c r="E11" s="40"/>
      <c r="F11" s="40"/>
      <c r="H11" s="127"/>
      <c r="I11" s="127"/>
      <c r="J11" s="127"/>
      <c r="K11" s="127"/>
      <c r="L11" s="127"/>
      <c r="M11" s="127"/>
      <c r="N11" s="120"/>
      <c r="O11" s="120"/>
      <c r="P11" s="131"/>
      <c r="Q11" s="118"/>
      <c r="R11" s="118"/>
      <c r="S11" s="118"/>
      <c r="T11" s="118"/>
      <c r="U11" s="118"/>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row>
    <row r="12" spans="1:79" ht="13" customHeight="1" x14ac:dyDescent="0.3">
      <c r="B12" s="2"/>
      <c r="E12" s="12"/>
      <c r="F12" s="11"/>
      <c r="G12" s="48"/>
      <c r="P12" s="11"/>
      <c r="Q12" s="11"/>
      <c r="R12" s="11"/>
      <c r="S12" s="11"/>
      <c r="T12" s="11"/>
      <c r="U12" s="11"/>
    </row>
    <row r="13" spans="1:79" ht="13" customHeight="1" x14ac:dyDescent="0.3">
      <c r="B13" s="2"/>
      <c r="E13" s="11"/>
      <c r="F13" s="11"/>
      <c r="G13" s="48"/>
      <c r="H13" s="20"/>
      <c r="I13" s="20"/>
      <c r="L13" s="137"/>
      <c r="M13" s="137"/>
      <c r="P13" s="14"/>
      <c r="Q13" s="74"/>
      <c r="R13" s="74"/>
      <c r="S13" s="74"/>
      <c r="T13" s="74"/>
      <c r="U13" s="17"/>
    </row>
    <row r="14" spans="1:79" s="31" customFormat="1" ht="13" customHeight="1" x14ac:dyDescent="0.3">
      <c r="A14" s="192" t="s">
        <v>900</v>
      </c>
      <c r="B14" s="385" t="str">
        <f>$C$7</f>
        <v>Emissions de gaz à effet de serre</v>
      </c>
      <c r="C14" s="385"/>
      <c r="D14" s="6" t="str">
        <f>VLOOKUP(32,Textbausteine_Menu[],Hilfsgrössen!$D$2,FALSE)</f>
        <v>Unité</v>
      </c>
      <c r="E14" s="40" t="str">
        <f>VLOOKUP(33,Textbausteine_Menu[],Hilfsgrössen!$D$2,FALSE)</f>
        <v>Notes</v>
      </c>
      <c r="F14" s="40" t="str">
        <f>VLOOKUP(34,Textbausteine_Menu[],Hilfsgrössen!$D$2,FALSE)</f>
        <v>GRI</v>
      </c>
      <c r="G14" s="49"/>
      <c r="H14" s="117">
        <v>2010</v>
      </c>
      <c r="I14" s="117">
        <v>2011</v>
      </c>
      <c r="J14" s="103">
        <v>2012</v>
      </c>
      <c r="K14" s="103">
        <v>2013</v>
      </c>
      <c r="L14" s="141">
        <v>2014</v>
      </c>
      <c r="M14" s="141">
        <v>2015</v>
      </c>
      <c r="N14" s="117">
        <v>2016</v>
      </c>
      <c r="O14" s="142">
        <v>2017</v>
      </c>
      <c r="P14" s="124"/>
      <c r="Q14" s="121"/>
      <c r="R14" s="121"/>
      <c r="S14" s="121"/>
      <c r="T14" s="121"/>
      <c r="U14" s="121"/>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row>
    <row r="15" spans="1:79" s="31" customFormat="1" ht="13" customHeight="1" x14ac:dyDescent="0.3">
      <c r="A15" s="55"/>
      <c r="B15" s="385"/>
      <c r="C15" s="385"/>
      <c r="D15" s="6"/>
      <c r="E15" s="11"/>
      <c r="F15" s="11"/>
      <c r="G15" s="49"/>
      <c r="H15" s="20"/>
      <c r="I15" s="20"/>
      <c r="J15" s="107"/>
      <c r="K15" s="107"/>
      <c r="L15" s="137"/>
      <c r="M15" s="137"/>
      <c r="N15" s="119"/>
      <c r="O15" s="134"/>
      <c r="P15" s="14"/>
      <c r="Q15" s="14"/>
      <c r="R15" s="14"/>
      <c r="S15" s="14"/>
      <c r="T15" s="14"/>
      <c r="U15" s="11"/>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row>
    <row r="16" spans="1:79" ht="13" customHeight="1" x14ac:dyDescent="0.3">
      <c r="B16" s="8"/>
      <c r="C16" s="9"/>
      <c r="D16" s="9"/>
      <c r="E16" s="11"/>
      <c r="F16" s="11"/>
      <c r="G16" s="49"/>
      <c r="H16" s="20"/>
      <c r="I16" s="20"/>
      <c r="L16" s="137"/>
      <c r="M16" s="137"/>
      <c r="N16" s="119"/>
      <c r="O16" s="134"/>
      <c r="P16" s="123"/>
      <c r="Q16" s="74"/>
      <c r="R16" s="74"/>
      <c r="S16" s="74"/>
      <c r="T16" s="74"/>
      <c r="U16" s="17"/>
    </row>
    <row r="17" spans="2:21" ht="13" customHeight="1" x14ac:dyDescent="0.3">
      <c r="B17" s="8" t="str">
        <f>VLOOKUP(36,Textbausteine_Menu[],Hilfsgrössen!$D$2,FALSE)</f>
        <v>Groupe</v>
      </c>
      <c r="C17" s="8"/>
      <c r="D17" s="67"/>
      <c r="E17" s="11"/>
      <c r="F17" s="11"/>
      <c r="G17" s="49"/>
      <c r="H17" s="20"/>
      <c r="I17" s="20"/>
      <c r="J17" s="138"/>
      <c r="L17" s="137"/>
      <c r="M17" s="137"/>
      <c r="O17" s="133"/>
      <c r="P17" s="14"/>
      <c r="Q17" s="74"/>
      <c r="R17" s="74"/>
      <c r="S17" s="74"/>
      <c r="T17" s="74"/>
      <c r="U17" s="11"/>
    </row>
    <row r="18" spans="2:21" ht="13" customHeight="1" x14ac:dyDescent="0.3">
      <c r="C18" s="8" t="str">
        <f>VLOOKUP(31,Textbausteine_305[],Hilfsgrössen!$D$2,FALSE)</f>
        <v>Par processus</v>
      </c>
      <c r="D18" s="67"/>
      <c r="E18" s="11"/>
      <c r="F18" s="11"/>
      <c r="G18" s="49"/>
      <c r="H18" s="20"/>
      <c r="I18" s="20"/>
      <c r="L18" s="137"/>
      <c r="M18" s="137"/>
      <c r="N18" s="107"/>
      <c r="O18" s="139"/>
      <c r="P18" s="14"/>
      <c r="Q18" s="74"/>
      <c r="R18" s="74"/>
      <c r="S18" s="74"/>
      <c r="T18" s="74"/>
      <c r="U18" s="17"/>
    </row>
    <row r="19" spans="2:21" ht="13" customHeight="1" x14ac:dyDescent="0.3">
      <c r="C19" s="19" t="str">
        <f>VLOOKUP(32,Textbausteine_305[],Hilfsgrössen!$D$2,FALSE)</f>
        <v>Fourniture de prestations</v>
      </c>
      <c r="D19" s="67" t="str">
        <f>VLOOKUP(11,Textbausteine_305[],Hilfsgrössen!$D$2,FALSE)</f>
        <v>Equivalent de tonnes de CO2</v>
      </c>
      <c r="E19" s="11">
        <v>2</v>
      </c>
      <c r="F19" s="11"/>
      <c r="G19" s="49"/>
      <c r="H19" s="20">
        <v>478253</v>
      </c>
      <c r="I19" s="20">
        <v>463248</v>
      </c>
      <c r="J19" s="107">
        <v>478020</v>
      </c>
      <c r="K19" s="107">
        <v>449174</v>
      </c>
      <c r="L19" s="107">
        <v>442202</v>
      </c>
      <c r="M19" s="137">
        <v>440728</v>
      </c>
      <c r="N19" s="107">
        <v>446151.36167582998</v>
      </c>
      <c r="O19" s="139">
        <v>436549.74852076999</v>
      </c>
      <c r="P19" s="13"/>
      <c r="Q19" s="72"/>
      <c r="R19" s="72"/>
      <c r="S19" s="72"/>
      <c r="T19" s="72"/>
      <c r="U19" s="17"/>
    </row>
    <row r="20" spans="2:21" ht="13" customHeight="1" x14ac:dyDescent="0.3">
      <c r="C20" s="220" t="str">
        <f>VLOOKUP(33,Textbausteine_305[],Hilfsgrössen!$D$2,FALSE)</f>
        <v>Bâtiments</v>
      </c>
      <c r="D20" s="67" t="str">
        <f>VLOOKUP(11,Textbausteine_305[],Hilfsgrössen!$D$2,FALSE)</f>
        <v>Equivalent de tonnes de CO2</v>
      </c>
      <c r="E20" s="11">
        <v>2</v>
      </c>
      <c r="F20" s="11"/>
      <c r="G20" s="49"/>
      <c r="H20" s="107">
        <v>116701</v>
      </c>
      <c r="I20" s="107">
        <v>99636</v>
      </c>
      <c r="J20" s="107">
        <v>98712</v>
      </c>
      <c r="K20" s="107">
        <v>88695</v>
      </c>
      <c r="L20" s="107">
        <v>84265</v>
      </c>
      <c r="M20" s="107">
        <v>80863</v>
      </c>
      <c r="N20" s="107">
        <v>75302.539396716005</v>
      </c>
      <c r="O20" s="139">
        <f t="shared" ref="O20" si="0">SUM(O21:O23)</f>
        <v>74730</v>
      </c>
    </row>
    <row r="21" spans="2:21" ht="13" customHeight="1" x14ac:dyDescent="0.3">
      <c r="C21" s="227" t="str">
        <f>VLOOKUP(34,Textbausteine_305[],Hilfsgrössen!$D$2,FALSE)</f>
        <v>Chaleur</v>
      </c>
      <c r="D21" s="67" t="str">
        <f>VLOOKUP(11,Textbausteine_305[],Hilfsgrössen!$D$2,FALSE)</f>
        <v>Equivalent de tonnes de CO2</v>
      </c>
      <c r="E21" s="11">
        <v>2</v>
      </c>
      <c r="F21" s="11"/>
      <c r="G21" s="49"/>
      <c r="H21" s="107">
        <v>54661</v>
      </c>
      <c r="I21" s="107">
        <v>46183</v>
      </c>
      <c r="J21" s="107">
        <v>44539</v>
      </c>
      <c r="K21" s="107">
        <v>39441</v>
      </c>
      <c r="L21" s="107">
        <v>33088</v>
      </c>
      <c r="M21" s="107">
        <v>31853</v>
      </c>
      <c r="N21" s="107">
        <v>30967.381685439999</v>
      </c>
      <c r="O21" s="139">
        <v>30661</v>
      </c>
    </row>
    <row r="22" spans="2:21" ht="13" customHeight="1" x14ac:dyDescent="0.3">
      <c r="C22" s="227" t="str">
        <f>VLOOKUP(35,Textbausteine_305[],Hilfsgrössen!$D$2,FALSE)</f>
        <v>Electricité</v>
      </c>
      <c r="D22" s="67" t="str">
        <f>VLOOKUP(11,Textbausteine_305[],Hilfsgrössen!$D$2,FALSE)</f>
        <v>Equivalent de tonnes de CO2</v>
      </c>
      <c r="E22" s="11">
        <v>1</v>
      </c>
      <c r="F22" s="11"/>
      <c r="G22" s="49"/>
      <c r="H22" s="107">
        <v>40209</v>
      </c>
      <c r="I22" s="107">
        <v>31902</v>
      </c>
      <c r="J22" s="107">
        <v>32001</v>
      </c>
      <c r="K22" s="107">
        <v>30455</v>
      </c>
      <c r="L22" s="107">
        <v>32853</v>
      </c>
      <c r="M22" s="107">
        <v>31189</v>
      </c>
      <c r="N22" s="107">
        <v>28441.728036182001</v>
      </c>
      <c r="O22" s="139">
        <v>28430</v>
      </c>
    </row>
    <row r="23" spans="2:21" ht="13" customHeight="1" x14ac:dyDescent="0.3">
      <c r="C23" s="227" t="str">
        <f>VLOOKUP(36,Textbausteine_305[],Hilfsgrössen!$D$2,FALSE)</f>
        <v>Climatisation, ressources et déchets</v>
      </c>
      <c r="D23" s="67" t="str">
        <f>VLOOKUP(11,Textbausteine_305[],Hilfsgrössen!$D$2,FALSE)</f>
        <v>Equivalent de tonnes de CO2</v>
      </c>
      <c r="E23" s="11">
        <v>2</v>
      </c>
      <c r="F23" s="11"/>
      <c r="G23" s="49"/>
      <c r="H23" s="107">
        <v>21831</v>
      </c>
      <c r="I23" s="107">
        <v>21551</v>
      </c>
      <c r="J23" s="107">
        <v>22172</v>
      </c>
      <c r="K23" s="107">
        <v>18799</v>
      </c>
      <c r="L23" s="107">
        <v>18324</v>
      </c>
      <c r="M23" s="107">
        <v>17821</v>
      </c>
      <c r="N23" s="107">
        <v>15893.429675093999</v>
      </c>
      <c r="O23" s="139">
        <v>15639</v>
      </c>
    </row>
    <row r="24" spans="2:21" ht="13" customHeight="1" x14ac:dyDescent="0.3">
      <c r="C24" s="220" t="str">
        <f>VLOOKUP(37,Textbausteine_305[],Hilfsgrössen!$D$2,FALSE)</f>
        <v>Mobilité</v>
      </c>
      <c r="D24" s="67" t="str">
        <f>VLOOKUP(11,Textbausteine_305[],Hilfsgrössen!$D$2,FALSE)</f>
        <v>Equivalent de tonnes de CO2</v>
      </c>
      <c r="E24" s="11">
        <v>2</v>
      </c>
      <c r="F24" s="11"/>
      <c r="G24" s="49"/>
      <c r="H24" s="107">
        <v>361552</v>
      </c>
      <c r="I24" s="107">
        <v>363611</v>
      </c>
      <c r="J24" s="107">
        <v>379309</v>
      </c>
      <c r="K24" s="107">
        <v>360479.050086</v>
      </c>
      <c r="L24" s="107">
        <v>357936.04966800002</v>
      </c>
      <c r="M24" s="107">
        <v>359864.04543599999</v>
      </c>
      <c r="N24" s="107">
        <v>370848.82227910816</v>
      </c>
      <c r="O24" s="139">
        <f t="shared" ref="O24" si="1">SUM(O25,O26,O32,O33)</f>
        <v>361818.88903891662</v>
      </c>
    </row>
    <row r="25" spans="2:21" ht="13" customHeight="1" x14ac:dyDescent="0.3">
      <c r="C25" s="222" t="str">
        <f>VLOOKUP(38,Textbausteine_305[],Hilfsgrössen!$D$2,FALSE)</f>
        <v>Transport de voyageurs</v>
      </c>
      <c r="D25" s="67" t="str">
        <f>VLOOKUP(11,Textbausteine_305[],Hilfsgrössen!$D$2,FALSE)</f>
        <v>Equivalent de tonnes de CO2</v>
      </c>
      <c r="E25" s="11">
        <v>2</v>
      </c>
      <c r="F25" s="11"/>
      <c r="G25" s="49"/>
      <c r="H25" s="107">
        <v>145129</v>
      </c>
      <c r="I25" s="107">
        <v>150581</v>
      </c>
      <c r="J25" s="107">
        <v>157333</v>
      </c>
      <c r="K25" s="107">
        <v>166232</v>
      </c>
      <c r="L25" s="107">
        <v>167441</v>
      </c>
      <c r="M25" s="107">
        <v>169933</v>
      </c>
      <c r="N25" s="107">
        <v>179348.87068190001</v>
      </c>
      <c r="O25" s="139">
        <v>177817.08560113999</v>
      </c>
    </row>
    <row r="26" spans="2:21" ht="13" customHeight="1" x14ac:dyDescent="0.3">
      <c r="C26" s="222" t="str">
        <f>VLOOKUP(39,Textbausteine_305[],Hilfsgrössen!$D$2,FALSE)</f>
        <v>Transport de marchandises</v>
      </c>
      <c r="D26" s="67" t="str">
        <f>VLOOKUP(11,Textbausteine_305[],Hilfsgrössen!$D$2,FALSE)</f>
        <v>Equivalent de tonnes de CO2</v>
      </c>
      <c r="E26" s="11">
        <v>2</v>
      </c>
      <c r="F26" s="11"/>
      <c r="G26" s="49"/>
      <c r="H26" s="107">
        <v>158386</v>
      </c>
      <c r="I26" s="107">
        <v>155349</v>
      </c>
      <c r="J26" s="107">
        <v>163650</v>
      </c>
      <c r="K26" s="107">
        <v>134655.050086</v>
      </c>
      <c r="L26" s="107">
        <v>128576.04966800001</v>
      </c>
      <c r="M26" s="107">
        <v>128391.045436</v>
      </c>
      <c r="N26" s="107">
        <v>132810.19582265869</v>
      </c>
      <c r="O26" s="139">
        <f t="shared" ref="O26" si="2">SUM(O27:O31)</f>
        <v>126530.2519180572</v>
      </c>
    </row>
    <row r="27" spans="2:21" ht="13" customHeight="1" x14ac:dyDescent="0.3">
      <c r="C27" s="228" t="str">
        <f>VLOOKUP(40,Textbausteine_305[],Hilfsgrössen!$D$2,FALSE)</f>
        <v>Sites d'entreprise</v>
      </c>
      <c r="D27" s="67" t="str">
        <f>VLOOKUP(11,Textbausteine_305[],Hilfsgrössen!$D$2,FALSE)</f>
        <v>Equivalent de tonnes de CO2</v>
      </c>
      <c r="E27" s="11">
        <v>2</v>
      </c>
      <c r="F27" s="11"/>
      <c r="G27" s="49"/>
      <c r="H27" s="107">
        <v>623</v>
      </c>
      <c r="I27" s="107">
        <v>658</v>
      </c>
      <c r="J27" s="107">
        <v>665</v>
      </c>
      <c r="K27" s="107">
        <v>591</v>
      </c>
      <c r="L27" s="107">
        <v>673</v>
      </c>
      <c r="M27" s="107">
        <v>572</v>
      </c>
      <c r="N27" s="107">
        <v>589.93020036760004</v>
      </c>
      <c r="O27" s="139">
        <v>1041.5849523159</v>
      </c>
    </row>
    <row r="28" spans="2:21" ht="13" customHeight="1" x14ac:dyDescent="0.3">
      <c r="C28" s="228" t="str">
        <f>VLOOKUP(41,Textbausteine_305[],Hilfsgrössen!$D$2,FALSE)</f>
        <v>Route</v>
      </c>
      <c r="D28" s="67" t="str">
        <f>VLOOKUP(11,Textbausteine_305[],Hilfsgrössen!$D$2,FALSE)</f>
        <v>Equivalent de tonnes de CO2</v>
      </c>
      <c r="E28" s="11">
        <v>2</v>
      </c>
      <c r="F28" s="11"/>
      <c r="G28" s="49"/>
      <c r="H28" s="107">
        <v>100078</v>
      </c>
      <c r="I28" s="107">
        <v>94364</v>
      </c>
      <c r="J28" s="107">
        <v>94257</v>
      </c>
      <c r="K28" s="107">
        <v>94686</v>
      </c>
      <c r="L28" s="107">
        <v>89603</v>
      </c>
      <c r="M28" s="107">
        <v>88652</v>
      </c>
      <c r="N28" s="107">
        <v>89117.372014599998</v>
      </c>
      <c r="O28" s="139">
        <v>88326.869325242995</v>
      </c>
    </row>
    <row r="29" spans="2:21" ht="13" customHeight="1" x14ac:dyDescent="0.3">
      <c r="C29" s="228" t="str">
        <f>VLOOKUP(42,Textbausteine_305[],Hilfsgrössen!$D$2,FALSE)</f>
        <v>Rail</v>
      </c>
      <c r="D29" s="67" t="str">
        <f>VLOOKUP(11,Textbausteine_305[],Hilfsgrössen!$D$2,FALSE)</f>
        <v>Equivalent de tonnes de CO2</v>
      </c>
      <c r="E29" s="11">
        <v>2</v>
      </c>
      <c r="F29" s="13"/>
      <c r="G29" s="49"/>
      <c r="H29" s="107">
        <v>1395</v>
      </c>
      <c r="I29" s="107">
        <v>1389</v>
      </c>
      <c r="J29" s="107">
        <v>1336</v>
      </c>
      <c r="K29" s="107">
        <v>1468</v>
      </c>
      <c r="L29" s="107">
        <v>1572</v>
      </c>
      <c r="M29" s="107">
        <v>1668</v>
      </c>
      <c r="N29" s="107">
        <v>1718.3006751521</v>
      </c>
      <c r="O29" s="139">
        <v>1487.9082858683</v>
      </c>
    </row>
    <row r="30" spans="2:21" ht="13" customHeight="1" x14ac:dyDescent="0.3">
      <c r="C30" s="228" t="str">
        <f>VLOOKUP(43,Textbausteine_305[],Hilfsgrössen!$D$2,FALSE)</f>
        <v>Transport aérien</v>
      </c>
      <c r="D30" s="67" t="str">
        <f>VLOOKUP(11,Textbausteine_305[],Hilfsgrössen!$D$2,FALSE)</f>
        <v>Equivalent de tonnes de CO2</v>
      </c>
      <c r="E30" s="11" t="s">
        <v>389</v>
      </c>
      <c r="F30" s="11"/>
      <c r="G30" s="49"/>
      <c r="H30" s="107">
        <v>56290</v>
      </c>
      <c r="I30" s="107">
        <v>58938</v>
      </c>
      <c r="J30" s="107">
        <v>67392</v>
      </c>
      <c r="K30" s="107">
        <v>37910</v>
      </c>
      <c r="L30" s="107">
        <v>36728</v>
      </c>
      <c r="M30" s="107">
        <v>37499</v>
      </c>
      <c r="N30" s="107">
        <v>41384.555395039002</v>
      </c>
      <c r="O30" s="139">
        <v>35673.857104230003</v>
      </c>
    </row>
    <row r="31" spans="2:21" ht="13" customHeight="1" x14ac:dyDescent="0.3">
      <c r="C31" s="228" t="str">
        <f>VLOOKUP(44,Textbausteine_305[],Hilfsgrössen!$D$2,FALSE)</f>
        <v>Transport naval</v>
      </c>
      <c r="D31" s="67" t="str">
        <f>VLOOKUP(11,Textbausteine_305[],Hilfsgrössen!$D$2,FALSE)</f>
        <v>Equivalent de tonnes de CO2</v>
      </c>
      <c r="E31" s="11">
        <v>2</v>
      </c>
      <c r="F31" s="11"/>
      <c r="G31" s="50"/>
      <c r="H31" s="107">
        <v>0</v>
      </c>
      <c r="I31" s="107">
        <v>0</v>
      </c>
      <c r="J31" s="107">
        <v>0</v>
      </c>
      <c r="K31" s="107">
        <v>5.0085999999999999E-2</v>
      </c>
      <c r="L31" s="107">
        <v>4.9667999999999997E-2</v>
      </c>
      <c r="M31" s="107">
        <v>4.5435999999999997E-2</v>
      </c>
      <c r="N31" s="107">
        <v>3.7537500000001001E-2</v>
      </c>
      <c r="O31" s="139">
        <v>3.2250400000000998E-2</v>
      </c>
    </row>
    <row r="32" spans="2:21" ht="13" customHeight="1" x14ac:dyDescent="0.3">
      <c r="C32" s="222" t="str">
        <f>VLOOKUP(45,Textbausteine_305[],Hilfsgrössen!$D$2,FALSE)</f>
        <v>Déplacements professionnels</v>
      </c>
      <c r="D32" s="67" t="str">
        <f>VLOOKUP(11,Textbausteine_305[],Hilfsgrössen!$D$2,FALSE)</f>
        <v>Equivalent de tonnes de CO2</v>
      </c>
      <c r="E32" s="11">
        <v>2</v>
      </c>
      <c r="F32" s="11"/>
      <c r="G32" s="49"/>
      <c r="H32" s="107">
        <v>5488</v>
      </c>
      <c r="I32" s="107">
        <v>5925</v>
      </c>
      <c r="J32" s="107">
        <v>6525</v>
      </c>
      <c r="K32" s="107">
        <v>5933</v>
      </c>
      <c r="L32" s="107">
        <v>6117</v>
      </c>
      <c r="M32" s="107">
        <v>6066</v>
      </c>
      <c r="N32" s="107">
        <v>5846.1645165734999</v>
      </c>
      <c r="O32" s="139">
        <v>5918.2438045294002</v>
      </c>
    </row>
    <row r="33" spans="3:15" ht="13" customHeight="1" x14ac:dyDescent="0.3">
      <c r="C33" s="222" t="str">
        <f>VLOOKUP(46,Textbausteine_305[],Hilfsgrössen!$D$2,FALSE)</f>
        <v>Trafic pendulaire</v>
      </c>
      <c r="D33" s="67" t="str">
        <f>VLOOKUP(11,Textbausteine_305[],Hilfsgrössen!$D$2,FALSE)</f>
        <v>Equivalent de tonnes de CO2</v>
      </c>
      <c r="E33" s="11">
        <v>2</v>
      </c>
      <c r="F33" s="13"/>
      <c r="G33" s="49"/>
      <c r="H33" s="107">
        <v>52549</v>
      </c>
      <c r="I33" s="107">
        <v>51756</v>
      </c>
      <c r="J33" s="107">
        <v>51801</v>
      </c>
      <c r="K33" s="107">
        <v>53659</v>
      </c>
      <c r="L33" s="107">
        <v>55802</v>
      </c>
      <c r="M33" s="107">
        <v>55474</v>
      </c>
      <c r="N33" s="107">
        <v>52843.591257975997</v>
      </c>
      <c r="O33" s="139">
        <v>51553.30771519</v>
      </c>
    </row>
    <row r="34" spans="3:15" ht="13" customHeight="1" x14ac:dyDescent="0.3">
      <c r="C34" s="221"/>
      <c r="D34" s="67"/>
      <c r="E34" s="13"/>
      <c r="F34" s="13"/>
      <c r="G34" s="49"/>
      <c r="N34" s="107"/>
      <c r="O34" s="139"/>
    </row>
    <row r="35" spans="3:15" ht="13" customHeight="1" x14ac:dyDescent="0.3">
      <c r="C35" s="229" t="str">
        <f>VLOOKUP(47,Textbausteine_305[],Hilfsgrössen!$D$2,FALSE)</f>
        <v>Par scope et source d'énergie</v>
      </c>
      <c r="D35" s="67"/>
      <c r="E35" s="13"/>
      <c r="F35" s="11"/>
      <c r="G35" s="50"/>
      <c r="N35" s="107"/>
      <c r="O35" s="139"/>
    </row>
    <row r="36" spans="3:15" ht="13" customHeight="1" x14ac:dyDescent="0.3">
      <c r="C36" s="19" t="str">
        <f>VLOOKUP(48,Textbausteine_305[],Hilfsgrössen!$D$2,FALSE)</f>
        <v>Emissions de gaz à effet de serre (scopes 1−3)</v>
      </c>
      <c r="D36" s="67" t="str">
        <f>VLOOKUP(11,Textbausteine_305[],Hilfsgrössen!$D$2,FALSE)</f>
        <v>Equivalent de tonnes de CO2</v>
      </c>
      <c r="E36" s="13">
        <v>2</v>
      </c>
      <c r="F36" s="11"/>
      <c r="G36" s="50"/>
      <c r="H36" s="107">
        <v>478253</v>
      </c>
      <c r="I36" s="107">
        <v>463248</v>
      </c>
      <c r="J36" s="107">
        <v>478020</v>
      </c>
      <c r="K36" s="107">
        <v>449174</v>
      </c>
      <c r="L36" s="107">
        <v>442202</v>
      </c>
      <c r="M36" s="107">
        <v>440728</v>
      </c>
      <c r="N36" s="107">
        <v>446151.36167582998</v>
      </c>
      <c r="O36" s="139">
        <v>436549.74852076999</v>
      </c>
    </row>
    <row r="37" spans="3:15" ht="13" customHeight="1" x14ac:dyDescent="0.3">
      <c r="C37" s="220" t="str">
        <f>VLOOKUP(49,Textbausteine_305[],Hilfsgrössen!$D$2,FALSE)</f>
        <v>Emissions directes de gaz à effet de serre (scope 1)</v>
      </c>
      <c r="D37" s="67" t="str">
        <f>VLOOKUP(11,Textbausteine_305[],Hilfsgrössen!$D$2,FALSE)</f>
        <v>Equivalent de tonnes de CO2</v>
      </c>
      <c r="E37" s="11">
        <v>2</v>
      </c>
      <c r="F37" s="13" t="s">
        <v>762</v>
      </c>
      <c r="G37" s="49"/>
      <c r="H37" s="107">
        <f>SUM(H38,H41,H46)</f>
        <v>185849</v>
      </c>
      <c r="I37" s="107">
        <f t="shared" ref="I37:O37" si="3">SUM(I38,I41,I46)</f>
        <v>185453</v>
      </c>
      <c r="J37" s="107">
        <f t="shared" si="3"/>
        <v>192155</v>
      </c>
      <c r="K37" s="107">
        <f t="shared" si="3"/>
        <v>193196</v>
      </c>
      <c r="L37" s="107">
        <f t="shared" si="3"/>
        <v>189053</v>
      </c>
      <c r="M37" s="107">
        <f t="shared" si="3"/>
        <v>187641</v>
      </c>
      <c r="N37" s="107">
        <f t="shared" si="3"/>
        <v>192641.19787531687</v>
      </c>
      <c r="O37" s="139">
        <f t="shared" si="3"/>
        <v>188244.99781373318</v>
      </c>
    </row>
    <row r="38" spans="3:15" ht="13" customHeight="1" x14ac:dyDescent="0.3">
      <c r="C38" s="227" t="str">
        <f>VLOOKUP(50,Textbausteine_305[],Hilfsgrössen!$D$2,FALSE)</f>
        <v>Consommation de combustibles dans des sources stationnaires</v>
      </c>
      <c r="D38" s="67" t="str">
        <f>VLOOKUP(11,Textbausteine_305[],Hilfsgrössen!$D$2,FALSE)</f>
        <v>Equivalent de tonnes de CO2</v>
      </c>
      <c r="E38" s="13">
        <v>2</v>
      </c>
      <c r="F38" s="13"/>
      <c r="G38" s="49"/>
      <c r="H38" s="107">
        <f>SUM(H39:H40)</f>
        <v>20126</v>
      </c>
      <c r="I38" s="107">
        <f t="shared" ref="I38:O38" si="4">SUM(I39:I40)</f>
        <v>17464</v>
      </c>
      <c r="J38" s="107">
        <f t="shared" si="4"/>
        <v>19103</v>
      </c>
      <c r="K38" s="107">
        <f t="shared" si="4"/>
        <v>15440</v>
      </c>
      <c r="L38" s="107">
        <f t="shared" si="4"/>
        <v>12813</v>
      </c>
      <c r="M38" s="107">
        <f t="shared" si="4"/>
        <v>11798</v>
      </c>
      <c r="N38" s="107">
        <f t="shared" si="4"/>
        <v>11006.4913754591</v>
      </c>
      <c r="O38" s="139">
        <f t="shared" si="4"/>
        <v>10301.424542107599</v>
      </c>
    </row>
    <row r="39" spans="3:15" ht="13" customHeight="1" x14ac:dyDescent="0.3">
      <c r="C39" s="230" t="str">
        <f>VLOOKUP(51,Textbausteine_305[],Hilfsgrössen!$D$2,FALSE)</f>
        <v>Mazout</v>
      </c>
      <c r="D39" s="67" t="str">
        <f>VLOOKUP(11,Textbausteine_305[],Hilfsgrössen!$D$2,FALSE)</f>
        <v>Equivalent de tonnes de CO2</v>
      </c>
      <c r="E39" s="13">
        <v>2</v>
      </c>
      <c r="F39" s="11"/>
      <c r="G39" s="50"/>
      <c r="H39" s="107">
        <v>16214</v>
      </c>
      <c r="I39" s="107">
        <v>13558</v>
      </c>
      <c r="J39" s="107">
        <v>13894</v>
      </c>
      <c r="K39" s="107">
        <v>11623</v>
      </c>
      <c r="L39" s="107">
        <v>8904</v>
      </c>
      <c r="M39" s="107">
        <v>8177</v>
      </c>
      <c r="N39" s="107">
        <v>7550.8390116191003</v>
      </c>
      <c r="O39" s="139">
        <v>7442.7899666116</v>
      </c>
    </row>
    <row r="40" spans="3:15" ht="13" customHeight="1" x14ac:dyDescent="0.3">
      <c r="C40" s="230" t="str">
        <f>VLOOKUP(52,Textbausteine_305[],Hilfsgrössen!$D$2,FALSE)</f>
        <v>Gaz naturel</v>
      </c>
      <c r="D40" s="67" t="str">
        <f>VLOOKUP(11,Textbausteine_305[],Hilfsgrössen!$D$2,FALSE)</f>
        <v>Equivalent de tonnes de CO2</v>
      </c>
      <c r="E40" s="13">
        <v>2</v>
      </c>
      <c r="F40" s="11"/>
      <c r="G40" s="50"/>
      <c r="H40" s="107">
        <v>3912</v>
      </c>
      <c r="I40" s="107">
        <v>3906</v>
      </c>
      <c r="J40" s="107">
        <v>5209</v>
      </c>
      <c r="K40" s="107">
        <v>3817</v>
      </c>
      <c r="L40" s="107">
        <v>3909</v>
      </c>
      <c r="M40" s="107">
        <v>3621</v>
      </c>
      <c r="N40" s="107">
        <v>3455.6523638399999</v>
      </c>
      <c r="O40" s="139">
        <v>2858.6345754959998</v>
      </c>
    </row>
    <row r="41" spans="3:15" ht="13" customHeight="1" x14ac:dyDescent="0.3">
      <c r="C41" s="227" t="str">
        <f>VLOOKUP(53,Textbausteine_305[],Hilfsgrössen!$D$2,FALSE)</f>
        <v>Consommation de combustibles dans des sources mobiles</v>
      </c>
      <c r="D41" s="67" t="str">
        <f>VLOOKUP(11,Textbausteine_305[],Hilfsgrössen!$D$2,FALSE)</f>
        <v>Equivalent de tonnes de CO2</v>
      </c>
      <c r="E41" s="13">
        <v>2</v>
      </c>
      <c r="F41" s="11"/>
      <c r="G41" s="49"/>
      <c r="H41" s="107">
        <f>SUM(H42:H45)</f>
        <v>163272</v>
      </c>
      <c r="I41" s="107">
        <f t="shared" ref="I41:O41" si="5">SUM(I42:I45)</f>
        <v>165441</v>
      </c>
      <c r="J41" s="107">
        <f t="shared" si="5"/>
        <v>169622</v>
      </c>
      <c r="K41" s="107">
        <f t="shared" si="5"/>
        <v>174272</v>
      </c>
      <c r="L41" s="107">
        <f t="shared" si="5"/>
        <v>173201</v>
      </c>
      <c r="M41" s="107">
        <f t="shared" si="5"/>
        <v>172948</v>
      </c>
      <c r="N41" s="107">
        <f t="shared" si="5"/>
        <v>178396.75396665776</v>
      </c>
      <c r="O41" s="139">
        <f t="shared" si="5"/>
        <v>175293.1393274256</v>
      </c>
    </row>
    <row r="42" spans="3:15" ht="13" customHeight="1" x14ac:dyDescent="0.3">
      <c r="C42" s="230" t="str">
        <f>VLOOKUP(54,Textbausteine_305[],Hilfsgrössen!$D$2,FALSE)</f>
        <v>Diesel</v>
      </c>
      <c r="D42" s="67" t="str">
        <f>VLOOKUP(11,Textbausteine_305[],Hilfsgrössen!$D$2,FALSE)</f>
        <v>Equivalent de tonnes de CO2</v>
      </c>
      <c r="E42" s="13">
        <v>2</v>
      </c>
      <c r="F42" s="11"/>
      <c r="G42" s="49"/>
      <c r="H42" s="107">
        <v>146619</v>
      </c>
      <c r="I42" s="107">
        <v>150819</v>
      </c>
      <c r="J42" s="107">
        <v>156985</v>
      </c>
      <c r="K42" s="107">
        <v>163944</v>
      </c>
      <c r="L42" s="107">
        <v>163663</v>
      </c>
      <c r="M42" s="107">
        <v>164237</v>
      </c>
      <c r="N42" s="107">
        <v>170963.39839305999</v>
      </c>
      <c r="O42" s="139">
        <v>168687.06480912</v>
      </c>
    </row>
    <row r="43" spans="3:15" ht="13" customHeight="1" x14ac:dyDescent="0.3">
      <c r="C43" s="230" t="str">
        <f>VLOOKUP(55,Textbausteine_305[],Hilfsgrössen!$D$2,FALSE)</f>
        <v>Essence</v>
      </c>
      <c r="D43" s="67" t="str">
        <f>VLOOKUP(11,Textbausteine_305[],Hilfsgrössen!$D$2,FALSE)</f>
        <v>Equivalent de tonnes de CO2</v>
      </c>
      <c r="E43" s="11">
        <v>2</v>
      </c>
      <c r="F43" s="11"/>
      <c r="G43" s="49"/>
      <c r="H43" s="107">
        <v>13268</v>
      </c>
      <c r="I43" s="107">
        <v>11980</v>
      </c>
      <c r="J43" s="107">
        <v>11619</v>
      </c>
      <c r="K43" s="107">
        <v>9409</v>
      </c>
      <c r="L43" s="107">
        <v>8699</v>
      </c>
      <c r="M43" s="107">
        <v>7928</v>
      </c>
      <c r="N43" s="107">
        <v>7091.1867565030998</v>
      </c>
      <c r="O43" s="139">
        <v>6461.1271408374996</v>
      </c>
    </row>
    <row r="44" spans="3:15" ht="13" customHeight="1" x14ac:dyDescent="0.3">
      <c r="C44" s="230" t="str">
        <f>VLOOKUP(56,Textbausteine_305[],Hilfsgrössen!$D$2,FALSE)</f>
        <v>Gaz naturel</v>
      </c>
      <c r="D44" s="67" t="str">
        <f>VLOOKUP(11,Textbausteine_305[],Hilfsgrössen!$D$2,FALSE)</f>
        <v>Equivalent de tonnes de CO2</v>
      </c>
      <c r="E44" s="11">
        <v>2</v>
      </c>
      <c r="F44" s="13"/>
      <c r="G44" s="49"/>
      <c r="H44" s="107">
        <v>3385</v>
      </c>
      <c r="I44" s="107">
        <v>2642</v>
      </c>
      <c r="J44" s="107">
        <v>1018</v>
      </c>
      <c r="K44" s="107">
        <v>919</v>
      </c>
      <c r="L44" s="107">
        <v>839</v>
      </c>
      <c r="M44" s="107">
        <v>783</v>
      </c>
      <c r="N44" s="107">
        <v>342.16881709466003</v>
      </c>
      <c r="O44" s="139">
        <v>144.94737746812001</v>
      </c>
    </row>
    <row r="45" spans="3:15" ht="13" customHeight="1" x14ac:dyDescent="0.3">
      <c r="C45" s="230" t="str">
        <f>VLOOKUP(57,Textbausteine_305[],Hilfsgrössen!$D$2,FALSE)</f>
        <v>Hydrogène</v>
      </c>
      <c r="D45" s="67" t="str">
        <f>VLOOKUP(11,Textbausteine_305[],Hilfsgrössen!$D$2,FALSE)</f>
        <v>Equivalent de tonnes de CO2</v>
      </c>
      <c r="E45" s="11">
        <v>2</v>
      </c>
      <c r="F45" s="11"/>
      <c r="G45" s="49"/>
      <c r="H45" s="107" t="s">
        <v>1595</v>
      </c>
      <c r="I45" s="107" t="s">
        <v>1595</v>
      </c>
      <c r="J45" s="107" t="s">
        <v>1595</v>
      </c>
      <c r="K45" s="107">
        <v>0</v>
      </c>
      <c r="L45" s="107">
        <v>0</v>
      </c>
      <c r="M45" s="107">
        <v>0</v>
      </c>
      <c r="N45" s="107">
        <v>0</v>
      </c>
      <c r="O45" s="139" t="s">
        <v>1595</v>
      </c>
    </row>
    <row r="46" spans="3:15" ht="13" customHeight="1" x14ac:dyDescent="0.3">
      <c r="C46" s="227" t="str">
        <f>VLOOKUP(58,Textbausteine_305[],Hilfsgrössen!$D$2,FALSE)</f>
        <v>Emissions fugitives</v>
      </c>
      <c r="D46" s="67" t="str">
        <f>VLOOKUP(11,Textbausteine_305[],Hilfsgrössen!$D$2,FALSE)</f>
        <v>Equivalent de tonnes de CO2</v>
      </c>
      <c r="E46" s="11">
        <v>2</v>
      </c>
      <c r="F46" s="11"/>
      <c r="G46" s="50"/>
      <c r="H46" s="107">
        <f>SUM(H47)</f>
        <v>2451</v>
      </c>
      <c r="I46" s="107">
        <f t="shared" ref="I46:N46" si="6">SUM(I47)</f>
        <v>2548</v>
      </c>
      <c r="J46" s="107">
        <f t="shared" si="6"/>
        <v>3430</v>
      </c>
      <c r="K46" s="107">
        <f t="shared" si="6"/>
        <v>3484</v>
      </c>
      <c r="L46" s="107">
        <f t="shared" si="6"/>
        <v>3039</v>
      </c>
      <c r="M46" s="107">
        <f t="shared" si="6"/>
        <v>2895</v>
      </c>
      <c r="N46" s="107">
        <f t="shared" si="6"/>
        <v>3237.9525331999998</v>
      </c>
      <c r="O46" s="139">
        <f t="shared" ref="O46" si="7">SUM(O47)</f>
        <v>2650.4339442</v>
      </c>
    </row>
    <row r="47" spans="3:15" ht="13" customHeight="1" x14ac:dyDescent="0.3">
      <c r="C47" s="230" t="str">
        <f>VLOOKUP(59,Textbausteine_305[],Hilfsgrössen!$D$2,FALSE)</f>
        <v>Climatisation</v>
      </c>
      <c r="D47" s="67" t="str">
        <f>VLOOKUP(11,Textbausteine_305[],Hilfsgrössen!$D$2,FALSE)</f>
        <v>Equivalent de tonnes de CO2</v>
      </c>
      <c r="E47" s="11">
        <v>2</v>
      </c>
      <c r="F47" s="13"/>
      <c r="G47" s="49"/>
      <c r="H47" s="107">
        <v>2451</v>
      </c>
      <c r="I47" s="107">
        <v>2548</v>
      </c>
      <c r="J47" s="107">
        <v>3430</v>
      </c>
      <c r="K47" s="107">
        <v>3484</v>
      </c>
      <c r="L47" s="107">
        <v>3039</v>
      </c>
      <c r="M47" s="107">
        <v>2895</v>
      </c>
      <c r="N47" s="107">
        <v>3237.9525331999998</v>
      </c>
      <c r="O47" s="139">
        <v>2650.4339442</v>
      </c>
    </row>
    <row r="48" spans="3:15" ht="13" customHeight="1" x14ac:dyDescent="0.3">
      <c r="C48" s="220" t="str">
        <f>VLOOKUP(60,Textbausteine_305[],Hilfsgrössen!$D$2,FALSE)</f>
        <v>Emissions indirectes de gaz à effet de serre liées à l'énergie (scope 2)</v>
      </c>
      <c r="D48" s="67" t="str">
        <f>VLOOKUP(11,Textbausteine_305[],Hilfsgrössen!$D$2,FALSE)</f>
        <v>Equivalent de tonnes de CO2</v>
      </c>
      <c r="E48" s="11">
        <v>2</v>
      </c>
      <c r="F48" s="11" t="s">
        <v>763</v>
      </c>
      <c r="G48" s="49"/>
      <c r="H48" s="107">
        <f>SUM(H49,H52)</f>
        <v>29629</v>
      </c>
      <c r="I48" s="107">
        <f t="shared" ref="I48:O48" si="8">SUM(I49,I52)</f>
        <v>22212</v>
      </c>
      <c r="J48" s="107">
        <f t="shared" si="8"/>
        <v>22623</v>
      </c>
      <c r="K48" s="107">
        <f t="shared" si="8"/>
        <v>21684</v>
      </c>
      <c r="L48" s="107">
        <f t="shared" si="8"/>
        <v>23332</v>
      </c>
      <c r="M48" s="107">
        <f t="shared" si="8"/>
        <v>22217</v>
      </c>
      <c r="N48" s="107">
        <f t="shared" si="8"/>
        <v>20147.061374623499</v>
      </c>
      <c r="O48" s="139">
        <f t="shared" si="8"/>
        <v>20123.486884443701</v>
      </c>
    </row>
    <row r="49" spans="2:79" ht="13" customHeight="1" x14ac:dyDescent="0.3">
      <c r="C49" s="231" t="str">
        <f>VLOOKUP(61,Textbausteine_305[],Hilfsgrössen!$D$2,FALSE)</f>
        <v>Electricité</v>
      </c>
      <c r="D49" s="195" t="str">
        <f>VLOOKUP(11,Textbausteine_305[],Hilfsgrössen!$D$2,FALSE)</f>
        <v>Equivalent de tonnes de CO2</v>
      </c>
      <c r="E49" s="11">
        <v>1</v>
      </c>
      <c r="F49" s="11"/>
      <c r="G49" s="50"/>
      <c r="H49" s="107">
        <f>H51</f>
        <v>27408</v>
      </c>
      <c r="I49" s="107">
        <f t="shared" ref="I49:O49" si="9">I51</f>
        <v>20619</v>
      </c>
      <c r="J49" s="107">
        <f t="shared" si="9"/>
        <v>20766</v>
      </c>
      <c r="K49" s="107">
        <f t="shared" si="9"/>
        <v>20037</v>
      </c>
      <c r="L49" s="107">
        <f t="shared" si="9"/>
        <v>21547</v>
      </c>
      <c r="M49" s="107">
        <f t="shared" si="9"/>
        <v>20348</v>
      </c>
      <c r="N49" s="107">
        <f t="shared" si="9"/>
        <v>18403.540674961001</v>
      </c>
      <c r="O49" s="139">
        <f t="shared" si="9"/>
        <v>18532.772471717999</v>
      </c>
    </row>
    <row r="50" spans="2:79" ht="13" customHeight="1" x14ac:dyDescent="0.3">
      <c r="C50" s="232" t="str">
        <f>VLOOKUP(62,Textbausteine_305[],Hilfsgrössen!$D$2,FALSE)</f>
        <v>Emissions liées à des sites</v>
      </c>
      <c r="D50" s="196" t="str">
        <f>VLOOKUP(11,Textbausteine_305[],Hilfsgrössen!$D$2,FALSE)</f>
        <v>Equivalent de tonnes de CO2</v>
      </c>
      <c r="E50" s="11">
        <v>2</v>
      </c>
      <c r="F50" s="11"/>
      <c r="G50" s="49"/>
      <c r="H50" s="107">
        <f>H51/0.95</f>
        <v>28850.526315789473</v>
      </c>
      <c r="I50" s="107">
        <f>I51/0.95</f>
        <v>21704.21052631579</v>
      </c>
      <c r="J50" s="107">
        <f>J51/0.95</f>
        <v>21858.947368421053</v>
      </c>
      <c r="K50" s="107">
        <f t="shared" ref="K50" si="10">K51/0.95</f>
        <v>21091.578947368424</v>
      </c>
      <c r="L50" s="107">
        <f>L51/0.95</f>
        <v>22681.05263157895</v>
      </c>
      <c r="M50" s="107">
        <f>M51/0.95</f>
        <v>21418.947368421053</v>
      </c>
      <c r="N50" s="107">
        <f>N51/0.9</f>
        <v>20448.378527734447</v>
      </c>
      <c r="O50" s="139">
        <f>O51/0.9</f>
        <v>20591.969413019997</v>
      </c>
    </row>
    <row r="51" spans="2:79" ht="13" customHeight="1" x14ac:dyDescent="0.3">
      <c r="C51" s="232" t="str">
        <f>VLOOKUP(63,Textbausteine_305[],Hilfsgrössen!$D$2,FALSE)</f>
        <v>Emissions basées sur le marché</v>
      </c>
      <c r="D51" s="195" t="str">
        <f>VLOOKUP(11,Textbausteine_305[],Hilfsgrössen!$D$2,FALSE)</f>
        <v>Equivalent de tonnes de CO2</v>
      </c>
      <c r="E51" s="11">
        <v>2</v>
      </c>
      <c r="F51" s="11"/>
      <c r="G51" s="49"/>
      <c r="H51" s="107">
        <v>27408</v>
      </c>
      <c r="I51" s="107">
        <v>20619</v>
      </c>
      <c r="J51" s="107">
        <v>20766</v>
      </c>
      <c r="K51" s="107">
        <v>20037</v>
      </c>
      <c r="L51" s="107">
        <v>21547</v>
      </c>
      <c r="M51" s="107">
        <v>20348</v>
      </c>
      <c r="N51" s="107">
        <v>18403.540674961001</v>
      </c>
      <c r="O51" s="139">
        <v>18532.772471717999</v>
      </c>
    </row>
    <row r="52" spans="2:79" ht="13" customHeight="1" x14ac:dyDescent="0.3">
      <c r="C52" s="227" t="str">
        <f>VLOOKUP(64,Textbausteine_305[],Hilfsgrössen!$D$2,FALSE)</f>
        <v>Chaleur à distance</v>
      </c>
      <c r="D52" s="67" t="str">
        <f>VLOOKUP(11,Textbausteine_305[],Hilfsgrössen!$D$2,FALSE)</f>
        <v>Equivalent de tonnes de CO2</v>
      </c>
      <c r="E52" s="11">
        <v>2</v>
      </c>
      <c r="F52" s="11"/>
      <c r="G52" s="49"/>
      <c r="H52" s="107">
        <v>2221</v>
      </c>
      <c r="I52" s="107">
        <v>1593</v>
      </c>
      <c r="J52" s="107">
        <v>1857</v>
      </c>
      <c r="K52" s="107">
        <v>1647</v>
      </c>
      <c r="L52" s="107">
        <v>1785</v>
      </c>
      <c r="M52" s="107">
        <v>1869</v>
      </c>
      <c r="N52" s="107">
        <v>1743.5206996625</v>
      </c>
      <c r="O52" s="139">
        <v>1590.7144127257</v>
      </c>
    </row>
    <row r="53" spans="2:79" ht="13" customHeight="1" x14ac:dyDescent="0.3">
      <c r="C53" s="233" t="str">
        <f>VLOOKUP(65,Textbausteine_305[],Hilfsgrössen!$D$2,FALSE)</f>
        <v>Autres émissions indirectes importantes de gaz à effet de serre (scope 3)</v>
      </c>
      <c r="D53" s="195" t="str">
        <f>VLOOKUP(11,Textbausteine_305[],Hilfsgrössen!$D$2,FALSE)</f>
        <v>Equivalent de tonnes de CO2</v>
      </c>
      <c r="E53" s="11">
        <v>2</v>
      </c>
      <c r="F53" s="11" t="s">
        <v>764</v>
      </c>
      <c r="G53" s="49"/>
      <c r="H53" s="107">
        <f>SUM(H54:H61)</f>
        <v>262780</v>
      </c>
      <c r="I53" s="107">
        <f t="shared" ref="I53:O53" si="11">SUM(I54:I61)</f>
        <v>255588</v>
      </c>
      <c r="J53" s="107">
        <f t="shared" si="11"/>
        <v>263248</v>
      </c>
      <c r="K53" s="107">
        <f t="shared" si="11"/>
        <v>234297</v>
      </c>
      <c r="L53" s="107">
        <f t="shared" si="11"/>
        <v>229821</v>
      </c>
      <c r="M53" s="107">
        <f t="shared" si="11"/>
        <v>230873</v>
      </c>
      <c r="N53" s="107">
        <f t="shared" si="11"/>
        <v>233366.53409199772</v>
      </c>
      <c r="O53" s="139">
        <f t="shared" si="11"/>
        <v>228181.89127211153</v>
      </c>
    </row>
    <row r="54" spans="2:79" ht="13" customHeight="1" x14ac:dyDescent="0.3">
      <c r="C54" s="231" t="str">
        <f>VLOOKUP(66,Textbausteine_305[],Hilfsgrössen!$D$2,FALSE)</f>
        <v>Marchandises et prestations achetées</v>
      </c>
      <c r="D54" s="195" t="str">
        <f>VLOOKUP(11,Textbausteine_305[],Hilfsgrössen!$D$2,FALSE)</f>
        <v>Equivalent de tonnes de CO2</v>
      </c>
      <c r="E54" s="11">
        <v>2</v>
      </c>
      <c r="F54" s="11" t="s">
        <v>764</v>
      </c>
      <c r="G54" s="49"/>
      <c r="H54" s="107">
        <v>11561</v>
      </c>
      <c r="I54" s="107">
        <v>11429</v>
      </c>
      <c r="J54" s="107">
        <v>11273</v>
      </c>
      <c r="K54" s="107">
        <v>8109</v>
      </c>
      <c r="L54" s="107">
        <v>7935</v>
      </c>
      <c r="M54" s="107">
        <v>7751</v>
      </c>
      <c r="N54" s="107">
        <v>5846.7021988427996</v>
      </c>
      <c r="O54" s="139">
        <v>6468.4043745774998</v>
      </c>
    </row>
    <row r="55" spans="2:79" ht="13" customHeight="1" x14ac:dyDescent="0.3">
      <c r="C55" s="234" t="str">
        <f>VLOOKUP(67,Textbausteine_305[],Hilfsgrössen!$D$2,FALSE)</f>
        <v>Activités liées aux carburants et à l'énergie</v>
      </c>
      <c r="D55" s="195" t="str">
        <f>VLOOKUP(11,Textbausteine_305[],Hilfsgrössen!$D$2,FALSE)</f>
        <v>Equivalent de tonnes de CO2</v>
      </c>
      <c r="E55" s="11">
        <v>2</v>
      </c>
      <c r="F55" s="11" t="s">
        <v>764</v>
      </c>
      <c r="G55" s="49"/>
      <c r="H55" s="107">
        <v>51104</v>
      </c>
      <c r="I55" s="107">
        <v>50138</v>
      </c>
      <c r="J55" s="107">
        <v>51217</v>
      </c>
      <c r="K55" s="107">
        <v>50269</v>
      </c>
      <c r="L55" s="107">
        <v>50583</v>
      </c>
      <c r="M55" s="107">
        <v>49794</v>
      </c>
      <c r="N55" s="107">
        <v>49424.781135725003</v>
      </c>
      <c r="O55" s="139">
        <v>48210.135412317999</v>
      </c>
    </row>
    <row r="56" spans="2:79" ht="13" customHeight="1" x14ac:dyDescent="0.3">
      <c r="C56" s="234" t="str">
        <f>VLOOKUP(68,Textbausteine_305[],Hilfsgrössen!$D$2,FALSE)</f>
        <v>Transport et tri en amont</v>
      </c>
      <c r="D56" s="195" t="str">
        <f>VLOOKUP(11,Textbausteine_305[],Hilfsgrössen!$D$2,FALSE)</f>
        <v>Equivalent de tonnes de CO2</v>
      </c>
      <c r="E56" s="11">
        <v>2</v>
      </c>
      <c r="F56" s="11" t="s">
        <v>764</v>
      </c>
      <c r="G56" s="49"/>
      <c r="H56" s="107">
        <v>33132</v>
      </c>
      <c r="I56" s="107">
        <v>33239</v>
      </c>
      <c r="J56" s="107">
        <v>34185</v>
      </c>
      <c r="K56" s="107">
        <v>38947</v>
      </c>
      <c r="L56" s="107">
        <v>40234</v>
      </c>
      <c r="M56" s="107">
        <v>41955</v>
      </c>
      <c r="N56" s="107">
        <v>45209.997170551003</v>
      </c>
      <c r="O56" s="139">
        <v>46537.042657386999</v>
      </c>
    </row>
    <row r="57" spans="2:79" ht="13" customHeight="1" x14ac:dyDescent="0.3">
      <c r="C57" s="231" t="str">
        <f>VLOOKUP(69,Textbausteine_305[],Hilfsgrössen!$D$2,FALSE)</f>
        <v>Déchets produits dans le cadre d'activités opérationnelles</v>
      </c>
      <c r="D57" s="195" t="str">
        <f>VLOOKUP(11,Textbausteine_305[],Hilfsgrössen!$D$2,FALSE)</f>
        <v>Equivalent de tonnes de CO2</v>
      </c>
      <c r="E57" s="13">
        <v>2</v>
      </c>
      <c r="F57" s="11" t="s">
        <v>764</v>
      </c>
      <c r="G57" s="49"/>
      <c r="H57" s="107">
        <v>9353</v>
      </c>
      <c r="I57" s="107">
        <v>9170</v>
      </c>
      <c r="J57" s="107">
        <v>9320</v>
      </c>
      <c r="K57" s="107">
        <v>9129</v>
      </c>
      <c r="L57" s="107">
        <v>9243</v>
      </c>
      <c r="M57" s="107">
        <v>9158</v>
      </c>
      <c r="N57" s="107">
        <v>9047.3568552236993</v>
      </c>
      <c r="O57" s="139">
        <v>8813.1983539383</v>
      </c>
    </row>
    <row r="58" spans="2:79" ht="13" customHeight="1" x14ac:dyDescent="0.3">
      <c r="C58" s="231" t="str">
        <f>VLOOKUP(70,Textbausteine_305[],Hilfsgrössen!$D$2,FALSE)</f>
        <v>Déplacements professionnels</v>
      </c>
      <c r="D58" s="195" t="str">
        <f>VLOOKUP(11,Textbausteine_305[],Hilfsgrössen!$D$2,FALSE)</f>
        <v>Equivalent de tonnes de CO2</v>
      </c>
      <c r="E58" s="13">
        <v>2</v>
      </c>
      <c r="F58" s="11" t="s">
        <v>764</v>
      </c>
      <c r="G58" s="49"/>
      <c r="H58" s="107">
        <v>399</v>
      </c>
      <c r="I58" s="107">
        <v>630</v>
      </c>
      <c r="J58" s="107">
        <v>624</v>
      </c>
      <c r="K58" s="107">
        <v>429</v>
      </c>
      <c r="L58" s="107">
        <v>488</v>
      </c>
      <c r="M58" s="107">
        <v>530</v>
      </c>
      <c r="N58" s="107">
        <v>595.11857555518998</v>
      </c>
      <c r="O58" s="139">
        <v>750.00902377274997</v>
      </c>
    </row>
    <row r="59" spans="2:79" ht="13" customHeight="1" x14ac:dyDescent="0.3">
      <c r="C59" s="231" t="str">
        <f>VLOOKUP(71,Textbausteine_305[],Hilfsgrössen!$D$2,FALSE)</f>
        <v>Trafic pendulaire</v>
      </c>
      <c r="D59" s="195" t="str">
        <f>VLOOKUP(11,Textbausteine_305[],Hilfsgrössen!$D$2,FALSE)</f>
        <v>Equivalent de tonnes de CO2</v>
      </c>
      <c r="E59" s="13">
        <v>2</v>
      </c>
      <c r="F59" s="11" t="s">
        <v>764</v>
      </c>
      <c r="G59" s="49"/>
      <c r="H59" s="107">
        <v>52549</v>
      </c>
      <c r="I59" s="107">
        <v>51756</v>
      </c>
      <c r="J59" s="107">
        <v>51801</v>
      </c>
      <c r="K59" s="107">
        <v>53659</v>
      </c>
      <c r="L59" s="107">
        <v>55802</v>
      </c>
      <c r="M59" s="107">
        <v>55474</v>
      </c>
      <c r="N59" s="107">
        <v>52843.591257975997</v>
      </c>
      <c r="O59" s="139">
        <v>51553.30771519</v>
      </c>
    </row>
    <row r="60" spans="2:79" ht="13" customHeight="1" x14ac:dyDescent="0.3">
      <c r="C60" s="231" t="str">
        <f>VLOOKUP(72,Textbausteine_305[],Hilfsgrössen!$D$2,FALSE)</f>
        <v>Biens économiques loués en amont</v>
      </c>
      <c r="D60" s="195" t="str">
        <f>VLOOKUP(11,Textbausteine_305[],Hilfsgrössen!$D$2,FALSE)</f>
        <v>Equivalent de tonnes de CO2</v>
      </c>
      <c r="E60" s="11">
        <v>2</v>
      </c>
      <c r="F60" s="11" t="s">
        <v>764</v>
      </c>
      <c r="G60" s="49"/>
      <c r="H60" s="107">
        <v>27213</v>
      </c>
      <c r="I60" s="107">
        <v>22799</v>
      </c>
      <c r="J60" s="107">
        <v>18726</v>
      </c>
      <c r="K60" s="107">
        <v>18400</v>
      </c>
      <c r="L60" s="107">
        <v>14739</v>
      </c>
      <c r="M60" s="107">
        <v>14616</v>
      </c>
      <c r="N60" s="107">
        <v>14878.921580593</v>
      </c>
      <c r="O60" s="139">
        <v>15478.9177224</v>
      </c>
    </row>
    <row r="61" spans="2:79" ht="13" customHeight="1" x14ac:dyDescent="0.3">
      <c r="C61" s="231" t="str">
        <f>VLOOKUP(73,Textbausteine_305[],Hilfsgrössen!$D$2,FALSE)</f>
        <v>Transport et distribution en aval</v>
      </c>
      <c r="D61" s="195" t="str">
        <f>VLOOKUP(11,Textbausteine_305[],Hilfsgrössen!$D$2,FALSE)</f>
        <v>Equivalent de tonnes de CO2</v>
      </c>
      <c r="E61" s="11">
        <v>2</v>
      </c>
      <c r="F61" s="11" t="s">
        <v>764</v>
      </c>
      <c r="G61" s="49"/>
      <c r="H61" s="107">
        <v>77469</v>
      </c>
      <c r="I61" s="107">
        <v>76427</v>
      </c>
      <c r="J61" s="107">
        <v>86102</v>
      </c>
      <c r="K61" s="107">
        <v>55355</v>
      </c>
      <c r="L61" s="107">
        <v>50797</v>
      </c>
      <c r="M61" s="107">
        <v>51595</v>
      </c>
      <c r="N61" s="107">
        <v>55520.065317531</v>
      </c>
      <c r="O61" s="139">
        <v>50370.876012528002</v>
      </c>
    </row>
    <row r="62" spans="2:79" ht="13" customHeight="1" x14ac:dyDescent="0.3">
      <c r="E62" s="11"/>
      <c r="F62" s="11"/>
      <c r="G62" s="49"/>
      <c r="N62" s="107"/>
      <c r="O62" s="103"/>
    </row>
    <row r="63" spans="2:79" ht="13" customHeight="1" x14ac:dyDescent="0.3">
      <c r="B63" s="21" t="str">
        <f>VLOOKUP(131,Textbausteine_305[],Hilfsgrössen!$D$2,FALSE)</f>
        <v xml:space="preserve">1) L'électricité renouvelable est inscrite au bilan des émissions de gaz à effet de serre avec le mix énergétique acheté en Suisse. L'électricité certifiée «naturemade star» est inscrite au bilan sans impact sur le climat. </v>
      </c>
      <c r="E63" s="41"/>
      <c r="F63" s="41"/>
      <c r="G63" s="49"/>
      <c r="H63" s="103"/>
      <c r="I63" s="103"/>
      <c r="J63" s="103"/>
      <c r="K63" s="103"/>
      <c r="L63" s="103"/>
      <c r="M63" s="103"/>
      <c r="N63" s="103"/>
      <c r="O63" s="103"/>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row>
    <row r="64" spans="2:79" ht="13" customHeight="1" x14ac:dyDescent="0.3">
      <c r="B64" s="21" t="str">
        <f>VLOOKUP(132,Textbausteine_305[],Hilfsgrössen!$D$2,FALSE)</f>
        <v>2) Normes, méthodes et coefficients d'émission: protocole GHG, Revised Edition (2004), ISO 14064–1. L'approche du contrôle financier (Financial Control Approach) a été choisie comme approche de consolidation. Les coefficients d'émission sont tirés d'ecoinvent 2.2.</v>
      </c>
      <c r="E64" s="41"/>
      <c r="F64" s="41"/>
      <c r="G64" s="49"/>
      <c r="N64" s="107"/>
      <c r="O64" s="107"/>
    </row>
    <row r="65" spans="1:79" ht="13" customHeight="1" x14ac:dyDescent="0.3">
      <c r="B65" s="21" t="str">
        <f>VLOOKUP(133,Textbausteine_305[],Hilfsgrössen!$D$2,FALSE)</f>
        <v>3) Réduction du transport de marchandises par voie aérienne suite à l'externalisation du fret aérien dans Asendia.</v>
      </c>
      <c r="E65" s="41"/>
      <c r="F65" s="41"/>
      <c r="G65" s="51"/>
      <c r="N65" s="107"/>
      <c r="O65" s="107"/>
    </row>
    <row r="66" spans="1:79" ht="13" customHeight="1" x14ac:dyDescent="0.3">
      <c r="E66" s="42"/>
      <c r="F66" s="42"/>
      <c r="G66" s="51"/>
    </row>
    <row r="67" spans="1:79" ht="13" customHeight="1" x14ac:dyDescent="0.3">
      <c r="E67" s="43"/>
      <c r="F67" s="43"/>
      <c r="G67" s="52"/>
    </row>
    <row r="68" spans="1:79" ht="13" customHeight="1" x14ac:dyDescent="0.3">
      <c r="G68" s="52"/>
    </row>
    <row r="69" spans="1:79" s="31" customFormat="1" ht="13" customHeight="1" x14ac:dyDescent="0.3">
      <c r="A69" s="192" t="s">
        <v>900</v>
      </c>
      <c r="B69" s="385" t="str">
        <f>$C$8</f>
        <v>Intensité de gaz à effet de serre</v>
      </c>
      <c r="C69" s="385"/>
      <c r="D69" s="6" t="str">
        <f>VLOOKUP(32,Textbausteine_Menu[],Hilfsgrössen!$D$2,FALSE)</f>
        <v>Unité</v>
      </c>
      <c r="E69" s="39" t="str">
        <f>VLOOKUP(33,Textbausteine_Menu[],Hilfsgrössen!$D$2,FALSE)</f>
        <v>Notes</v>
      </c>
      <c r="F69" s="39" t="str">
        <f>VLOOKUP(34,Textbausteine_Menu[],Hilfsgrössen!$D$2,FALSE)</f>
        <v>GRI</v>
      </c>
      <c r="G69" s="53"/>
      <c r="H69" s="103">
        <v>2010</v>
      </c>
      <c r="I69" s="103">
        <v>2011</v>
      </c>
      <c r="J69" s="103">
        <v>2012</v>
      </c>
      <c r="K69" s="103">
        <v>2013</v>
      </c>
      <c r="L69" s="103">
        <v>2014</v>
      </c>
      <c r="M69" s="103">
        <v>2015</v>
      </c>
      <c r="N69" s="117">
        <v>2016</v>
      </c>
      <c r="O69" s="142">
        <v>2017</v>
      </c>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row>
    <row r="70" spans="1:79" s="31" customFormat="1" ht="13" customHeight="1" x14ac:dyDescent="0.3">
      <c r="A70" s="55"/>
      <c r="B70" s="385"/>
      <c r="C70" s="385"/>
      <c r="D70" s="6"/>
      <c r="E70" s="37"/>
      <c r="F70" s="37"/>
      <c r="G70" s="47"/>
      <c r="H70" s="107"/>
      <c r="I70" s="107"/>
      <c r="J70" s="107"/>
      <c r="K70" s="107"/>
      <c r="L70" s="107"/>
      <c r="M70" s="107"/>
      <c r="N70" s="20"/>
      <c r="O70" s="133"/>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row>
    <row r="71" spans="1:79" ht="13" customHeight="1" x14ac:dyDescent="0.3">
      <c r="B71" s="8"/>
      <c r="C71" s="9"/>
      <c r="D71" s="9"/>
      <c r="E71" s="40"/>
      <c r="F71" s="40"/>
      <c r="O71" s="133"/>
    </row>
    <row r="72" spans="1:79" ht="13" customHeight="1" x14ac:dyDescent="0.3">
      <c r="B72" s="8" t="str">
        <f>VLOOKUP(36,Textbausteine_Menu[],Hilfsgrössen!$D$2,FALSE)</f>
        <v>Groupe</v>
      </c>
      <c r="C72" s="8"/>
      <c r="D72" s="67"/>
      <c r="E72" s="40"/>
      <c r="F72" s="40"/>
      <c r="O72" s="133"/>
    </row>
    <row r="73" spans="1:79" ht="13" customHeight="1" x14ac:dyDescent="0.3">
      <c r="C73" s="18" t="str">
        <f>VLOOKUP(81,Textbausteine_305[],Hilfsgrössen!$D$2,FALSE)</f>
        <v>Intensité en CO2 de la création de valeur</v>
      </c>
      <c r="D73" s="67" t="str">
        <f>VLOOKUP(12,Textbausteine_305[],Hilfsgrössen!$D$2,FALSE)</f>
        <v>Equivalent de tonnes de CO2 par million de CHF</v>
      </c>
      <c r="E73" s="13"/>
      <c r="F73" s="11" t="s">
        <v>765</v>
      </c>
      <c r="G73" s="48"/>
      <c r="H73" s="363">
        <v>90.8</v>
      </c>
      <c r="I73" s="363">
        <v>89.3</v>
      </c>
      <c r="J73" s="363">
        <v>90</v>
      </c>
      <c r="K73" s="363">
        <v>79</v>
      </c>
      <c r="L73" s="363">
        <v>84.7</v>
      </c>
      <c r="M73" s="363">
        <v>84.4</v>
      </c>
      <c r="N73" s="364">
        <v>86.715522191608997</v>
      </c>
      <c r="O73" s="365">
        <v>86.214483577364405</v>
      </c>
    </row>
    <row r="74" spans="1:79" ht="13" customHeight="1" x14ac:dyDescent="0.3">
      <c r="C74" s="18" t="str">
        <f>VLOOKUP(82,Textbausteine_305[],Hilfsgrössen!$D$2,FALSE)</f>
        <v>Intensité en CO2 des produits d'exploitation</v>
      </c>
      <c r="D74" s="67" t="str">
        <f>VLOOKUP(12,Textbausteine_305[],Hilfsgrössen!$D$2,FALSE)</f>
        <v>Equivalent de tonnes de CO2 par million de CHF</v>
      </c>
      <c r="E74" s="39"/>
      <c r="F74" s="37" t="s">
        <v>765</v>
      </c>
      <c r="G74" s="48"/>
      <c r="H74" s="363">
        <v>54.7</v>
      </c>
      <c r="I74" s="363">
        <v>53.9</v>
      </c>
      <c r="J74" s="363">
        <v>55.7</v>
      </c>
      <c r="K74" s="363">
        <v>53</v>
      </c>
      <c r="L74" s="363">
        <v>52.3</v>
      </c>
      <c r="M74" s="363">
        <v>53.6</v>
      </c>
      <c r="N74" s="364">
        <v>54.488441826554002</v>
      </c>
      <c r="O74" s="365">
        <v>54.554651307999997</v>
      </c>
    </row>
    <row r="75" spans="1:79" ht="13" customHeight="1" x14ac:dyDescent="0.3">
      <c r="C75" s="18" t="str">
        <f>VLOOKUP(83,Textbausteine_305[],Hilfsgrössen!$D$2,FALSE)</f>
        <v>Intensité CO2 des postes de travail</v>
      </c>
      <c r="D75" s="67" t="str">
        <f>VLOOKUP(13,Textbausteine_305[],Hilfsgrössen!$D$2,FALSE)</f>
        <v xml:space="preserve">Equivalent de tonnes de CO2 par unité de personnel </v>
      </c>
      <c r="E75" s="13"/>
      <c r="F75" s="11" t="s">
        <v>765</v>
      </c>
      <c r="G75" s="49"/>
      <c r="H75" s="363">
        <v>10.6</v>
      </c>
      <c r="I75" s="363">
        <v>10.4</v>
      </c>
      <c r="J75" s="363">
        <v>10.7</v>
      </c>
      <c r="K75" s="363">
        <v>10.199999999999999</v>
      </c>
      <c r="L75" s="363">
        <v>9.9</v>
      </c>
      <c r="M75" s="363">
        <v>9.99</v>
      </c>
      <c r="N75" s="366">
        <v>10.261708102292999</v>
      </c>
      <c r="O75" s="367">
        <v>10.297000000000001</v>
      </c>
      <c r="P75" s="11"/>
    </row>
    <row r="76" spans="1:79" ht="13" customHeight="1" x14ac:dyDescent="0.3">
      <c r="B76" s="21"/>
      <c r="C76" s="229"/>
      <c r="D76" s="18"/>
      <c r="E76" s="13"/>
      <c r="F76" s="11"/>
      <c r="G76" s="46"/>
      <c r="N76" s="107"/>
      <c r="O76" s="107"/>
    </row>
    <row r="77" spans="1:79" ht="13" customHeight="1" x14ac:dyDescent="0.3">
      <c r="B77" s="21"/>
      <c r="C77" s="229"/>
      <c r="D77" s="18"/>
      <c r="E77" s="13"/>
      <c r="F77" s="11"/>
      <c r="N77" s="107"/>
      <c r="O77" s="107"/>
    </row>
    <row r="78" spans="1:79" ht="13" customHeight="1" x14ac:dyDescent="0.3">
      <c r="E78" s="44"/>
      <c r="F78" s="44"/>
      <c r="N78" s="107"/>
      <c r="O78" s="107"/>
    </row>
    <row r="79" spans="1:79" s="31" customFormat="1" ht="13" customHeight="1" x14ac:dyDescent="0.3">
      <c r="A79" s="192" t="s">
        <v>900</v>
      </c>
      <c r="B79" s="385" t="str">
        <f>$C$9</f>
        <v>Emissions de gaz à effet de serre compensées</v>
      </c>
      <c r="C79" s="385"/>
      <c r="D79" s="6" t="str">
        <f>VLOOKUP(32,Textbausteine_Menu[],Hilfsgrössen!$D$2,FALSE)</f>
        <v>Unité</v>
      </c>
      <c r="E79" s="118" t="str">
        <f>VLOOKUP(33,Textbausteine_Menu[],Hilfsgrössen!$D$2,FALSE)</f>
        <v>Notes</v>
      </c>
      <c r="F79" s="118" t="str">
        <f>VLOOKUP(34,Textbausteine_Menu[],Hilfsgrössen!$D$2,FALSE)</f>
        <v>GRI</v>
      </c>
      <c r="G79" s="47"/>
      <c r="H79" s="103">
        <v>2010</v>
      </c>
      <c r="I79" s="103">
        <v>2011</v>
      </c>
      <c r="J79" s="103">
        <v>2012</v>
      </c>
      <c r="K79" s="103">
        <v>2013</v>
      </c>
      <c r="L79" s="103">
        <v>2014</v>
      </c>
      <c r="M79" s="103">
        <v>2015</v>
      </c>
      <c r="N79" s="103">
        <v>2016</v>
      </c>
      <c r="O79" s="135">
        <v>2017</v>
      </c>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row>
    <row r="80" spans="1:79" s="31" customFormat="1" ht="13" customHeight="1" x14ac:dyDescent="0.3">
      <c r="A80" s="55"/>
      <c r="B80" s="385"/>
      <c r="C80" s="385"/>
      <c r="D80" s="6"/>
      <c r="E80" s="44"/>
      <c r="F80" s="44"/>
      <c r="G80" s="47"/>
      <c r="H80" s="107"/>
      <c r="I80" s="107"/>
      <c r="J80" s="107"/>
      <c r="K80" s="107"/>
      <c r="L80" s="107"/>
      <c r="M80" s="107"/>
      <c r="N80" s="107"/>
      <c r="O80" s="139"/>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row>
    <row r="81" spans="1:79" ht="13" customHeight="1" x14ac:dyDescent="0.3">
      <c r="B81" s="8"/>
      <c r="C81" s="9"/>
      <c r="D81" s="9"/>
      <c r="N81" s="107"/>
      <c r="O81" s="139"/>
    </row>
    <row r="82" spans="1:79" ht="13" customHeight="1" x14ac:dyDescent="0.3">
      <c r="B82" s="8" t="str">
        <f>VLOOKUP(36,Textbausteine_Menu[],Hilfsgrössen!$D$2,FALSE)</f>
        <v>Groupe</v>
      </c>
      <c r="C82" s="8"/>
      <c r="D82" s="67"/>
      <c r="N82" s="107"/>
      <c r="O82" s="139"/>
    </row>
    <row r="83" spans="1:79" ht="13" customHeight="1" x14ac:dyDescent="0.3">
      <c r="C83" s="18" t="str">
        <f>VLOOKUP(91,Textbausteine_305[],Hilfsgrössen!$D$2,FALSE)</f>
        <v>Compensations des émissions de CO2</v>
      </c>
      <c r="D83" s="67" t="str">
        <f>VLOOKUP(11,Textbausteine_305[],Hilfsgrössen!$D$2,FALSE)</f>
        <v>Equivalent de tonnes de CO2</v>
      </c>
      <c r="E83" s="37">
        <v>1</v>
      </c>
      <c r="H83" s="107">
        <v>27000</v>
      </c>
      <c r="I83" s="107">
        <v>9500</v>
      </c>
      <c r="J83" s="107">
        <v>38300</v>
      </c>
      <c r="K83" s="107">
        <v>41800</v>
      </c>
      <c r="L83" s="107">
        <v>35900</v>
      </c>
      <c r="M83" s="107">
        <v>35600</v>
      </c>
      <c r="N83" s="119">
        <v>35766</v>
      </c>
      <c r="O83" s="134">
        <v>41000</v>
      </c>
    </row>
    <row r="84" spans="1:79" ht="13" customHeight="1" x14ac:dyDescent="0.3">
      <c r="C84" s="67" t="str">
        <f>VLOOKUP(92,Textbausteine_305[],Hilfsgrössen!$D$2,FALSE)</f>
        <v>Envois compensés</v>
      </c>
      <c r="D84" s="67" t="str">
        <f>VLOOKUP(14,Textbausteine_305[],Hilfsgrössen!$D$2,FALSE)</f>
        <v>Nombre en millions</v>
      </c>
      <c r="E84" s="37">
        <v>1</v>
      </c>
      <c r="H84" s="107">
        <v>69</v>
      </c>
      <c r="I84" s="107">
        <v>67</v>
      </c>
      <c r="J84" s="107">
        <v>1726</v>
      </c>
      <c r="K84" s="107">
        <v>2252</v>
      </c>
      <c r="L84" s="107">
        <v>2199</v>
      </c>
      <c r="M84" s="107">
        <v>2168</v>
      </c>
      <c r="N84" s="119">
        <v>2099</v>
      </c>
      <c r="O84" s="134">
        <v>2954</v>
      </c>
    </row>
    <row r="86" spans="1:79" ht="13" customHeight="1" x14ac:dyDescent="0.3">
      <c r="B86" s="21" t="str">
        <f>VLOOKUP(134,Textbausteine_305[],Hilfsgrössen!$D$2,FALSE)</f>
        <v xml:space="preserve">1) Le volume de CO2 compensé varie en fonction du prix des certificats de CO2 sur le marché. Les suppléments «pro clima» versés par les clients sont intégralement investis dans des projets de compensation. </v>
      </c>
      <c r="C86" s="21"/>
      <c r="D86" s="21"/>
    </row>
    <row r="88" spans="1:79" ht="13" customHeight="1" x14ac:dyDescent="0.3">
      <c r="N88" s="107"/>
      <c r="O88" s="107"/>
    </row>
    <row r="89" spans="1:79" ht="13" customHeight="1" x14ac:dyDescent="0.3">
      <c r="N89" s="107"/>
      <c r="O89" s="107"/>
    </row>
    <row r="90" spans="1:79" s="31" customFormat="1" ht="13" customHeight="1" x14ac:dyDescent="0.3">
      <c r="A90" s="192" t="s">
        <v>900</v>
      </c>
      <c r="B90" s="385" t="str">
        <f>$C$10</f>
        <v>Autres indicateurs des gaz à effet de serre</v>
      </c>
      <c r="C90" s="385"/>
      <c r="D90" s="6" t="str">
        <f>VLOOKUP(32,Textbausteine_Menu[],Hilfsgrössen!$D$2,FALSE)</f>
        <v>Unité</v>
      </c>
      <c r="E90" s="39" t="str">
        <f>VLOOKUP(33,Textbausteine_Menu[],Hilfsgrössen!$D$2,FALSE)</f>
        <v>Notes</v>
      </c>
      <c r="F90" s="39" t="str">
        <f>VLOOKUP(34,Textbausteine_Menu[],Hilfsgrössen!$D$2,FALSE)</f>
        <v>GRI</v>
      </c>
      <c r="G90" s="47"/>
      <c r="H90" s="103">
        <v>2010</v>
      </c>
      <c r="I90" s="103">
        <v>2011</v>
      </c>
      <c r="J90" s="103">
        <v>2012</v>
      </c>
      <c r="K90" s="103">
        <v>2013</v>
      </c>
      <c r="L90" s="103">
        <v>2014</v>
      </c>
      <c r="M90" s="103">
        <v>2015</v>
      </c>
      <c r="N90" s="103">
        <v>2016</v>
      </c>
      <c r="O90" s="135">
        <v>2017</v>
      </c>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row>
    <row r="91" spans="1:79" s="31" customFormat="1" ht="13" customHeight="1" x14ac:dyDescent="0.3">
      <c r="A91" s="55"/>
      <c r="B91" s="385"/>
      <c r="C91" s="385"/>
      <c r="D91" s="6"/>
      <c r="E91" s="37"/>
      <c r="F91" s="37"/>
      <c r="G91" s="47"/>
      <c r="H91" s="107"/>
      <c r="I91" s="107"/>
      <c r="J91" s="107"/>
      <c r="K91" s="107"/>
      <c r="L91" s="107"/>
      <c r="M91" s="107"/>
      <c r="N91" s="107"/>
      <c r="O91" s="139"/>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row>
    <row r="92" spans="1:79" ht="13" customHeight="1" x14ac:dyDescent="0.3">
      <c r="B92" s="8"/>
      <c r="C92" s="9"/>
      <c r="D92" s="9"/>
      <c r="N92" s="107"/>
      <c r="O92" s="139"/>
    </row>
    <row r="93" spans="1:79" ht="13" customHeight="1" x14ac:dyDescent="0.3">
      <c r="B93" s="8" t="str">
        <f>VLOOKUP(36,Textbausteine_Menu[],Hilfsgrössen!$D$2,FALSE)</f>
        <v>Groupe</v>
      </c>
      <c r="C93" s="8"/>
      <c r="D93" s="67"/>
      <c r="N93" s="107"/>
      <c r="O93" s="139"/>
    </row>
    <row r="94" spans="1:79" ht="13" customHeight="1" x14ac:dyDescent="0.3">
      <c r="C94" s="18" t="str">
        <f>VLOOKUP(101,Textbausteine_305[],Hilfsgrössen!$D$2,FALSE)</f>
        <v>Amélioration de l'efficacité en matière de CO2 depuis 2010</v>
      </c>
      <c r="D94" s="18" t="str">
        <f>VLOOKUP(15,Textbausteine_305[],Hilfsgrössen!$D$2,FALSE)</f>
        <v>%</v>
      </c>
      <c r="E94" s="37">
        <v>1</v>
      </c>
      <c r="H94" s="107">
        <v>0</v>
      </c>
      <c r="I94" s="162">
        <v>3.46</v>
      </c>
      <c r="J94" s="107">
        <v>3.11</v>
      </c>
      <c r="K94" s="107">
        <v>10.1</v>
      </c>
      <c r="L94" s="107">
        <v>12.1</v>
      </c>
      <c r="M94" s="107">
        <v>13.7</v>
      </c>
      <c r="N94" s="107">
        <v>16.5</v>
      </c>
      <c r="O94" s="139">
        <v>19.2</v>
      </c>
    </row>
    <row r="95" spans="1:79" ht="13" customHeight="1" x14ac:dyDescent="0.3">
      <c r="N95" s="107"/>
      <c r="O95" s="107"/>
    </row>
    <row r="96" spans="1:79" ht="13" customHeight="1" x14ac:dyDescent="0.3">
      <c r="B96" s="21" t="str">
        <f>VLOOKUP(135,Textbausteine_305[],Hilfsgrössen!$D$2,FALSE)</f>
        <v>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v>
      </c>
      <c r="C96" s="21"/>
      <c r="D96" s="21"/>
      <c r="N96" s="107"/>
      <c r="O96" s="107"/>
    </row>
    <row r="97" spans="1:79" ht="13" customHeight="1" x14ac:dyDescent="0.3">
      <c r="G97" s="49"/>
      <c r="N97" s="107"/>
      <c r="O97" s="107"/>
    </row>
    <row r="98" spans="1:79" ht="13" customHeight="1" x14ac:dyDescent="0.3">
      <c r="G98" s="49"/>
      <c r="N98" s="107"/>
      <c r="O98" s="107"/>
    </row>
    <row r="99" spans="1:79" ht="13" customHeight="1" x14ac:dyDescent="0.3">
      <c r="G99" s="49"/>
      <c r="N99" s="107"/>
      <c r="O99" s="107"/>
    </row>
    <row r="100" spans="1:79" s="31" customFormat="1" ht="13" customHeight="1" x14ac:dyDescent="0.3">
      <c r="A100" s="192" t="s">
        <v>900</v>
      </c>
      <c r="B100" s="385" t="str">
        <f>$C$11</f>
        <v>Emissions de polluants atmosphériques</v>
      </c>
      <c r="C100" s="385"/>
      <c r="D100" s="6" t="str">
        <f>VLOOKUP(32,Textbausteine_Menu[],Hilfsgrössen!$D$2,FALSE)</f>
        <v>Unité</v>
      </c>
      <c r="E100" s="39" t="str">
        <f>VLOOKUP(33,Textbausteine_Menu[],Hilfsgrössen!$D$2,FALSE)</f>
        <v>Notes</v>
      </c>
      <c r="F100" s="39" t="str">
        <f>VLOOKUP(34,Textbausteine_Menu[],Hilfsgrössen!$D$2,FALSE)</f>
        <v>GRI</v>
      </c>
      <c r="G100" s="49"/>
      <c r="H100" s="103">
        <v>2010</v>
      </c>
      <c r="I100" s="103">
        <v>2011</v>
      </c>
      <c r="J100" s="103">
        <v>2012</v>
      </c>
      <c r="K100" s="103">
        <v>2013</v>
      </c>
      <c r="L100" s="103">
        <v>2014</v>
      </c>
      <c r="M100" s="103">
        <v>2015</v>
      </c>
      <c r="N100" s="103">
        <v>2016</v>
      </c>
      <c r="O100" s="135">
        <v>2017</v>
      </c>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row>
    <row r="101" spans="1:79" s="31" customFormat="1" ht="13" customHeight="1" x14ac:dyDescent="0.3">
      <c r="A101" s="55"/>
      <c r="B101" s="385"/>
      <c r="C101" s="385"/>
      <c r="D101" s="6"/>
      <c r="E101" s="37"/>
      <c r="F101" s="37"/>
      <c r="G101" s="49"/>
      <c r="H101" s="107"/>
      <c r="I101" s="107"/>
      <c r="J101" s="107"/>
      <c r="K101" s="107"/>
      <c r="L101" s="107"/>
      <c r="M101" s="107"/>
      <c r="N101" s="107"/>
      <c r="O101" s="139"/>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row>
    <row r="102" spans="1:79" ht="13" customHeight="1" x14ac:dyDescent="0.3">
      <c r="B102" s="8"/>
      <c r="C102" s="9"/>
      <c r="D102" s="9"/>
      <c r="G102" s="49"/>
      <c r="N102" s="107"/>
      <c r="O102" s="139"/>
    </row>
    <row r="103" spans="1:79" ht="13" customHeight="1" x14ac:dyDescent="0.3">
      <c r="B103" s="8" t="str">
        <f>VLOOKUP(36,Textbausteine_Menu[],Hilfsgrössen!$D$2,FALSE)</f>
        <v>Groupe</v>
      </c>
      <c r="C103" s="8"/>
      <c r="D103" s="67"/>
      <c r="N103" s="107"/>
      <c r="O103" s="139"/>
    </row>
    <row r="104" spans="1:79" ht="13" customHeight="1" x14ac:dyDescent="0.3">
      <c r="C104" s="18" t="str">
        <f>VLOOKUP(111,Textbausteine_305[],Hilfsgrössen!$D$2,FALSE)</f>
        <v>Equivalents chlorofluorocarbones (équivalent CFC 11)</v>
      </c>
      <c r="D104" s="18" t="str">
        <f>VLOOKUP(16,Textbausteine_305[],Hilfsgrössen!$D$2,FALSE)</f>
        <v>Kilos</v>
      </c>
      <c r="E104" s="37" t="s">
        <v>79</v>
      </c>
      <c r="F104" s="37" t="s">
        <v>1092</v>
      </c>
      <c r="H104" s="362">
        <v>56.656749999999995</v>
      </c>
      <c r="I104" s="362">
        <v>56.216750000000005</v>
      </c>
      <c r="J104" s="362">
        <v>108</v>
      </c>
      <c r="K104" s="362">
        <v>106.6825</v>
      </c>
      <c r="L104" s="362">
        <v>53.605249999999998</v>
      </c>
      <c r="M104" s="362">
        <v>52.248352500000003</v>
      </c>
      <c r="N104" s="362">
        <v>51.7</v>
      </c>
      <c r="O104" s="368">
        <v>1.28</v>
      </c>
    </row>
    <row r="105" spans="1:79" ht="13" customHeight="1" x14ac:dyDescent="0.3">
      <c r="C105" s="18" t="str">
        <f>VLOOKUP(112,Textbausteine_305[],Hilfsgrössen!$D$2,FALSE)</f>
        <v>Oxydes d'azote (NOx)</v>
      </c>
      <c r="D105" s="18" t="str">
        <f>VLOOKUP(17,Textbausteine_305[],Hilfsgrössen!$D$2,FALSE)</f>
        <v>Tonnes</v>
      </c>
      <c r="E105" s="37" t="s">
        <v>79</v>
      </c>
      <c r="F105" s="37" t="s">
        <v>1093</v>
      </c>
      <c r="H105" s="362">
        <v>2126.6254912214044</v>
      </c>
      <c r="I105" s="362">
        <v>2086.986795031813</v>
      </c>
      <c r="J105" s="362">
        <v>2110.7971396006742</v>
      </c>
      <c r="K105" s="362">
        <v>2001.3082524510821</v>
      </c>
      <c r="L105" s="362">
        <v>1892.8871645166876</v>
      </c>
      <c r="M105" s="362">
        <v>1836.9172596897106</v>
      </c>
      <c r="N105" s="369">
        <v>1828.6075223799689</v>
      </c>
      <c r="O105" s="370">
        <v>1692.6639323839715</v>
      </c>
    </row>
    <row r="106" spans="1:79" ht="13" customHeight="1" x14ac:dyDescent="0.3">
      <c r="C106" s="18" t="str">
        <f>VLOOKUP(113,Textbausteine_305[],Hilfsgrössen!$D$2,FALSE)</f>
        <v>Oxydes de soufre (SOx)</v>
      </c>
      <c r="D106" s="18" t="str">
        <f>VLOOKUP(17,Textbausteine_305[],Hilfsgrössen!$D$2,FALSE)</f>
        <v>Tonnes</v>
      </c>
      <c r="E106" s="37" t="s">
        <v>79</v>
      </c>
      <c r="F106" s="37" t="s">
        <v>1093</v>
      </c>
      <c r="H106" s="362">
        <v>453.21409126742935</v>
      </c>
      <c r="I106" s="362">
        <v>442.20779069904631</v>
      </c>
      <c r="J106" s="362">
        <v>448.95330090473709</v>
      </c>
      <c r="K106" s="362">
        <v>407.43407886293028</v>
      </c>
      <c r="L106" s="362">
        <v>398.72234914301902</v>
      </c>
      <c r="M106" s="362">
        <v>398.12541437514068</v>
      </c>
      <c r="N106" s="369">
        <v>405.29957808288373</v>
      </c>
      <c r="O106" s="370">
        <v>387.73112315768856</v>
      </c>
    </row>
    <row r="107" spans="1:79" ht="13" customHeight="1" x14ac:dyDescent="0.3">
      <c r="C107" s="18" t="str">
        <f>VLOOKUP(114,Textbausteine_305[],Hilfsgrössen!$D$2,FALSE)</f>
        <v>Hydrocarbures non méthaniques (HCNM)</v>
      </c>
      <c r="D107" s="18" t="str">
        <f>VLOOKUP(17,Textbausteine_305[],Hilfsgrössen!$D$2,FALSE)</f>
        <v>Tonnes</v>
      </c>
      <c r="E107" s="37" t="s">
        <v>79</v>
      </c>
      <c r="F107" s="37" t="s">
        <v>1093</v>
      </c>
      <c r="H107" s="362">
        <v>808.00031071068884</v>
      </c>
      <c r="I107" s="362">
        <v>680.92395886955273</v>
      </c>
      <c r="J107" s="362">
        <v>657.95984198882127</v>
      </c>
      <c r="K107" s="362">
        <v>538.57415381843543</v>
      </c>
      <c r="L107" s="362">
        <v>458.74439530133685</v>
      </c>
      <c r="M107" s="362">
        <v>427.44439191721011</v>
      </c>
      <c r="N107" s="369">
        <v>369.98220828925298</v>
      </c>
      <c r="O107" s="370">
        <v>334.92098138256659</v>
      </c>
    </row>
    <row r="108" spans="1:79" ht="13" customHeight="1" x14ac:dyDescent="0.3">
      <c r="C108" s="18" t="str">
        <f>VLOOKUP(115,Textbausteine_305[],Hilfsgrössen!$D$2,FALSE)</f>
        <v>Matières particulaires (PM10)</v>
      </c>
      <c r="D108" s="18" t="str">
        <f>VLOOKUP(17,Textbausteine_305[],Hilfsgrössen!$D$2,FALSE)</f>
        <v>Tonnes</v>
      </c>
      <c r="E108" s="37" t="s">
        <v>79</v>
      </c>
      <c r="F108" s="37" t="s">
        <v>1093</v>
      </c>
      <c r="G108" s="48"/>
      <c r="H108" s="362">
        <v>87.302417005827763</v>
      </c>
      <c r="I108" s="362">
        <v>81.451962669579601</v>
      </c>
      <c r="J108" s="362">
        <v>77.82838093008597</v>
      </c>
      <c r="K108" s="362">
        <v>74.193520202790808</v>
      </c>
      <c r="L108" s="362">
        <v>70.374800229991109</v>
      </c>
      <c r="M108" s="362">
        <v>69.162272717505914</v>
      </c>
      <c r="N108" s="369">
        <v>67.59036985320202</v>
      </c>
      <c r="O108" s="370">
        <v>62.089763775006226</v>
      </c>
    </row>
    <row r="109" spans="1:79" ht="13" customHeight="1" x14ac:dyDescent="0.3">
      <c r="G109" s="48"/>
    </row>
    <row r="110" spans="1:79" ht="13" customHeight="1" x14ac:dyDescent="0.3">
      <c r="B110" s="21" t="str">
        <f>VLOOKUP(141,Textbausteine_305[],Hilfsgrössen!$D$2,FALSE)</f>
        <v>1) Les chiffres des émissions sont calculés à l'aide de coefficients d'émission propres aux prestations de transport et aux différentes sources d'énergie. Ils englobent les étapes préalables de la production d'énergie.</v>
      </c>
      <c r="C110" s="21"/>
      <c r="D110" s="21"/>
      <c r="G110" s="49"/>
      <c r="N110" s="107"/>
      <c r="O110" s="107"/>
    </row>
    <row r="111" spans="1:79" ht="13" customHeight="1" x14ac:dyDescent="0.3">
      <c r="B111" s="21" t="str">
        <f>VLOOKUP(142,Textbausteine_305[],Hilfsgrössen!$D$2,FALSE)</f>
        <v xml:space="preserve">2) Normes, méthodes et coefficients d'émission: les coefficients d'émission sont tirés de HBEFA 3.1, Mobitool Version 2010, ecoinvent 2.2 et d'autres sources statistiques. </v>
      </c>
      <c r="C111" s="21"/>
      <c r="D111" s="21"/>
      <c r="G111" s="46"/>
      <c r="N111" s="107"/>
      <c r="O111" s="107"/>
    </row>
    <row r="112" spans="1:79" ht="13" customHeight="1" x14ac:dyDescent="0.3">
      <c r="G112" s="49"/>
    </row>
    <row r="113" spans="7:15" ht="13" customHeight="1" x14ac:dyDescent="0.3">
      <c r="G113" s="49"/>
    </row>
    <row r="114" spans="7:15" ht="13" customHeight="1" x14ac:dyDescent="0.3">
      <c r="G114" s="49"/>
    </row>
    <row r="115" spans="7:15" ht="13" customHeight="1" x14ac:dyDescent="0.3">
      <c r="G115" s="49"/>
      <c r="N115" s="140"/>
      <c r="O115" s="140"/>
    </row>
    <row r="116" spans="7:15" ht="13" customHeight="1" x14ac:dyDescent="0.3">
      <c r="G116" s="54"/>
      <c r="N116" s="140"/>
      <c r="O116" s="140"/>
    </row>
    <row r="117" spans="7:15" ht="13" customHeight="1" x14ac:dyDescent="0.3">
      <c r="G117" s="54"/>
      <c r="N117" s="140"/>
      <c r="O117" s="140"/>
    </row>
    <row r="118" spans="7:15" ht="13" customHeight="1" x14ac:dyDescent="0.3">
      <c r="G118" s="54"/>
      <c r="N118" s="140"/>
      <c r="O118" s="140"/>
    </row>
    <row r="119" spans="7:15" ht="13" customHeight="1" x14ac:dyDescent="0.3">
      <c r="N119" s="140"/>
      <c r="O119" s="140"/>
    </row>
    <row r="120" spans="7:15" ht="13" customHeight="1" x14ac:dyDescent="0.3">
      <c r="N120" s="140"/>
      <c r="O120" s="140"/>
    </row>
    <row r="121" spans="7:15" ht="13" customHeight="1" x14ac:dyDescent="0.3">
      <c r="N121" s="140"/>
      <c r="O121" s="140"/>
    </row>
    <row r="122" spans="7:15" ht="13" customHeight="1" x14ac:dyDescent="0.3">
      <c r="N122" s="140"/>
      <c r="O122" s="140"/>
    </row>
  </sheetData>
  <sheetProtection algorithmName="SHA-512" hashValue="aC+vz1tt0YslKtiPLvVPquWgpyi4aLdGBs84vZxw8+Hfe4XtmXHzAohUeWlUoEzu3aWsOczDpsXwwysqxE4UhA==" saltValue="M5Q/uS7YuLmFNMTbKEQngg==" spinCount="100000" sheet="1" objects="1" scenarios="1"/>
  <mergeCells count="8">
    <mergeCell ref="D2:E2"/>
    <mergeCell ref="B100:C101"/>
    <mergeCell ref="B90:C91"/>
    <mergeCell ref="B2:C2"/>
    <mergeCell ref="B3:C3"/>
    <mergeCell ref="B14:C15"/>
    <mergeCell ref="B69:C70"/>
    <mergeCell ref="B79:C80"/>
  </mergeCells>
  <conditionalFormatting sqref="H1:CA18 P36:CA62 H63:CA72 H95:CA103 P94:CA94 H109:CA1048576 P104:CA108 H76:CA82 P73:CA75 H85:CA93 P83:CA84 H34:CA35 H19:N33 P19:CA33">
    <cfRule type="expression" dxfId="79" priority="58">
      <formula>AND($A1="",ABS(H1)=0)</formula>
    </cfRule>
    <cfRule type="expression" dxfId="78" priority="68">
      <formula>AND($A1="",ABS(H1)&lt;10)</formula>
    </cfRule>
    <cfRule type="expression" dxfId="77" priority="69">
      <formula>AND($A1="",ABS(H1)&lt;100)</formula>
    </cfRule>
    <cfRule type="expression" dxfId="76" priority="70">
      <formula>AND($A1="",ABS(H1)&gt;=100)</formula>
    </cfRule>
  </conditionalFormatting>
  <conditionalFormatting sqref="H6:CA18 H63:CA72 P36:CA62 H95:CA103 P94:CA94 H109:CA10001 P104:CA108 H76:CA82 P73:CA75 H85:CA93 P83:CA84 H34:CA35 H19:N33 P19:CA33">
    <cfRule type="expression" dxfId="75" priority="57">
      <formula>AND($D6&lt;&gt;"",H$14&lt;&gt;"",H6="")</formula>
    </cfRule>
  </conditionalFormatting>
  <conditionalFormatting sqref="B1:D1048576">
    <cfRule type="expression" dxfId="74" priority="56">
      <formula>AND(B1&lt;&gt;"",NOT(_xlfn.ISFORMULA(B1)))</formula>
    </cfRule>
  </conditionalFormatting>
  <conditionalFormatting sqref="H36:N60">
    <cfRule type="expression" dxfId="73" priority="52">
      <formula>AND($A36="",ABS(H36)=0)</formula>
    </cfRule>
    <cfRule type="expression" dxfId="72" priority="53">
      <formula>AND($A36="",ABS(H36)&lt;10)</formula>
    </cfRule>
    <cfRule type="expression" dxfId="71" priority="54">
      <formula>AND($A36="",ABS(H36)&lt;100)</formula>
    </cfRule>
    <cfRule type="expression" dxfId="70" priority="55">
      <formula>AND($A36="",ABS(H36)&gt;=100)</formula>
    </cfRule>
  </conditionalFormatting>
  <conditionalFormatting sqref="H36:N60">
    <cfRule type="expression" dxfId="69" priority="51">
      <formula>AND($D36&lt;&gt;"",H$14&lt;&gt;"",H36="")</formula>
    </cfRule>
  </conditionalFormatting>
  <conditionalFormatting sqref="H61:N62">
    <cfRule type="expression" dxfId="68" priority="47">
      <formula>AND($A61="",ABS(H61)=0)</formula>
    </cfRule>
    <cfRule type="expression" dxfId="67" priority="48">
      <formula>AND($A61="",ABS(H61)&lt;10)</formula>
    </cfRule>
    <cfRule type="expression" dxfId="66" priority="49">
      <formula>AND($A61="",ABS(H61)&lt;100)</formula>
    </cfRule>
    <cfRule type="expression" dxfId="65" priority="50">
      <formula>AND($A61="",ABS(H61)&gt;=100)</formula>
    </cfRule>
  </conditionalFormatting>
  <conditionalFormatting sqref="H61:N62">
    <cfRule type="expression" dxfId="64" priority="46">
      <formula>AND($D61&lt;&gt;"",H$14&lt;&gt;"",H61="")</formula>
    </cfRule>
  </conditionalFormatting>
  <conditionalFormatting sqref="O62">
    <cfRule type="expression" dxfId="63" priority="42">
      <formula>AND($A62="",ABS(O62)=0)</formula>
    </cfRule>
    <cfRule type="expression" dxfId="62" priority="43">
      <formula>AND($A62="",ABS(O62)&lt;10)</formula>
    </cfRule>
    <cfRule type="expression" dxfId="61" priority="44">
      <formula>AND($A62="",ABS(O62)&lt;100)</formula>
    </cfRule>
    <cfRule type="expression" dxfId="60" priority="45">
      <formula>AND($A62="",ABS(O62)&gt;=100)</formula>
    </cfRule>
  </conditionalFormatting>
  <conditionalFormatting sqref="O62">
    <cfRule type="expression" dxfId="59" priority="41">
      <formula>AND($D62&lt;&gt;"",O$14&lt;&gt;"",O62="")</formula>
    </cfRule>
  </conditionalFormatting>
  <conditionalFormatting sqref="H73:O75">
    <cfRule type="expression" dxfId="58" priority="22">
      <formula>AND($A1="",ABS(H1)&gt;=100)</formula>
    </cfRule>
  </conditionalFormatting>
  <conditionalFormatting sqref="H84:O84">
    <cfRule type="expression" dxfId="57" priority="20">
      <formula>AND($A105="",ABS(H105)&gt;=100)</formula>
    </cfRule>
    <cfRule type="expression" dxfId="56" priority="21">
      <formula>AND($A105="",ABS(H105)=0)</formula>
    </cfRule>
  </conditionalFormatting>
  <conditionalFormatting sqref="H94:O94">
    <cfRule type="expression" dxfId="55" priority="19">
      <formula>AND($A104="",ABS(H104)&lt;100)</formula>
    </cfRule>
  </conditionalFormatting>
  <conditionalFormatting sqref="H104:O108">
    <cfRule type="expression" dxfId="54" priority="17">
      <formula>AND($A104="",ABS(H104)=0)</formula>
    </cfRule>
    <cfRule type="expression" dxfId="53" priority="18">
      <formula>AND($A104="",ABS(H104)&gt;=100)</formula>
    </cfRule>
  </conditionalFormatting>
  <conditionalFormatting sqref="O19:O33">
    <cfRule type="expression" dxfId="52" priority="13">
      <formula>AND($A19="",ABS(O19)=0)</formula>
    </cfRule>
    <cfRule type="expression" dxfId="51" priority="14">
      <formula>AND($A19="",ABS(O19)&lt;10)</formula>
    </cfRule>
    <cfRule type="expression" dxfId="50" priority="15">
      <formula>AND($A19="",ABS(O19)&lt;100)</formula>
    </cfRule>
    <cfRule type="expression" dxfId="49" priority="16">
      <formula>AND($A19="",ABS(O19)&gt;=100)</formula>
    </cfRule>
  </conditionalFormatting>
  <conditionalFormatting sqref="O19:O33">
    <cfRule type="expression" dxfId="48" priority="12">
      <formula>AND($D19&lt;&gt;"",O$14&lt;&gt;"",O19="")</formula>
    </cfRule>
  </conditionalFormatting>
  <conditionalFormatting sqref="O36:O60">
    <cfRule type="expression" dxfId="47" priority="8">
      <formula>AND($A36="",ABS(O36)=0)</formula>
    </cfRule>
    <cfRule type="expression" dxfId="46" priority="9">
      <formula>AND($A36="",ABS(O36)&lt;10)</formula>
    </cfRule>
    <cfRule type="expression" dxfId="45" priority="10">
      <formula>AND($A36="",ABS(O36)&lt;100)</formula>
    </cfRule>
    <cfRule type="expression" dxfId="44" priority="11">
      <formula>AND($A36="",ABS(O36)&gt;=100)</formula>
    </cfRule>
  </conditionalFormatting>
  <conditionalFormatting sqref="O36:O60">
    <cfRule type="expression" dxfId="43" priority="7">
      <formula>AND($D36&lt;&gt;"",O$14&lt;&gt;"",O36="")</formula>
    </cfRule>
  </conditionalFormatting>
  <conditionalFormatting sqref="O61">
    <cfRule type="expression" dxfId="42" priority="3">
      <formula>AND($A61="",ABS(O61)=0)</formula>
    </cfRule>
    <cfRule type="expression" dxfId="41" priority="4">
      <formula>AND($A61="",ABS(O61)&lt;10)</formula>
    </cfRule>
    <cfRule type="expression" dxfId="40" priority="5">
      <formula>AND($A61="",ABS(O61)&lt;100)</formula>
    </cfRule>
    <cfRule type="expression" dxfId="39" priority="6">
      <formula>AND($A61="",ABS(O61)&gt;=100)</formula>
    </cfRule>
  </conditionalFormatting>
  <conditionalFormatting sqref="O61">
    <cfRule type="expression" dxfId="38" priority="2">
      <formula>AND($D61&lt;&gt;"",O$14&lt;&gt;"",O61="")</formula>
    </cfRule>
  </conditionalFormatting>
  <conditionalFormatting sqref="H83:O83">
    <cfRule type="expression" dxfId="37" priority="1">
      <formula>AND($A105="",ABS(H105)&gt;=100)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10" location="GRI_305_4" display="GRI_305_4"/>
    <hyperlink ref="C9" location="GRI_305_3" display="GRI_305_3"/>
    <hyperlink ref="C8" location="GRI_305_2" display="GRI_305_2"/>
    <hyperlink ref="C7" location="GRI_305_1" display="GRI_305_1"/>
    <hyperlink ref="A14" location="GRI_305" display="Ó"/>
    <hyperlink ref="A69" location="GRI_305" display="Ó"/>
    <hyperlink ref="A79" location="GRI_305" display="Ó"/>
    <hyperlink ref="A90" location="GRI_305" display="Ó"/>
    <hyperlink ref="A100" location="GRI_305" display="Ó"/>
    <hyperlink ref="C11" location="GRI_305_6_7" display="GRI_305_6_7"/>
    <hyperlink ref="D2" location="Home" display="Home"/>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9E2A2F"/>
  </sheetPr>
  <dimension ref="A2:CG14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61.453125" style="1" customWidth="1"/>
    <col min="4" max="4" width="35.453125" style="1" customWidth="1"/>
    <col min="5" max="5" width="9.453125" style="37" customWidth="1"/>
    <col min="6" max="6" width="14.1796875" style="37" customWidth="1"/>
    <col min="7" max="7" width="2.453125" style="47" customWidth="1"/>
    <col min="8" max="13" width="12" style="100"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0" t="str">
        <f>UPPER(RIGHT('Table des matières'!$C$27,LEN('Table des matières'!$C$27)-FIND(" – ",'Table des matières'!$C$27,1)-2))</f>
        <v>EMPLOI</v>
      </c>
      <c r="C2" s="390"/>
      <c r="D2" s="386" t="str">
        <f>VLOOKUP(35,Textbausteine_Menu[],Hilfsgrössen!$D$2,FALSE)</f>
        <v>retour à la table des matières</v>
      </c>
      <c r="E2" s="387"/>
      <c r="F2" s="145" t="s">
        <v>88</v>
      </c>
      <c r="G2" s="171"/>
      <c r="H2" s="159"/>
      <c r="I2" s="159"/>
      <c r="J2" s="159"/>
      <c r="K2" s="159"/>
      <c r="L2" s="159"/>
      <c r="M2" s="159"/>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"&amp;LEFT('Table des matières'!$C$27,3))</f>
        <v>GRI 401</v>
      </c>
      <c r="C3" s="391"/>
      <c r="E3" s="38"/>
      <c r="F3" s="38"/>
      <c r="G3" s="45"/>
      <c r="H3" s="94"/>
      <c r="I3" s="94"/>
      <c r="J3" s="94"/>
      <c r="K3" s="94"/>
      <c r="L3" s="94"/>
      <c r="M3" s="94"/>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Divulgations</v>
      </c>
      <c r="E6" s="39"/>
      <c r="F6" s="39"/>
      <c r="G6" s="46"/>
      <c r="H6" s="96"/>
      <c r="I6" s="96"/>
      <c r="J6" s="96"/>
      <c r="K6" s="96"/>
      <c r="L6" s="96"/>
      <c r="M6" s="96"/>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3" customHeight="1" x14ac:dyDescent="0.3">
      <c r="B7" s="2"/>
      <c r="C7" s="5" t="str">
        <f>VLOOKUP(1,Textbausteine_401[],Hilfsgrössen!$D$2,FALSE)</f>
        <v>Fluctuation du personnel et départs</v>
      </c>
      <c r="D7" s="4"/>
    </row>
    <row r="8" spans="1:85" ht="13" customHeight="1" x14ac:dyDescent="0.3">
      <c r="B8" s="2"/>
      <c r="C8" s="5" t="str">
        <f>VLOOKUP(2,Textbausteine_401[],Hilfsgrössen!$D$2,FALSE)</f>
        <v>Congé parental</v>
      </c>
      <c r="D8" s="4"/>
    </row>
    <row r="9" spans="1:85" ht="13" customHeight="1" x14ac:dyDescent="0.3">
      <c r="B9" s="2"/>
      <c r="C9" s="5" t="str">
        <f>VLOOKUP(3,Textbausteine_401[],Hilfsgrössen!$D$2,FALSE)</f>
        <v>Satisfaction du personnel, motivation et engagement</v>
      </c>
    </row>
    <row r="10" spans="1:85" ht="13" customHeight="1" x14ac:dyDescent="0.3">
      <c r="B10" s="2"/>
    </row>
    <row r="11" spans="1:85" ht="13" customHeight="1" x14ac:dyDescent="0.3">
      <c r="B11" s="2"/>
    </row>
    <row r="12" spans="1:85" s="31" customFormat="1" ht="13" customHeight="1" x14ac:dyDescent="0.3">
      <c r="A12" s="56" t="s">
        <v>900</v>
      </c>
      <c r="B12" s="385" t="str">
        <f>$C$7</f>
        <v>Fluctuation du personnel et départs</v>
      </c>
      <c r="C12" s="385"/>
      <c r="D12" s="6" t="str">
        <f>VLOOKUP(32,Textbausteine_Menu[],Hilfsgrössen!$D$2,FALSE)</f>
        <v>Unité</v>
      </c>
      <c r="E12" s="39" t="str">
        <f>VLOOKUP(33,Textbausteine_Menu[],Hilfsgrössen!$D$2,FALSE)</f>
        <v>Notes</v>
      </c>
      <c r="F12" s="39" t="str">
        <f>VLOOKUP(34,Textbausteine_Menu[],Hilfsgrössen!$D$2,FALSE)</f>
        <v>GRI</v>
      </c>
      <c r="G12" s="47"/>
      <c r="H12" s="160">
        <v>2004</v>
      </c>
      <c r="I12" s="160">
        <v>2005</v>
      </c>
      <c r="J12" s="160">
        <v>2006</v>
      </c>
      <c r="K12" s="160">
        <v>2007</v>
      </c>
      <c r="L12" s="160">
        <v>2008</v>
      </c>
      <c r="M12" s="160">
        <v>2009</v>
      </c>
      <c r="N12" s="117">
        <v>2010</v>
      </c>
      <c r="O12" s="117">
        <v>2011</v>
      </c>
      <c r="P12" s="117">
        <v>2012</v>
      </c>
      <c r="Q12" s="117">
        <v>2013</v>
      </c>
      <c r="R12" s="117">
        <v>2014</v>
      </c>
      <c r="S12" s="117">
        <v>2015</v>
      </c>
      <c r="T12" s="117">
        <v>2016</v>
      </c>
      <c r="U12" s="247">
        <v>2017</v>
      </c>
      <c r="V12" s="7"/>
      <c r="W12" s="7"/>
      <c r="X12" s="7"/>
      <c r="Y12" s="7"/>
      <c r="Z12" s="7"/>
      <c r="AA12" s="7"/>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row>
    <row r="13" spans="1:85" s="31" customFormat="1" ht="13" customHeight="1" x14ac:dyDescent="0.3">
      <c r="A13" s="90"/>
      <c r="B13" s="385"/>
      <c r="C13" s="385"/>
      <c r="D13" s="6"/>
      <c r="E13" s="40"/>
      <c r="F13" s="40"/>
      <c r="G13" s="48"/>
      <c r="H13" s="161"/>
      <c r="I13" s="161"/>
      <c r="J13" s="161"/>
      <c r="K13" s="161"/>
      <c r="L13" s="161"/>
      <c r="M13" s="161"/>
      <c r="N13" s="143"/>
      <c r="O13" s="143"/>
      <c r="P13" s="143"/>
      <c r="Q13" s="143"/>
      <c r="R13" s="143"/>
      <c r="S13" s="143"/>
      <c r="T13" s="119"/>
      <c r="U13" s="248"/>
      <c r="V13" s="129"/>
      <c r="W13" s="122"/>
      <c r="X13" s="122"/>
      <c r="Y13" s="122"/>
      <c r="Z13" s="122"/>
      <c r="AA13" s="122"/>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row>
    <row r="14" spans="1:85" ht="13" customHeight="1" x14ac:dyDescent="0.3">
      <c r="B14" s="8"/>
      <c r="C14" s="9"/>
      <c r="D14" s="9"/>
      <c r="E14" s="40"/>
      <c r="F14" s="40"/>
      <c r="G14" s="48"/>
      <c r="U14" s="249"/>
      <c r="V14" s="12"/>
      <c r="W14" s="13"/>
      <c r="X14" s="13"/>
      <c r="Y14" s="13"/>
      <c r="Z14" s="13"/>
      <c r="AA14" s="13"/>
    </row>
    <row r="15" spans="1:85" ht="13" customHeight="1" x14ac:dyDescent="0.3">
      <c r="B15" s="8" t="str">
        <f>VLOOKUP(37,Textbausteine_Menu[],Hilfsgrössen!$D$2,FALSE)</f>
        <v>Groupe Suisse</v>
      </c>
      <c r="C15" s="8"/>
      <c r="D15" s="67"/>
      <c r="E15" s="12"/>
      <c r="F15" s="11"/>
      <c r="G15" s="49"/>
      <c r="U15" s="249"/>
    </row>
    <row r="16" spans="1:85" ht="13" customHeight="1" x14ac:dyDescent="0.3">
      <c r="C16" s="18" t="str">
        <f>VLOOKUP(31,Textbausteine_401[],Hilfsgrössen!$D$2,FALSE)</f>
        <v>Arrivées</v>
      </c>
      <c r="D16" s="18" t="str">
        <f>VLOOKUP(11,Textbausteine_401[],Hilfsgrössen!$D$2,FALSE)</f>
        <v>Nombre de personnes à salaire mensuel</v>
      </c>
      <c r="E16" s="11">
        <v>1</v>
      </c>
      <c r="F16" s="11" t="s">
        <v>820</v>
      </c>
      <c r="G16" s="49"/>
      <c r="H16" s="14">
        <v>1512</v>
      </c>
      <c r="I16" s="14">
        <v>2314</v>
      </c>
      <c r="J16" s="14">
        <v>1797</v>
      </c>
      <c r="K16" s="14">
        <v>2603</v>
      </c>
      <c r="L16" s="14">
        <v>4121</v>
      </c>
      <c r="M16" s="14">
        <v>2002</v>
      </c>
      <c r="N16" s="14">
        <v>2151</v>
      </c>
      <c r="O16" s="14">
        <v>2711</v>
      </c>
      <c r="P16" s="17">
        <v>2146</v>
      </c>
      <c r="Q16" s="17">
        <v>2432</v>
      </c>
      <c r="R16" s="371">
        <v>2319</v>
      </c>
      <c r="S16" s="371">
        <v>2404</v>
      </c>
      <c r="T16" s="14">
        <v>2220</v>
      </c>
      <c r="U16" s="372">
        <v>2155</v>
      </c>
      <c r="V16" s="14"/>
      <c r="W16" s="17"/>
      <c r="X16" s="17"/>
      <c r="Y16" s="17"/>
      <c r="Z16" s="17"/>
      <c r="AA16" s="17"/>
    </row>
    <row r="17" spans="3:27" ht="13" customHeight="1" x14ac:dyDescent="0.3">
      <c r="C17" s="217" t="str">
        <f>VLOOKUP(32,Textbausteine_401[],Hilfsgrössen!$D$2,FALSE)</f>
        <v>Femmes</v>
      </c>
      <c r="D17" s="218" t="str">
        <f>VLOOKUP(11,Textbausteine_401[],Hilfsgrössen!$D$2,FALSE)</f>
        <v>Nombre de personnes à salaire mensuel</v>
      </c>
      <c r="E17" s="11">
        <v>1</v>
      </c>
      <c r="F17" s="11" t="s">
        <v>820</v>
      </c>
      <c r="G17" s="49"/>
      <c r="H17" s="14">
        <v>812</v>
      </c>
      <c r="I17" s="14">
        <v>1049</v>
      </c>
      <c r="J17" s="14">
        <v>852</v>
      </c>
      <c r="K17" s="14">
        <v>1287</v>
      </c>
      <c r="L17" s="14">
        <v>1920</v>
      </c>
      <c r="M17" s="14">
        <v>850</v>
      </c>
      <c r="N17" s="14">
        <v>922</v>
      </c>
      <c r="O17" s="14">
        <v>1063</v>
      </c>
      <c r="P17" s="17">
        <v>861</v>
      </c>
      <c r="Q17" s="17">
        <v>917</v>
      </c>
      <c r="R17" s="371">
        <v>977</v>
      </c>
      <c r="S17" s="371">
        <v>1021</v>
      </c>
      <c r="T17" s="14">
        <v>921</v>
      </c>
      <c r="U17" s="372">
        <v>754</v>
      </c>
      <c r="V17" s="14"/>
      <c r="W17" s="17"/>
      <c r="X17" s="17"/>
      <c r="Y17" s="17"/>
      <c r="Z17" s="17"/>
      <c r="AA17" s="17"/>
    </row>
    <row r="18" spans="3:27" ht="13" customHeight="1" x14ac:dyDescent="0.3">
      <c r="C18" s="219" t="str">
        <f>VLOOKUP(33,Textbausteine_401[],Hilfsgrössen!$D$2,FALSE)</f>
        <v>20–29</v>
      </c>
      <c r="D18" s="218" t="str">
        <f>VLOOKUP(11,Textbausteine_401[],Hilfsgrössen!$D$2,FALSE)</f>
        <v>Nombre de personnes à salaire mensuel</v>
      </c>
      <c r="E18" s="11">
        <v>1</v>
      </c>
      <c r="F18" s="11" t="s">
        <v>820</v>
      </c>
      <c r="G18" s="49"/>
      <c r="H18" s="14">
        <v>235</v>
      </c>
      <c r="I18" s="14">
        <v>371</v>
      </c>
      <c r="J18" s="14">
        <v>262</v>
      </c>
      <c r="K18" s="14">
        <v>323</v>
      </c>
      <c r="L18" s="14">
        <v>616</v>
      </c>
      <c r="M18" s="14">
        <v>416</v>
      </c>
      <c r="N18" s="14">
        <v>404</v>
      </c>
      <c r="O18" s="14">
        <v>485</v>
      </c>
      <c r="P18" s="17">
        <v>396</v>
      </c>
      <c r="Q18" s="17">
        <v>415</v>
      </c>
      <c r="R18" s="371">
        <v>496</v>
      </c>
      <c r="S18" s="371">
        <v>475</v>
      </c>
      <c r="T18" s="373">
        <v>395</v>
      </c>
      <c r="U18" s="374">
        <v>320</v>
      </c>
      <c r="V18" s="14"/>
      <c r="W18" s="14"/>
      <c r="X18" s="14"/>
      <c r="Y18" s="14"/>
      <c r="Z18" s="14"/>
    </row>
    <row r="19" spans="3:27" ht="13" customHeight="1" x14ac:dyDescent="0.3">
      <c r="C19" s="219" t="str">
        <f>VLOOKUP(34,Textbausteine_401[],Hilfsgrössen!$D$2,FALSE)</f>
        <v>30-49</v>
      </c>
      <c r="D19" s="18" t="str">
        <f>VLOOKUP(11,Textbausteine_401[],Hilfsgrössen!$D$2,FALSE)</f>
        <v>Nombre de personnes à salaire mensuel</v>
      </c>
      <c r="E19" s="11">
        <v>1</v>
      </c>
      <c r="F19" s="11" t="s">
        <v>820</v>
      </c>
      <c r="G19" s="49"/>
      <c r="H19" s="14">
        <v>476</v>
      </c>
      <c r="I19" s="14">
        <v>563</v>
      </c>
      <c r="J19" s="14">
        <v>498</v>
      </c>
      <c r="K19" s="14">
        <v>700</v>
      </c>
      <c r="L19" s="14">
        <v>976</v>
      </c>
      <c r="M19" s="14">
        <v>367</v>
      </c>
      <c r="N19" s="14">
        <v>444</v>
      </c>
      <c r="O19" s="14">
        <v>512</v>
      </c>
      <c r="P19" s="17">
        <v>405</v>
      </c>
      <c r="Q19" s="17">
        <v>440</v>
      </c>
      <c r="R19" s="371">
        <v>399</v>
      </c>
      <c r="S19" s="371">
        <v>470</v>
      </c>
      <c r="T19" s="373">
        <v>444</v>
      </c>
      <c r="U19" s="374">
        <v>361</v>
      </c>
      <c r="V19" s="14"/>
      <c r="W19" s="17"/>
      <c r="X19" s="17"/>
      <c r="Y19" s="17"/>
      <c r="Z19" s="17"/>
      <c r="AA19" s="17"/>
    </row>
    <row r="20" spans="3:27" ht="13" customHeight="1" x14ac:dyDescent="0.3">
      <c r="C20" s="220" t="str">
        <f>VLOOKUP(35,Textbausteine_401[],Hilfsgrössen!$D$2,FALSE)</f>
        <v>50 ans et plus</v>
      </c>
      <c r="D20" s="18" t="str">
        <f>VLOOKUP(11,Textbausteine_401[],Hilfsgrössen!$D$2,FALSE)</f>
        <v>Nombre de personnes à salaire mensuel</v>
      </c>
      <c r="E20" s="11">
        <v>1</v>
      </c>
      <c r="F20" s="11" t="s">
        <v>820</v>
      </c>
      <c r="G20" s="49"/>
      <c r="H20" s="14">
        <v>101</v>
      </c>
      <c r="I20" s="14">
        <v>115</v>
      </c>
      <c r="J20" s="14">
        <v>92</v>
      </c>
      <c r="K20" s="14">
        <v>264</v>
      </c>
      <c r="L20" s="14">
        <v>328</v>
      </c>
      <c r="M20" s="14">
        <v>67</v>
      </c>
      <c r="N20" s="14">
        <v>74</v>
      </c>
      <c r="O20" s="14">
        <v>66</v>
      </c>
      <c r="P20" s="375">
        <v>60</v>
      </c>
      <c r="Q20" s="17">
        <v>62</v>
      </c>
      <c r="R20" s="371">
        <v>82</v>
      </c>
      <c r="S20" s="371">
        <v>76</v>
      </c>
      <c r="T20" s="14">
        <v>82</v>
      </c>
      <c r="U20" s="372">
        <v>73</v>
      </c>
      <c r="V20" s="14"/>
      <c r="W20" s="17"/>
      <c r="X20" s="17"/>
      <c r="Y20" s="17"/>
      <c r="Z20" s="17"/>
    </row>
    <row r="21" spans="3:27" ht="13" customHeight="1" x14ac:dyDescent="0.3">
      <c r="C21" s="19" t="str">
        <f>VLOOKUP(36,Textbausteine_401[],Hilfsgrössen!$D$2,FALSE)</f>
        <v>Hommes</v>
      </c>
      <c r="D21" s="18" t="str">
        <f>VLOOKUP(11,Textbausteine_401[],Hilfsgrössen!$D$2,FALSE)</f>
        <v>Nombre de personnes à salaire mensuel</v>
      </c>
      <c r="E21" s="11">
        <v>1</v>
      </c>
      <c r="F21" s="11" t="s">
        <v>820</v>
      </c>
      <c r="G21" s="49"/>
      <c r="H21" s="14">
        <v>700</v>
      </c>
      <c r="I21" s="14">
        <v>1265</v>
      </c>
      <c r="J21" s="14">
        <v>945</v>
      </c>
      <c r="K21" s="14">
        <v>1316</v>
      </c>
      <c r="L21" s="14">
        <v>2201</v>
      </c>
      <c r="M21" s="14">
        <v>1152</v>
      </c>
      <c r="N21" s="14">
        <v>1229</v>
      </c>
      <c r="O21" s="14">
        <v>1648</v>
      </c>
      <c r="P21" s="17">
        <v>1285</v>
      </c>
      <c r="Q21" s="17">
        <v>1515</v>
      </c>
      <c r="R21" s="371">
        <v>1342</v>
      </c>
      <c r="S21" s="371">
        <v>1383</v>
      </c>
      <c r="T21" s="17">
        <v>1299</v>
      </c>
      <c r="U21" s="376">
        <v>1401</v>
      </c>
      <c r="V21" s="14"/>
      <c r="W21" s="17"/>
      <c r="X21" s="17"/>
      <c r="Y21" s="17"/>
      <c r="Z21" s="17"/>
      <c r="AA21" s="17"/>
    </row>
    <row r="22" spans="3:27" ht="13" customHeight="1" x14ac:dyDescent="0.3">
      <c r="C22" s="220" t="str">
        <f>VLOOKUP(37,Textbausteine_401[],Hilfsgrössen!$D$2,FALSE)</f>
        <v>20–29</v>
      </c>
      <c r="D22" s="18" t="str">
        <f>VLOOKUP(11,Textbausteine_401[],Hilfsgrössen!$D$2,FALSE)</f>
        <v>Nombre de personnes à salaire mensuel</v>
      </c>
      <c r="E22" s="11">
        <v>1</v>
      </c>
      <c r="F22" s="11" t="s">
        <v>820</v>
      </c>
      <c r="G22" s="49"/>
      <c r="H22" s="14">
        <v>261</v>
      </c>
      <c r="I22" s="14">
        <v>340</v>
      </c>
      <c r="J22" s="14">
        <v>306</v>
      </c>
      <c r="K22" s="14">
        <v>399</v>
      </c>
      <c r="L22" s="14">
        <v>760</v>
      </c>
      <c r="M22" s="14">
        <v>437</v>
      </c>
      <c r="N22" s="14">
        <v>512</v>
      </c>
      <c r="O22" s="14">
        <v>655</v>
      </c>
      <c r="P22" s="17">
        <v>563</v>
      </c>
      <c r="Q22" s="17">
        <v>635</v>
      </c>
      <c r="R22" s="17">
        <v>543</v>
      </c>
      <c r="S22" s="371">
        <v>564</v>
      </c>
      <c r="T22" s="17">
        <v>551</v>
      </c>
      <c r="U22" s="376">
        <v>577</v>
      </c>
      <c r="V22" s="13"/>
      <c r="AA22" s="17"/>
    </row>
    <row r="23" spans="3:27" ht="13" customHeight="1" x14ac:dyDescent="0.3">
      <c r="C23" s="221" t="str">
        <f>VLOOKUP(38,Textbausteine_401[],Hilfsgrössen!$D$2,FALSE)</f>
        <v>30-49</v>
      </c>
      <c r="D23" s="67" t="str">
        <f>VLOOKUP(11,Textbausteine_401[],Hilfsgrössen!$D$2,FALSE)</f>
        <v>Nombre de personnes à salaire mensuel</v>
      </c>
      <c r="E23" s="11">
        <v>1</v>
      </c>
      <c r="F23" s="11" t="s">
        <v>820</v>
      </c>
      <c r="G23" s="49"/>
      <c r="H23" s="74">
        <v>341</v>
      </c>
      <c r="I23" s="74">
        <v>709</v>
      </c>
      <c r="J23" s="74">
        <v>546</v>
      </c>
      <c r="K23" s="74">
        <v>702</v>
      </c>
      <c r="L23" s="74">
        <v>1132</v>
      </c>
      <c r="M23" s="74">
        <v>593</v>
      </c>
      <c r="N23" s="17">
        <v>592</v>
      </c>
      <c r="O23" s="17">
        <v>804</v>
      </c>
      <c r="P23" s="17">
        <v>607</v>
      </c>
      <c r="Q23" s="17">
        <v>712</v>
      </c>
      <c r="R23" s="17">
        <v>634</v>
      </c>
      <c r="S23" s="17">
        <v>666</v>
      </c>
      <c r="T23" s="17">
        <v>602</v>
      </c>
      <c r="U23" s="376">
        <v>660</v>
      </c>
    </row>
    <row r="24" spans="3:27" ht="13" customHeight="1" x14ac:dyDescent="0.3">
      <c r="C24" s="221" t="str">
        <f>VLOOKUP(39,Textbausteine_401[],Hilfsgrössen!$D$2,FALSE)</f>
        <v>50 ans et plus</v>
      </c>
      <c r="D24" s="67" t="str">
        <f>VLOOKUP(11,Textbausteine_401[],Hilfsgrössen!$D$2,FALSE)</f>
        <v>Nombre de personnes à salaire mensuel</v>
      </c>
      <c r="E24" s="11">
        <v>1</v>
      </c>
      <c r="F24" s="11" t="s">
        <v>820</v>
      </c>
      <c r="G24" s="49"/>
      <c r="H24" s="74">
        <v>98</v>
      </c>
      <c r="I24" s="74">
        <v>216</v>
      </c>
      <c r="J24" s="74">
        <v>93</v>
      </c>
      <c r="K24" s="74">
        <v>215</v>
      </c>
      <c r="L24" s="74">
        <v>309</v>
      </c>
      <c r="M24" s="74">
        <v>122</v>
      </c>
      <c r="N24" s="17">
        <v>125</v>
      </c>
      <c r="O24" s="17">
        <v>189</v>
      </c>
      <c r="P24" s="17">
        <v>115</v>
      </c>
      <c r="Q24" s="17">
        <v>168</v>
      </c>
      <c r="R24" s="17">
        <v>165</v>
      </c>
      <c r="S24" s="17">
        <v>153</v>
      </c>
      <c r="T24" s="17">
        <v>146</v>
      </c>
      <c r="U24" s="376">
        <v>164</v>
      </c>
    </row>
    <row r="25" spans="3:27" ht="13" customHeight="1" x14ac:dyDescent="0.3">
      <c r="C25" s="18"/>
      <c r="D25" s="67"/>
      <c r="E25" s="11"/>
      <c r="F25" s="11"/>
      <c r="G25" s="49"/>
      <c r="H25" s="335"/>
      <c r="I25" s="335"/>
      <c r="J25" s="335"/>
      <c r="K25" s="335"/>
      <c r="L25" s="335"/>
      <c r="M25" s="335"/>
      <c r="N25" s="17"/>
      <c r="O25" s="17"/>
      <c r="P25" s="17"/>
      <c r="Q25" s="17"/>
      <c r="R25" s="17"/>
      <c r="S25" s="17"/>
      <c r="T25" s="17"/>
      <c r="U25" s="376"/>
    </row>
    <row r="26" spans="3:27" ht="13" customHeight="1" x14ac:dyDescent="0.3">
      <c r="C26" s="10" t="str">
        <f>VLOOKUP(40,Textbausteine_401[],Hilfsgrössen!$D$2,FALSE)</f>
        <v>Départs de collaborateurs</v>
      </c>
      <c r="D26" s="67" t="str">
        <f>VLOOKUP(11,Textbausteine_401[],Hilfsgrössen!$D$2,FALSE)</f>
        <v>Nombre de personnes à salaire mensuel</v>
      </c>
      <c r="E26" s="11">
        <v>1</v>
      </c>
      <c r="F26" s="11" t="s">
        <v>820</v>
      </c>
      <c r="G26" s="49"/>
      <c r="H26" s="377">
        <v>4628</v>
      </c>
      <c r="I26" s="377">
        <v>3643</v>
      </c>
      <c r="J26" s="377">
        <v>3954</v>
      </c>
      <c r="K26" s="377">
        <v>4261</v>
      </c>
      <c r="L26" s="377">
        <v>4823</v>
      </c>
      <c r="M26" s="377">
        <v>3605</v>
      </c>
      <c r="N26" s="17">
        <v>3368</v>
      </c>
      <c r="O26" s="17">
        <v>3648</v>
      </c>
      <c r="P26" s="17">
        <v>3557</v>
      </c>
      <c r="Q26" s="17">
        <v>3789</v>
      </c>
      <c r="R26" s="17">
        <v>3514</v>
      </c>
      <c r="S26" s="17">
        <v>3564</v>
      </c>
      <c r="T26" s="17">
        <v>3412</v>
      </c>
      <c r="U26" s="376">
        <v>3905</v>
      </c>
    </row>
    <row r="27" spans="3:27" ht="13" customHeight="1" x14ac:dyDescent="0.3">
      <c r="C27" s="77" t="str">
        <f>VLOOKUP(41,Textbausteine_401[],Hilfsgrössen!$D$2,FALSE)</f>
        <v>Retraites</v>
      </c>
      <c r="D27" s="67" t="str">
        <f>VLOOKUP(11,Textbausteine_401[],Hilfsgrössen!$D$2,FALSE)</f>
        <v>Nombre de personnes à salaire mensuel</v>
      </c>
      <c r="E27" s="11">
        <v>1</v>
      </c>
      <c r="F27" s="11" t="s">
        <v>820</v>
      </c>
      <c r="G27" s="49"/>
      <c r="H27" s="377">
        <v>1136</v>
      </c>
      <c r="I27" s="377">
        <v>876</v>
      </c>
      <c r="J27" s="377">
        <v>1471</v>
      </c>
      <c r="K27" s="377">
        <v>892</v>
      </c>
      <c r="L27" s="377">
        <v>1007</v>
      </c>
      <c r="M27" s="377">
        <v>838</v>
      </c>
      <c r="N27" s="17">
        <v>793</v>
      </c>
      <c r="O27" s="17">
        <v>1055</v>
      </c>
      <c r="P27" s="17">
        <v>918</v>
      </c>
      <c r="Q27" s="17">
        <v>1216</v>
      </c>
      <c r="R27" s="17">
        <v>900</v>
      </c>
      <c r="S27" s="17">
        <v>1099</v>
      </c>
      <c r="T27" s="17">
        <v>800</v>
      </c>
      <c r="U27" s="376">
        <v>1171</v>
      </c>
    </row>
    <row r="28" spans="3:27" ht="13" customHeight="1" x14ac:dyDescent="0.3">
      <c r="C28" s="19" t="str">
        <f>VLOOKUP(42,Textbausteine_401[],Hilfsgrössen!$D$2,FALSE)</f>
        <v>Contrats arrivant à échéance</v>
      </c>
      <c r="D28" s="67" t="str">
        <f>VLOOKUP(11,Textbausteine_401[],Hilfsgrössen!$D$2,FALSE)</f>
        <v>Nombre de personnes à salaire mensuel</v>
      </c>
      <c r="E28" s="11">
        <v>1</v>
      </c>
      <c r="F28" s="11" t="s">
        <v>820</v>
      </c>
      <c r="G28" s="49"/>
      <c r="H28" s="377">
        <v>233</v>
      </c>
      <c r="I28" s="377">
        <v>218</v>
      </c>
      <c r="J28" s="377">
        <v>217</v>
      </c>
      <c r="K28" s="377">
        <v>197</v>
      </c>
      <c r="L28" s="377">
        <v>265</v>
      </c>
      <c r="M28" s="377">
        <v>414</v>
      </c>
      <c r="N28" s="17">
        <v>325</v>
      </c>
      <c r="O28" s="17">
        <v>237</v>
      </c>
      <c r="P28" s="17">
        <v>232</v>
      </c>
      <c r="Q28" s="17">
        <v>255</v>
      </c>
      <c r="R28" s="17">
        <v>249</v>
      </c>
      <c r="S28" s="17">
        <v>243</v>
      </c>
      <c r="T28" s="17">
        <v>247</v>
      </c>
      <c r="U28" s="376">
        <v>35</v>
      </c>
    </row>
    <row r="29" spans="3:27" ht="13" customHeight="1" x14ac:dyDescent="0.3">
      <c r="C29" s="77" t="str">
        <f>VLOOKUP(43,Textbausteine_401[],Hilfsgrössen!$D$2,FALSE)</f>
        <v>Départs négociés</v>
      </c>
      <c r="D29" s="67" t="str">
        <f>VLOOKUP(11,Textbausteine_401[],Hilfsgrössen!$D$2,FALSE)</f>
        <v>Nombre de personnes à salaire mensuel</v>
      </c>
      <c r="E29" s="11">
        <v>1</v>
      </c>
      <c r="F29" s="11" t="s">
        <v>820</v>
      </c>
      <c r="G29" s="49"/>
      <c r="H29" s="377">
        <v>724</v>
      </c>
      <c r="I29" s="377">
        <v>324</v>
      </c>
      <c r="J29" s="377">
        <v>266</v>
      </c>
      <c r="K29" s="377">
        <v>797</v>
      </c>
      <c r="L29" s="377">
        <v>975</v>
      </c>
      <c r="M29" s="377">
        <v>645</v>
      </c>
      <c r="N29" s="17">
        <v>439</v>
      </c>
      <c r="O29" s="17">
        <v>349</v>
      </c>
      <c r="P29" s="17">
        <v>271</v>
      </c>
      <c r="Q29" s="17">
        <v>298</v>
      </c>
      <c r="R29" s="17">
        <v>240</v>
      </c>
      <c r="S29" s="17">
        <v>364</v>
      </c>
      <c r="T29" s="17">
        <v>313</v>
      </c>
      <c r="U29" s="376">
        <v>314</v>
      </c>
    </row>
    <row r="30" spans="3:27" ht="13" customHeight="1" x14ac:dyDescent="0.3">
      <c r="C30" s="77" t="str">
        <f>VLOOKUP(44,Textbausteine_401[],Hilfsgrössen!$D$2,FALSE)</f>
        <v>Licenciements par l'employeur</v>
      </c>
      <c r="D30" s="67" t="str">
        <f>VLOOKUP(11,Textbausteine_401[],Hilfsgrössen!$D$2,FALSE)</f>
        <v>Nombre de personnes à salaire mensuel</v>
      </c>
      <c r="E30" s="11">
        <v>1</v>
      </c>
      <c r="F30" s="11" t="s">
        <v>820</v>
      </c>
      <c r="G30" s="49"/>
      <c r="H30" s="377">
        <v>597</v>
      </c>
      <c r="I30" s="377">
        <v>470</v>
      </c>
      <c r="J30" s="377">
        <v>299</v>
      </c>
      <c r="K30" s="377">
        <v>273</v>
      </c>
      <c r="L30" s="377">
        <v>235</v>
      </c>
      <c r="M30" s="377">
        <v>263</v>
      </c>
      <c r="N30" s="17">
        <v>293</v>
      </c>
      <c r="O30" s="17">
        <v>289</v>
      </c>
      <c r="P30" s="17">
        <v>538</v>
      </c>
      <c r="Q30" s="17">
        <v>414</v>
      </c>
      <c r="R30" s="17">
        <v>441</v>
      </c>
      <c r="S30" s="17">
        <v>315</v>
      </c>
      <c r="T30" s="17">
        <v>404</v>
      </c>
      <c r="U30" s="376">
        <v>484</v>
      </c>
    </row>
    <row r="31" spans="3:27" ht="13" customHeight="1" x14ac:dyDescent="0.3">
      <c r="C31" s="221" t="str">
        <f>VLOOKUP(45,Textbausteine_401[],Hilfsgrössen!$D$2,FALSE)</f>
        <v>pour raisons économiques</v>
      </c>
      <c r="D31" s="67" t="str">
        <f>VLOOKUP(11,Textbausteine_401[],Hilfsgrössen!$D$2,FALSE)</f>
        <v>Nombre de personnes à salaire mensuel</v>
      </c>
      <c r="E31" s="11">
        <v>1</v>
      </c>
      <c r="F31" s="11" t="s">
        <v>820</v>
      </c>
      <c r="G31" s="49"/>
      <c r="H31" s="377">
        <v>173</v>
      </c>
      <c r="I31" s="377">
        <v>172</v>
      </c>
      <c r="J31" s="377">
        <v>86</v>
      </c>
      <c r="K31" s="377">
        <v>110</v>
      </c>
      <c r="L31" s="377">
        <v>97</v>
      </c>
      <c r="M31" s="377">
        <v>99</v>
      </c>
      <c r="N31" s="17">
        <v>116</v>
      </c>
      <c r="O31" s="17">
        <v>95</v>
      </c>
      <c r="P31" s="17">
        <v>315</v>
      </c>
      <c r="Q31" s="17">
        <v>180</v>
      </c>
      <c r="R31" s="17">
        <v>168</v>
      </c>
      <c r="S31" s="17">
        <v>78</v>
      </c>
      <c r="T31" s="17">
        <v>84</v>
      </c>
      <c r="U31" s="376">
        <v>161</v>
      </c>
    </row>
    <row r="32" spans="3:27" ht="13" customHeight="1" x14ac:dyDescent="0.3">
      <c r="C32" s="221" t="str">
        <f>VLOOKUP(46,Textbausteine_401[],Hilfsgrössen!$D$2,FALSE)</f>
        <v>pour raisons personnelles</v>
      </c>
      <c r="D32" s="67" t="str">
        <f>VLOOKUP(11,Textbausteine_401[],Hilfsgrössen!$D$2,FALSE)</f>
        <v>Nombre de personnes à salaire mensuel</v>
      </c>
      <c r="E32" s="11">
        <v>1</v>
      </c>
      <c r="F32" s="13" t="s">
        <v>820</v>
      </c>
      <c r="G32" s="50"/>
      <c r="H32" s="377">
        <v>424</v>
      </c>
      <c r="I32" s="377">
        <v>298</v>
      </c>
      <c r="J32" s="377">
        <v>213</v>
      </c>
      <c r="K32" s="377">
        <v>163</v>
      </c>
      <c r="L32" s="377">
        <v>138</v>
      </c>
      <c r="M32" s="377">
        <v>164</v>
      </c>
      <c r="N32" s="17">
        <v>177</v>
      </c>
      <c r="O32" s="17">
        <v>194</v>
      </c>
      <c r="P32" s="17">
        <v>223</v>
      </c>
      <c r="Q32" s="17">
        <v>234</v>
      </c>
      <c r="R32" s="17">
        <v>269</v>
      </c>
      <c r="S32" s="17">
        <v>237</v>
      </c>
      <c r="T32" s="17">
        <v>320</v>
      </c>
      <c r="U32" s="376">
        <v>323</v>
      </c>
    </row>
    <row r="33" spans="1:85" ht="13" customHeight="1" x14ac:dyDescent="0.3">
      <c r="C33" s="77" t="str">
        <f>VLOOKUP(47,Textbausteine_401[],Hilfsgrössen!$D$2,FALSE)</f>
        <v>Décès</v>
      </c>
      <c r="D33" s="67" t="str">
        <f>VLOOKUP(11,Textbausteine_401[],Hilfsgrössen!$D$2,FALSE)</f>
        <v>Nombre de personnes à salaire mensuel</v>
      </c>
      <c r="E33" s="11">
        <v>1</v>
      </c>
      <c r="F33" s="11" t="s">
        <v>820</v>
      </c>
      <c r="G33" s="49"/>
      <c r="H33" s="377">
        <v>54</v>
      </c>
      <c r="I33" s="377">
        <v>52</v>
      </c>
      <c r="J33" s="377">
        <v>71</v>
      </c>
      <c r="K33" s="377">
        <v>57</v>
      </c>
      <c r="L33" s="377">
        <v>52</v>
      </c>
      <c r="M33" s="377">
        <v>69</v>
      </c>
      <c r="N33" s="17">
        <v>42</v>
      </c>
      <c r="O33" s="17">
        <v>48</v>
      </c>
      <c r="P33" s="17">
        <v>50</v>
      </c>
      <c r="Q33" s="17">
        <v>39</v>
      </c>
      <c r="R33" s="17">
        <v>60</v>
      </c>
      <c r="S33" s="17">
        <v>41</v>
      </c>
      <c r="T33" s="17">
        <v>39</v>
      </c>
      <c r="U33" s="376">
        <v>45</v>
      </c>
    </row>
    <row r="34" spans="1:85" ht="13" customHeight="1" x14ac:dyDescent="0.3">
      <c r="C34" s="19" t="str">
        <f>VLOOKUP(48,Textbausteine_401[],Hilfsgrössen!$D$2,FALSE)</f>
        <v>Départs volontaires</v>
      </c>
      <c r="D34" s="67" t="str">
        <f>VLOOKUP(11,Textbausteine_401[],Hilfsgrössen!$D$2,FALSE)</f>
        <v>Nombre de personnes à salaire mensuel</v>
      </c>
      <c r="E34" s="11">
        <v>1</v>
      </c>
      <c r="F34" s="11" t="s">
        <v>820</v>
      </c>
      <c r="G34" s="49"/>
      <c r="H34" s="74">
        <v>1884</v>
      </c>
      <c r="I34" s="74">
        <v>1703</v>
      </c>
      <c r="J34" s="74">
        <v>1630</v>
      </c>
      <c r="K34" s="74">
        <v>2045</v>
      </c>
      <c r="L34" s="74">
        <v>2289</v>
      </c>
      <c r="M34" s="74">
        <v>1376</v>
      </c>
      <c r="N34" s="17">
        <v>1476</v>
      </c>
      <c r="O34" s="17">
        <v>1670</v>
      </c>
      <c r="P34" s="17">
        <v>1548</v>
      </c>
      <c r="Q34" s="17">
        <v>1567</v>
      </c>
      <c r="R34" s="17">
        <v>1628</v>
      </c>
      <c r="S34" s="17">
        <v>1502</v>
      </c>
      <c r="T34" s="17">
        <v>1609</v>
      </c>
      <c r="U34" s="376">
        <v>1856</v>
      </c>
    </row>
    <row r="35" spans="1:85" ht="13" customHeight="1" x14ac:dyDescent="0.3">
      <c r="C35" s="221" t="str">
        <f>VLOOKUP(49,Textbausteine_401[],Hilfsgrössen!$D$2,FALSE)</f>
        <v>Femmes</v>
      </c>
      <c r="D35" s="67" t="str">
        <f>VLOOKUP(11,Textbausteine_401[],Hilfsgrössen!$D$2,FALSE)</f>
        <v>Nombre de personnes à salaire mensuel</v>
      </c>
      <c r="E35" s="11">
        <v>1</v>
      </c>
      <c r="F35" s="11" t="s">
        <v>820</v>
      </c>
      <c r="G35" s="49"/>
      <c r="H35" s="74">
        <v>1130</v>
      </c>
      <c r="I35" s="74">
        <v>999</v>
      </c>
      <c r="J35" s="74">
        <v>944</v>
      </c>
      <c r="K35" s="74">
        <v>1166</v>
      </c>
      <c r="L35" s="74">
        <v>1296</v>
      </c>
      <c r="M35" s="74">
        <v>804</v>
      </c>
      <c r="N35" s="17">
        <v>774</v>
      </c>
      <c r="O35" s="17">
        <v>901</v>
      </c>
      <c r="P35" s="17">
        <v>798</v>
      </c>
      <c r="Q35" s="17">
        <v>804</v>
      </c>
      <c r="R35" s="17">
        <v>880</v>
      </c>
      <c r="S35" s="17">
        <v>815</v>
      </c>
      <c r="T35" s="17">
        <v>841</v>
      </c>
      <c r="U35" s="376">
        <v>992</v>
      </c>
    </row>
    <row r="36" spans="1:85" ht="13" customHeight="1" x14ac:dyDescent="0.3">
      <c r="C36" s="222" t="str">
        <f>VLOOKUP(50,Textbausteine_401[],Hilfsgrössen!$D$2,FALSE)</f>
        <v>20–29</v>
      </c>
      <c r="D36" s="67" t="str">
        <f>VLOOKUP(11,Textbausteine_401[],Hilfsgrössen!$D$2,FALSE)</f>
        <v>Nombre de personnes à salaire mensuel</v>
      </c>
      <c r="E36" s="11">
        <v>1</v>
      </c>
      <c r="F36" s="13" t="s">
        <v>820</v>
      </c>
      <c r="G36" s="50"/>
      <c r="H36" s="74">
        <v>261</v>
      </c>
      <c r="I36" s="74">
        <v>199</v>
      </c>
      <c r="J36" s="74">
        <v>205</v>
      </c>
      <c r="K36" s="74">
        <v>262</v>
      </c>
      <c r="L36" s="74">
        <v>267</v>
      </c>
      <c r="M36" s="74">
        <v>174</v>
      </c>
      <c r="N36" s="17">
        <v>204</v>
      </c>
      <c r="O36" s="17">
        <v>275</v>
      </c>
      <c r="P36" s="17">
        <v>240</v>
      </c>
      <c r="Q36" s="17">
        <v>279</v>
      </c>
      <c r="R36" s="17">
        <v>311</v>
      </c>
      <c r="S36" s="17">
        <v>280</v>
      </c>
      <c r="T36" s="17">
        <v>297</v>
      </c>
      <c r="U36" s="376">
        <v>356</v>
      </c>
    </row>
    <row r="37" spans="1:85" ht="13" customHeight="1" x14ac:dyDescent="0.3">
      <c r="C37" s="222" t="str">
        <f>VLOOKUP(51,Textbausteine_401[],Hilfsgrössen!$D$2,FALSE)</f>
        <v>30-49</v>
      </c>
      <c r="D37" s="67" t="str">
        <f>VLOOKUP(11,Textbausteine_401[],Hilfsgrössen!$D$2,FALSE)</f>
        <v>Nombre de personnes à salaire mensuel</v>
      </c>
      <c r="E37" s="13">
        <v>1</v>
      </c>
      <c r="F37" s="13" t="s">
        <v>820</v>
      </c>
      <c r="G37" s="50"/>
      <c r="H37" s="74">
        <v>689</v>
      </c>
      <c r="I37" s="74">
        <v>613</v>
      </c>
      <c r="J37" s="74">
        <v>577</v>
      </c>
      <c r="K37" s="74">
        <v>698</v>
      </c>
      <c r="L37" s="74">
        <v>774</v>
      </c>
      <c r="M37" s="74">
        <v>475</v>
      </c>
      <c r="N37" s="17">
        <v>419</v>
      </c>
      <c r="O37" s="17">
        <v>488</v>
      </c>
      <c r="P37" s="17">
        <v>426</v>
      </c>
      <c r="Q37" s="17">
        <v>395</v>
      </c>
      <c r="R37" s="17">
        <v>442</v>
      </c>
      <c r="S37" s="17">
        <v>403</v>
      </c>
      <c r="T37" s="17">
        <v>417</v>
      </c>
      <c r="U37" s="376">
        <v>487</v>
      </c>
    </row>
    <row r="38" spans="1:85" ht="13" customHeight="1" x14ac:dyDescent="0.3">
      <c r="C38" s="222" t="str">
        <f>VLOOKUP(52,Textbausteine_401[],Hilfsgrössen!$D$2,FALSE)</f>
        <v>50 ans et plus</v>
      </c>
      <c r="D38" s="67" t="str">
        <f>VLOOKUP(11,Textbausteine_401[],Hilfsgrössen!$D$2,FALSE)</f>
        <v>Nombre de personnes à salaire mensuel</v>
      </c>
      <c r="E38" s="13">
        <v>1</v>
      </c>
      <c r="F38" s="11" t="s">
        <v>820</v>
      </c>
      <c r="G38" s="49"/>
      <c r="H38" s="74">
        <v>180</v>
      </c>
      <c r="I38" s="74">
        <v>187</v>
      </c>
      <c r="J38" s="74">
        <v>162</v>
      </c>
      <c r="K38" s="74">
        <v>206</v>
      </c>
      <c r="L38" s="74">
        <v>255</v>
      </c>
      <c r="M38" s="74">
        <v>155</v>
      </c>
      <c r="N38" s="17">
        <v>151</v>
      </c>
      <c r="O38" s="17">
        <v>138</v>
      </c>
      <c r="P38" s="17">
        <v>132</v>
      </c>
      <c r="Q38" s="17">
        <v>130</v>
      </c>
      <c r="R38" s="17">
        <v>127</v>
      </c>
      <c r="S38" s="17">
        <v>132</v>
      </c>
      <c r="T38" s="17">
        <v>127</v>
      </c>
      <c r="U38" s="376">
        <v>149</v>
      </c>
    </row>
    <row r="39" spans="1:85" ht="13" customHeight="1" x14ac:dyDescent="0.3">
      <c r="C39" s="221" t="str">
        <f>VLOOKUP(53,Textbausteine_401[],Hilfsgrössen!$D$2,FALSE)</f>
        <v>Hommes</v>
      </c>
      <c r="D39" s="67" t="str">
        <f>VLOOKUP(11,Textbausteine_401[],Hilfsgrössen!$D$2,FALSE)</f>
        <v>Nombre de personnes à salaire mensuel</v>
      </c>
      <c r="E39" s="13">
        <v>1</v>
      </c>
      <c r="F39" s="11" t="s">
        <v>820</v>
      </c>
      <c r="G39" s="49"/>
      <c r="H39" s="74">
        <v>754</v>
      </c>
      <c r="I39" s="74">
        <v>704</v>
      </c>
      <c r="J39" s="74">
        <v>686</v>
      </c>
      <c r="K39" s="74">
        <v>879</v>
      </c>
      <c r="L39" s="74">
        <v>993</v>
      </c>
      <c r="M39" s="74">
        <v>572</v>
      </c>
      <c r="N39" s="17">
        <v>702</v>
      </c>
      <c r="O39" s="17">
        <v>769</v>
      </c>
      <c r="P39" s="17">
        <v>750</v>
      </c>
      <c r="Q39" s="17">
        <v>763</v>
      </c>
      <c r="R39" s="17">
        <v>748</v>
      </c>
      <c r="S39" s="17">
        <v>687</v>
      </c>
      <c r="T39" s="17">
        <v>768</v>
      </c>
      <c r="U39" s="376">
        <v>864</v>
      </c>
    </row>
    <row r="40" spans="1:85" ht="13" customHeight="1" x14ac:dyDescent="0.3">
      <c r="C40" s="222" t="str">
        <f>VLOOKUP(54,Textbausteine_401[],Hilfsgrössen!$D$2,FALSE)</f>
        <v>20–29</v>
      </c>
      <c r="D40" s="67" t="str">
        <f>VLOOKUP(11,Textbausteine_401[],Hilfsgrössen!$D$2,FALSE)</f>
        <v>Nombre de personnes à salaire mensuel</v>
      </c>
      <c r="E40" s="11">
        <v>1</v>
      </c>
      <c r="F40" s="13" t="s">
        <v>820</v>
      </c>
      <c r="G40" s="50"/>
      <c r="H40" s="74">
        <v>246</v>
      </c>
      <c r="I40" s="74">
        <v>178</v>
      </c>
      <c r="J40" s="74">
        <v>177</v>
      </c>
      <c r="K40" s="74">
        <v>241</v>
      </c>
      <c r="L40" s="74">
        <v>257</v>
      </c>
      <c r="M40" s="74">
        <v>170</v>
      </c>
      <c r="N40" s="17">
        <v>199</v>
      </c>
      <c r="O40" s="17">
        <v>254</v>
      </c>
      <c r="P40" s="17">
        <v>230</v>
      </c>
      <c r="Q40" s="17">
        <v>270</v>
      </c>
      <c r="R40" s="17">
        <v>291</v>
      </c>
      <c r="S40" s="17">
        <v>232</v>
      </c>
      <c r="T40" s="17">
        <v>287</v>
      </c>
      <c r="U40" s="376">
        <v>282</v>
      </c>
    </row>
    <row r="41" spans="1:85" ht="13" customHeight="1" x14ac:dyDescent="0.3">
      <c r="C41" s="222" t="str">
        <f>VLOOKUP(55,Textbausteine_401[],Hilfsgrössen!$D$2,FALSE)</f>
        <v>30-49</v>
      </c>
      <c r="D41" s="67" t="str">
        <f>VLOOKUP(11,Textbausteine_401[],Hilfsgrössen!$D$2,FALSE)</f>
        <v>Nombre de personnes à salaire mensuel</v>
      </c>
      <c r="E41" s="13">
        <v>1</v>
      </c>
      <c r="F41" s="13" t="s">
        <v>820</v>
      </c>
      <c r="G41" s="50"/>
      <c r="H41" s="74">
        <v>441</v>
      </c>
      <c r="I41" s="74">
        <v>454</v>
      </c>
      <c r="J41" s="74">
        <v>437</v>
      </c>
      <c r="K41" s="74">
        <v>561</v>
      </c>
      <c r="L41" s="74">
        <v>643</v>
      </c>
      <c r="M41" s="74">
        <v>331</v>
      </c>
      <c r="N41" s="17">
        <v>419</v>
      </c>
      <c r="O41" s="17">
        <v>451</v>
      </c>
      <c r="P41" s="17">
        <v>440</v>
      </c>
      <c r="Q41" s="17">
        <v>426</v>
      </c>
      <c r="R41" s="17">
        <v>381</v>
      </c>
      <c r="S41" s="17">
        <v>377</v>
      </c>
      <c r="T41" s="17">
        <v>389</v>
      </c>
      <c r="U41" s="376">
        <v>463</v>
      </c>
    </row>
    <row r="42" spans="1:85" ht="13" customHeight="1" x14ac:dyDescent="0.3">
      <c r="C42" s="222" t="str">
        <f>VLOOKUP(56,Textbausteine_401[],Hilfsgrössen!$D$2,FALSE)</f>
        <v>50 ans et plus</v>
      </c>
      <c r="D42" s="67" t="str">
        <f>VLOOKUP(11,Textbausteine_401[],Hilfsgrössen!$D$2,FALSE)</f>
        <v>Nombre de personnes à salaire mensuel</v>
      </c>
      <c r="E42" s="13">
        <v>1</v>
      </c>
      <c r="F42" s="11" t="s">
        <v>820</v>
      </c>
      <c r="G42" s="49"/>
      <c r="H42" s="74">
        <v>67</v>
      </c>
      <c r="I42" s="74">
        <v>72</v>
      </c>
      <c r="J42" s="74">
        <v>72</v>
      </c>
      <c r="K42" s="74">
        <v>77</v>
      </c>
      <c r="L42" s="74">
        <v>93</v>
      </c>
      <c r="M42" s="74">
        <v>71</v>
      </c>
      <c r="N42" s="17">
        <v>84</v>
      </c>
      <c r="O42" s="17">
        <v>64</v>
      </c>
      <c r="P42" s="17">
        <v>80</v>
      </c>
      <c r="Q42" s="17">
        <v>67</v>
      </c>
      <c r="R42" s="17">
        <v>76</v>
      </c>
      <c r="S42" s="17">
        <v>78</v>
      </c>
      <c r="T42" s="17">
        <v>92</v>
      </c>
      <c r="U42" s="376">
        <v>119</v>
      </c>
    </row>
    <row r="43" spans="1:85" ht="13" customHeight="1" x14ac:dyDescent="0.3">
      <c r="C43" s="222"/>
      <c r="D43" s="67"/>
      <c r="E43" s="13"/>
      <c r="F43" s="11"/>
      <c r="G43" s="49"/>
      <c r="H43" s="162"/>
      <c r="I43" s="162"/>
      <c r="J43" s="162"/>
      <c r="K43" s="162"/>
      <c r="L43" s="162"/>
      <c r="M43" s="162"/>
      <c r="T43" s="107"/>
      <c r="U43" s="250"/>
    </row>
    <row r="44" spans="1:85" ht="13" customHeight="1" x14ac:dyDescent="0.3">
      <c r="C44" s="9" t="str">
        <f>VLOOKUP(57,Textbausteine_401[],Hilfsgrössen!$D$2,FALSE)</f>
        <v>Taux de départ global</v>
      </c>
      <c r="D44" s="172" t="str">
        <f>VLOOKUP(12,Textbausteine_401[],Hilfsgrössen!$D$2,FALSE)</f>
        <v>% de l'effectif moyen avec salaire mensuel</v>
      </c>
      <c r="E44" s="13" t="s">
        <v>802</v>
      </c>
      <c r="F44" s="11" t="s">
        <v>820</v>
      </c>
      <c r="G44" s="49"/>
      <c r="H44" s="175">
        <v>9.4388011238612908</v>
      </c>
      <c r="I44" s="175">
        <v>7.774066850134929</v>
      </c>
      <c r="J44" s="175">
        <v>8.703731587200739</v>
      </c>
      <c r="K44" s="175">
        <v>9.7153999950633132</v>
      </c>
      <c r="L44" s="175">
        <v>11.441971492620675</v>
      </c>
      <c r="M44" s="175">
        <v>8.4414649614616888</v>
      </c>
      <c r="N44" s="107">
        <v>8.8000000000000007</v>
      </c>
      <c r="O44" s="107">
        <v>9.4</v>
      </c>
      <c r="P44" s="107">
        <v>9.5</v>
      </c>
      <c r="Q44" s="107">
        <v>9.85</v>
      </c>
      <c r="R44" s="107">
        <v>9.26</v>
      </c>
      <c r="S44" s="107">
        <v>9.15</v>
      </c>
      <c r="T44" s="107">
        <v>8.68</v>
      </c>
      <c r="U44" s="250">
        <v>11.72</v>
      </c>
    </row>
    <row r="45" spans="1:85" ht="13" customHeight="1" x14ac:dyDescent="0.3">
      <c r="C45" s="18" t="str">
        <f>VLOOKUP(58,Textbausteine_401[],Hilfsgrössen!$D$2,FALSE)</f>
        <v>Taux de fluctuation (départs volontaires)</v>
      </c>
      <c r="D45" s="172" t="str">
        <f>VLOOKUP(12,Textbausteine_401[],Hilfsgrössen!$D$2,FALSE)</f>
        <v>% de l'effectif moyen avec salaire mensuel</v>
      </c>
      <c r="E45" s="13">
        <v>1</v>
      </c>
      <c r="F45" s="11" t="s">
        <v>820</v>
      </c>
      <c r="G45" s="49"/>
      <c r="H45" s="20">
        <v>3.8</v>
      </c>
      <c r="I45" s="20">
        <v>3.6</v>
      </c>
      <c r="J45" s="20">
        <v>3.6</v>
      </c>
      <c r="K45" s="235">
        <v>4.7</v>
      </c>
      <c r="L45" s="20">
        <v>5.3</v>
      </c>
      <c r="M45" s="20">
        <v>3.1</v>
      </c>
      <c r="N45" s="107">
        <v>3.5</v>
      </c>
      <c r="O45" s="107">
        <v>3.9</v>
      </c>
      <c r="P45" s="107">
        <v>3.7</v>
      </c>
      <c r="Q45" s="107">
        <v>3.58</v>
      </c>
      <c r="R45" s="107">
        <v>4.05</v>
      </c>
      <c r="S45" s="107">
        <v>3.78</v>
      </c>
      <c r="T45" s="107">
        <v>3.99</v>
      </c>
      <c r="U45" s="250">
        <v>4.75</v>
      </c>
    </row>
    <row r="46" spans="1:85" ht="13" customHeight="1" x14ac:dyDescent="0.3">
      <c r="C46" s="18"/>
      <c r="D46" s="172"/>
      <c r="E46" s="13"/>
      <c r="F46" s="11"/>
      <c r="G46" s="49"/>
      <c r="H46" s="162"/>
      <c r="I46" s="162"/>
      <c r="J46" s="162"/>
      <c r="K46" s="162"/>
      <c r="L46" s="162"/>
      <c r="M46" s="162"/>
      <c r="T46" s="107"/>
      <c r="U46" s="107"/>
    </row>
    <row r="47" spans="1:85" ht="13" customHeight="1" x14ac:dyDescent="0.3">
      <c r="A47" s="66"/>
      <c r="B47" s="21" t="str">
        <f>VLOOKUP(131,Textbausteine_401[],Hilfsgrössen!$D$2,FALSE)</f>
        <v>1) Sans les apprentis</v>
      </c>
      <c r="E47" s="41"/>
      <c r="F47" s="41"/>
      <c r="G47" s="50"/>
      <c r="H47" s="162"/>
      <c r="I47" s="162"/>
      <c r="J47" s="162"/>
      <c r="K47" s="162"/>
      <c r="L47" s="162"/>
      <c r="M47" s="162"/>
      <c r="N47" s="103"/>
      <c r="O47" s="103"/>
      <c r="P47" s="103"/>
      <c r="Q47" s="103"/>
      <c r="R47" s="103"/>
      <c r="S47" s="103"/>
      <c r="T47" s="103"/>
      <c r="U47" s="103"/>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row>
    <row r="48" spans="1:85" ht="13" customHeight="1" x14ac:dyDescent="0.3">
      <c r="A48" s="66"/>
      <c r="B48" s="21" t="str">
        <f>VLOOKUP(132,Textbausteine_401[],Hilfsgrössen!$D$2,FALSE)</f>
        <v>2) Taux de départ global = personnes rétribuées au mois qui ont quitté la Poste au cours d'une année civile, exprimé en pourcentage de l'effectif moyen.</v>
      </c>
      <c r="E48" s="41"/>
      <c r="F48" s="41"/>
      <c r="G48" s="49"/>
      <c r="H48" s="162"/>
      <c r="I48" s="162"/>
      <c r="J48" s="162"/>
      <c r="K48" s="162"/>
      <c r="L48" s="162"/>
      <c r="M48" s="162"/>
      <c r="T48" s="107"/>
      <c r="U48" s="10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row>
    <row r="49" spans="1:85" ht="13" customHeight="1" x14ac:dyDescent="0.3">
      <c r="A49" s="66"/>
      <c r="B49" s="21" t="str">
        <f>VLOOKUP(133,Textbausteine_401[],Hilfsgrössen!$D$2,FALSE)</f>
        <v>3)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v>
      </c>
      <c r="E49" s="41"/>
      <c r="F49" s="41"/>
      <c r="G49" s="49"/>
      <c r="H49" s="162"/>
      <c r="I49" s="162"/>
      <c r="J49" s="162"/>
      <c r="K49" s="162"/>
      <c r="L49" s="162"/>
      <c r="M49" s="162"/>
      <c r="T49" s="107"/>
      <c r="U49" s="10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row>
    <row r="50" spans="1:85" ht="13" customHeight="1" x14ac:dyDescent="0.3">
      <c r="A50" s="66"/>
      <c r="B50" s="21"/>
      <c r="E50" s="41"/>
      <c r="F50" s="41"/>
      <c r="G50" s="49"/>
      <c r="H50" s="162"/>
      <c r="I50" s="162"/>
      <c r="J50" s="162"/>
      <c r="K50" s="162"/>
      <c r="L50" s="162"/>
      <c r="M50" s="162"/>
      <c r="T50" s="107"/>
      <c r="U50" s="10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row>
    <row r="51" spans="1:85" ht="13" customHeight="1" x14ac:dyDescent="0.3">
      <c r="C51" s="18"/>
      <c r="D51" s="172"/>
      <c r="E51" s="13"/>
      <c r="F51" s="11"/>
      <c r="G51" s="49"/>
      <c r="H51" s="162"/>
      <c r="I51" s="162"/>
      <c r="J51" s="162"/>
      <c r="K51" s="162"/>
      <c r="L51" s="162"/>
      <c r="M51" s="162"/>
      <c r="T51" s="107"/>
      <c r="U51" s="107"/>
    </row>
    <row r="52" spans="1:85" ht="13" customHeight="1" x14ac:dyDescent="0.3">
      <c r="C52" s="18"/>
      <c r="D52" s="172"/>
      <c r="E52" s="13"/>
      <c r="F52" s="11"/>
      <c r="G52" s="49"/>
      <c r="T52" s="107"/>
      <c r="U52" s="107"/>
    </row>
    <row r="53" spans="1:85" s="31" customFormat="1" ht="13" customHeight="1" x14ac:dyDescent="0.3">
      <c r="A53" s="56" t="s">
        <v>900</v>
      </c>
      <c r="B53" s="385" t="str">
        <f>$C$8</f>
        <v>Congé parental</v>
      </c>
      <c r="C53" s="385"/>
      <c r="D53" s="6" t="str">
        <f>VLOOKUP(32,Textbausteine_Menu[],Hilfsgrössen!$D$2,FALSE)</f>
        <v>Unité</v>
      </c>
      <c r="E53" s="40" t="str">
        <f>VLOOKUP(33,Textbausteine_Menu[],Hilfsgrössen!$D$2,FALSE)</f>
        <v>Notes</v>
      </c>
      <c r="F53" s="40" t="str">
        <f>VLOOKUP(34,Textbausteine_Menu[],Hilfsgrössen!$D$2,FALSE)</f>
        <v>GRI</v>
      </c>
      <c r="G53" s="49"/>
      <c r="H53" s="160">
        <v>2004</v>
      </c>
      <c r="I53" s="160">
        <v>2005</v>
      </c>
      <c r="J53" s="160">
        <v>2006</v>
      </c>
      <c r="K53" s="160">
        <v>2007</v>
      </c>
      <c r="L53" s="160">
        <v>2008</v>
      </c>
      <c r="M53" s="160">
        <v>2009</v>
      </c>
      <c r="N53" s="103">
        <v>2010</v>
      </c>
      <c r="O53" s="103">
        <v>2011</v>
      </c>
      <c r="P53" s="103">
        <v>2012</v>
      </c>
      <c r="Q53" s="103">
        <v>2013</v>
      </c>
      <c r="R53" s="103">
        <v>2014</v>
      </c>
      <c r="S53" s="103">
        <v>2015</v>
      </c>
      <c r="T53" s="103">
        <v>2016</v>
      </c>
      <c r="U53" s="251">
        <v>2017</v>
      </c>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row>
    <row r="54" spans="1:85" s="31" customFormat="1" ht="13" customHeight="1" x14ac:dyDescent="0.3">
      <c r="A54" s="90"/>
      <c r="B54" s="385"/>
      <c r="C54" s="385"/>
      <c r="D54" s="6"/>
      <c r="E54" s="11"/>
      <c r="F54" s="11"/>
      <c r="G54" s="49"/>
      <c r="H54" s="162"/>
      <c r="I54" s="162"/>
      <c r="J54" s="162"/>
      <c r="K54" s="162"/>
      <c r="L54" s="162"/>
      <c r="M54" s="162"/>
      <c r="N54" s="107"/>
      <c r="O54" s="107"/>
      <c r="P54" s="107"/>
      <c r="Q54" s="107"/>
      <c r="R54" s="107"/>
      <c r="S54" s="107"/>
      <c r="T54" s="107"/>
      <c r="U54" s="250"/>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row>
    <row r="55" spans="1:85" ht="13" customHeight="1" x14ac:dyDescent="0.3">
      <c r="B55" s="8"/>
      <c r="C55" s="9"/>
      <c r="D55" s="9"/>
      <c r="E55" s="11"/>
      <c r="F55" s="13"/>
      <c r="G55" s="49"/>
      <c r="H55" s="162"/>
      <c r="I55" s="162"/>
      <c r="J55" s="162"/>
      <c r="K55" s="162"/>
      <c r="L55" s="162"/>
      <c r="M55" s="162"/>
      <c r="T55" s="107"/>
      <c r="U55" s="250"/>
    </row>
    <row r="56" spans="1:85" ht="13" customHeight="1" x14ac:dyDescent="0.3">
      <c r="B56" s="8" t="str">
        <f>VLOOKUP(37,Textbausteine_Menu[],Hilfsgrössen!$D$2,FALSE)</f>
        <v>Groupe Suisse</v>
      </c>
      <c r="C56" s="8"/>
      <c r="D56" s="67"/>
      <c r="E56" s="11"/>
      <c r="F56" s="11"/>
      <c r="G56" s="49"/>
      <c r="H56" s="162"/>
      <c r="I56" s="162"/>
      <c r="J56" s="162"/>
      <c r="K56" s="162"/>
      <c r="L56" s="162"/>
      <c r="M56" s="162"/>
      <c r="T56" s="107"/>
      <c r="U56" s="250"/>
    </row>
    <row r="57" spans="1:85" ht="13" customHeight="1" x14ac:dyDescent="0.3">
      <c r="C57" s="313" t="str">
        <f>VLOOKUP(71,Textbausteine_401[],Hilfsgrössen!$D$2,FALSE)</f>
        <v>Bénéficiaires du congé parental</v>
      </c>
      <c r="D57" s="218" t="str">
        <f>VLOOKUP(11,Textbausteine_401[],Hilfsgrössen!$D$2,FALSE)</f>
        <v>Nombre de personnes à salaire mensuel</v>
      </c>
      <c r="E57" s="11">
        <v>1</v>
      </c>
      <c r="F57" s="11" t="s">
        <v>898</v>
      </c>
      <c r="G57" s="49"/>
      <c r="H57" s="162" t="s">
        <v>1595</v>
      </c>
      <c r="I57" s="162" t="s">
        <v>1595</v>
      </c>
      <c r="J57" s="162" t="s">
        <v>1595</v>
      </c>
      <c r="K57" s="162" t="s">
        <v>1595</v>
      </c>
      <c r="L57" s="162" t="s">
        <v>1595</v>
      </c>
      <c r="M57" s="162" t="s">
        <v>1595</v>
      </c>
      <c r="N57" s="107">
        <v>1644</v>
      </c>
      <c r="O57" s="107">
        <v>1658</v>
      </c>
      <c r="P57" s="107">
        <v>1643</v>
      </c>
      <c r="Q57" s="107">
        <v>1762</v>
      </c>
      <c r="R57" s="107">
        <v>1689</v>
      </c>
      <c r="S57" s="107">
        <v>1735</v>
      </c>
      <c r="T57" s="107">
        <v>1764</v>
      </c>
      <c r="U57" s="250">
        <v>1745</v>
      </c>
    </row>
    <row r="58" spans="1:85" ht="13" customHeight="1" x14ac:dyDescent="0.3">
      <c r="E58" s="11"/>
      <c r="F58" s="11"/>
      <c r="G58" s="49"/>
      <c r="H58" s="162"/>
      <c r="I58" s="162"/>
      <c r="J58" s="162"/>
      <c r="K58" s="162"/>
      <c r="L58" s="162"/>
      <c r="M58" s="162"/>
      <c r="T58" s="107"/>
      <c r="U58" s="107"/>
    </row>
    <row r="59" spans="1:85" ht="13" customHeight="1" x14ac:dyDescent="0.3">
      <c r="B59" s="26" t="str">
        <f>VLOOKUP(141,Textbausteine_401[],Hilfsgrössen!$D$2,FALSE)</f>
        <v>1) Comprend les personnes en congé de maternité, en congé parental, en congé d'accouchement, en congé de maternité et en adoption.</v>
      </c>
      <c r="E59" s="11"/>
      <c r="F59" s="11"/>
      <c r="G59" s="49"/>
      <c r="H59" s="162"/>
      <c r="I59" s="162"/>
      <c r="J59" s="162"/>
      <c r="K59" s="162"/>
      <c r="L59" s="162"/>
      <c r="M59" s="162"/>
      <c r="T59" s="107"/>
      <c r="U59" s="107"/>
    </row>
    <row r="60" spans="1:85" ht="13" customHeight="1" x14ac:dyDescent="0.3">
      <c r="E60" s="11"/>
      <c r="F60" s="11"/>
      <c r="G60" s="49"/>
      <c r="H60" s="162"/>
      <c r="I60" s="162"/>
      <c r="J60" s="162"/>
      <c r="K60" s="162"/>
      <c r="L60" s="162"/>
      <c r="M60" s="162"/>
      <c r="T60" s="107"/>
      <c r="U60" s="107"/>
    </row>
    <row r="61" spans="1:85" ht="13" customHeight="1" x14ac:dyDescent="0.3">
      <c r="E61" s="11"/>
      <c r="F61" s="11"/>
      <c r="G61" s="49"/>
      <c r="H61" s="162"/>
      <c r="I61" s="162"/>
      <c r="J61" s="162"/>
      <c r="K61" s="162"/>
      <c r="L61" s="162"/>
      <c r="M61" s="162"/>
      <c r="T61" s="107"/>
      <c r="U61" s="107"/>
    </row>
    <row r="62" spans="1:85" ht="13" customHeight="1" x14ac:dyDescent="0.3">
      <c r="E62" s="11"/>
      <c r="F62" s="11"/>
      <c r="G62" s="51"/>
      <c r="H62" s="162"/>
      <c r="I62" s="162"/>
      <c r="J62" s="162"/>
      <c r="K62" s="162"/>
      <c r="L62" s="162"/>
      <c r="M62" s="162"/>
      <c r="T62" s="107"/>
      <c r="U62" s="107"/>
    </row>
    <row r="63" spans="1:85" s="31" customFormat="1" ht="13" customHeight="1" x14ac:dyDescent="0.3">
      <c r="A63" s="56" t="s">
        <v>900</v>
      </c>
      <c r="B63" s="385" t="str">
        <f>$C$9</f>
        <v>Satisfaction du personnel, motivation et engagement</v>
      </c>
      <c r="C63" s="385"/>
      <c r="D63" s="6" t="str">
        <f>VLOOKUP(32,Textbausteine_Menu[],Hilfsgrössen!$D$2,FALSE)</f>
        <v>Unité</v>
      </c>
      <c r="E63" s="40" t="str">
        <f>VLOOKUP(33,Textbausteine_Menu[],Hilfsgrössen!$D$2,FALSE)</f>
        <v>Notes</v>
      </c>
      <c r="F63" s="40" t="str">
        <f>VLOOKUP(34,Textbausteine_Menu[],Hilfsgrössen!$D$2,FALSE)</f>
        <v>GRI</v>
      </c>
      <c r="G63" s="49"/>
      <c r="H63" s="103">
        <v>2004</v>
      </c>
      <c r="I63" s="103">
        <v>2005</v>
      </c>
      <c r="J63" s="103">
        <v>2006</v>
      </c>
      <c r="K63" s="103">
        <v>2007</v>
      </c>
      <c r="L63" s="103">
        <v>2008</v>
      </c>
      <c r="M63" s="103">
        <v>2009</v>
      </c>
      <c r="N63" s="103">
        <v>2010</v>
      </c>
      <c r="O63" s="103">
        <v>2011</v>
      </c>
      <c r="P63" s="103">
        <v>2012</v>
      </c>
      <c r="Q63" s="103">
        <v>2013</v>
      </c>
      <c r="R63" s="103">
        <v>2014</v>
      </c>
      <c r="S63" s="103">
        <v>2015</v>
      </c>
      <c r="T63" s="103">
        <v>2016</v>
      </c>
      <c r="U63" s="251">
        <v>2017</v>
      </c>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row>
    <row r="64" spans="1:85" s="31" customFormat="1" ht="13" customHeight="1" x14ac:dyDescent="0.3">
      <c r="A64" s="90"/>
      <c r="B64" s="385"/>
      <c r="C64" s="385"/>
      <c r="D64" s="6"/>
      <c r="E64" s="11"/>
      <c r="F64" s="11"/>
      <c r="G64" s="49"/>
      <c r="H64" s="162"/>
      <c r="I64" s="162"/>
      <c r="J64" s="162"/>
      <c r="K64" s="162"/>
      <c r="L64" s="162"/>
      <c r="M64" s="162"/>
      <c r="N64" s="107"/>
      <c r="O64" s="107"/>
      <c r="P64" s="107"/>
      <c r="Q64" s="107"/>
      <c r="R64" s="107"/>
      <c r="S64" s="107"/>
      <c r="T64" s="107"/>
      <c r="U64" s="250"/>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row>
    <row r="65" spans="1:21" ht="13" customHeight="1" x14ac:dyDescent="0.3">
      <c r="B65" s="8"/>
      <c r="C65" s="9"/>
      <c r="D65" s="9"/>
      <c r="E65" s="11"/>
      <c r="F65" s="13"/>
      <c r="G65" s="49"/>
      <c r="H65" s="162"/>
      <c r="I65" s="162"/>
      <c r="J65" s="162"/>
      <c r="K65" s="162"/>
      <c r="L65" s="162"/>
      <c r="M65" s="162"/>
      <c r="T65" s="107"/>
      <c r="U65" s="250"/>
    </row>
    <row r="66" spans="1:21" ht="13" customHeight="1" x14ac:dyDescent="0.3">
      <c r="B66" s="8" t="str">
        <f>VLOOKUP(37,Textbausteine_Menu[],Hilfsgrössen!$D$2,FALSE)</f>
        <v>Groupe Suisse</v>
      </c>
      <c r="C66" s="8"/>
      <c r="D66" s="67"/>
      <c r="E66" s="11"/>
      <c r="F66" s="11"/>
      <c r="G66" s="49"/>
      <c r="H66" s="162"/>
      <c r="I66" s="162"/>
      <c r="J66" s="162"/>
      <c r="K66" s="162"/>
      <c r="L66" s="162"/>
      <c r="M66" s="162"/>
      <c r="T66" s="107"/>
      <c r="U66" s="250"/>
    </row>
    <row r="67" spans="1:21" ht="13" customHeight="1" x14ac:dyDescent="0.3">
      <c r="C67" s="224" t="str">
        <f>VLOOKUP(81,Textbausteine_401[],Hilfsgrössen!$D$2,FALSE)</f>
        <v>Taux de réponse net de l'enquête</v>
      </c>
      <c r="D67" s="218" t="str">
        <f>VLOOKUP(13,Textbausteine_401[],Hilfsgrössen!$D$2,FALSE)</f>
        <v>%</v>
      </c>
      <c r="E67" s="11"/>
      <c r="F67" s="11">
        <v>401</v>
      </c>
      <c r="G67" s="49"/>
      <c r="H67" s="163">
        <v>63.8</v>
      </c>
      <c r="I67" s="163">
        <v>65.5</v>
      </c>
      <c r="J67" s="163">
        <v>66.7</v>
      </c>
      <c r="K67" s="163">
        <v>64</v>
      </c>
      <c r="L67" s="163">
        <v>68</v>
      </c>
      <c r="M67" s="20">
        <v>73.599999999999994</v>
      </c>
      <c r="N67" s="20">
        <v>74.900000000000006</v>
      </c>
      <c r="O67" s="20">
        <v>76.400000000000006</v>
      </c>
      <c r="P67" s="107">
        <v>75.2</v>
      </c>
      <c r="Q67" s="236">
        <v>77.2</v>
      </c>
      <c r="R67" s="237">
        <v>78.599999999999994</v>
      </c>
      <c r="S67" s="236">
        <v>78.099999999999994</v>
      </c>
      <c r="T67" s="107">
        <v>79.2</v>
      </c>
      <c r="U67" s="250">
        <v>79.099999999999994</v>
      </c>
    </row>
    <row r="68" spans="1:21" ht="13" customHeight="1" x14ac:dyDescent="0.3">
      <c r="C68" s="32" t="str">
        <f>VLOOKUP(82,Textbausteine_401[],Hilfsgrössen!$D$2,FALSE)</f>
        <v>Satisfaction du personnel</v>
      </c>
      <c r="D68" s="1" t="str">
        <f>VLOOKUP(14,Textbausteine_401[],Hilfsgrössen!$D$2,FALSE)</f>
        <v>Indice</v>
      </c>
      <c r="E68" s="11">
        <v>1</v>
      </c>
      <c r="F68" s="11">
        <v>401</v>
      </c>
      <c r="G68" s="49"/>
      <c r="H68" s="163">
        <v>65</v>
      </c>
      <c r="I68" s="163">
        <v>67</v>
      </c>
      <c r="J68" s="163">
        <v>67</v>
      </c>
      <c r="K68" s="163">
        <v>67</v>
      </c>
      <c r="L68" s="163">
        <v>66</v>
      </c>
      <c r="M68" s="20">
        <v>75</v>
      </c>
      <c r="N68" s="20">
        <v>74</v>
      </c>
      <c r="O68" s="20">
        <v>75</v>
      </c>
      <c r="P68" s="107">
        <v>75</v>
      </c>
      <c r="Q68" s="236">
        <v>75</v>
      </c>
      <c r="R68" s="237">
        <v>75</v>
      </c>
      <c r="S68" s="236">
        <v>75</v>
      </c>
      <c r="T68" s="107">
        <v>74</v>
      </c>
      <c r="U68" s="250">
        <v>73</v>
      </c>
    </row>
    <row r="69" spans="1:21" ht="13" customHeight="1" x14ac:dyDescent="0.3">
      <c r="C69" s="313" t="str">
        <f>VLOOKUP(83,Textbausteine_401[],Hilfsgrössen!$D$2,FALSE)</f>
        <v>Engagement</v>
      </c>
      <c r="D69" s="218" t="str">
        <f>VLOOKUP(14,Textbausteine_401[],Hilfsgrössen!$D$2,FALSE)</f>
        <v>Indice</v>
      </c>
      <c r="E69" s="11" t="s">
        <v>79</v>
      </c>
      <c r="F69" s="11">
        <v>401</v>
      </c>
      <c r="G69" s="49"/>
      <c r="H69" s="162" t="s">
        <v>1595</v>
      </c>
      <c r="I69" s="162" t="s">
        <v>1595</v>
      </c>
      <c r="J69" s="162">
        <v>70</v>
      </c>
      <c r="K69" s="162">
        <v>70</v>
      </c>
      <c r="L69" s="162">
        <v>70</v>
      </c>
      <c r="M69" s="162">
        <v>83</v>
      </c>
      <c r="N69" s="107">
        <v>83</v>
      </c>
      <c r="O69" s="107">
        <v>83</v>
      </c>
      <c r="P69" s="107">
        <v>83</v>
      </c>
      <c r="Q69" s="107">
        <v>82</v>
      </c>
      <c r="R69" s="107">
        <v>82</v>
      </c>
      <c r="S69" s="107">
        <v>82</v>
      </c>
      <c r="T69" s="107">
        <v>82</v>
      </c>
      <c r="U69" s="250">
        <v>81</v>
      </c>
    </row>
    <row r="70" spans="1:21" ht="13" customHeight="1" x14ac:dyDescent="0.3">
      <c r="C70" s="313" t="str">
        <f>VLOOKUP(84,Textbausteine_401[],Hilfsgrössen!$D$2,FALSE)</f>
        <v>Compétitivité de l'unité</v>
      </c>
      <c r="D70" s="218" t="str">
        <f>VLOOKUP(14,Textbausteine_401[],Hilfsgrössen!$D$2,FALSE)</f>
        <v>Indice</v>
      </c>
      <c r="E70" s="11" t="s">
        <v>79</v>
      </c>
      <c r="F70" s="11">
        <v>401</v>
      </c>
      <c r="G70" s="49"/>
      <c r="H70" s="162" t="s">
        <v>1595</v>
      </c>
      <c r="I70" s="162" t="s">
        <v>1595</v>
      </c>
      <c r="J70" s="162">
        <v>65</v>
      </c>
      <c r="K70" s="162">
        <v>68</v>
      </c>
      <c r="L70" s="162">
        <v>69</v>
      </c>
      <c r="M70" s="162">
        <v>71</v>
      </c>
      <c r="N70" s="107">
        <v>71</v>
      </c>
      <c r="O70" s="107">
        <v>72</v>
      </c>
      <c r="P70" s="107">
        <v>72</v>
      </c>
      <c r="Q70" s="107">
        <v>72</v>
      </c>
      <c r="R70" s="107">
        <v>72</v>
      </c>
      <c r="S70" s="107">
        <v>73</v>
      </c>
      <c r="T70" s="107">
        <v>73</v>
      </c>
      <c r="U70" s="250">
        <v>72</v>
      </c>
    </row>
    <row r="71" spans="1:21" ht="13" customHeight="1" x14ac:dyDescent="0.3">
      <c r="C71" s="32" t="str">
        <f>VLOOKUP(85,Textbausteine_401[],Hilfsgrössen!$D$2,FALSE)</f>
        <v>Situation professionnelle</v>
      </c>
      <c r="D71" s="218" t="str">
        <f>VLOOKUP(14,Textbausteine_401[],Hilfsgrössen!$D$2,FALSE)</f>
        <v>Indice</v>
      </c>
      <c r="E71" s="11" t="s">
        <v>79</v>
      </c>
      <c r="F71" s="11">
        <v>401</v>
      </c>
      <c r="G71" s="49"/>
      <c r="H71" s="162" t="s">
        <v>1595</v>
      </c>
      <c r="I71" s="162" t="s">
        <v>1595</v>
      </c>
      <c r="J71" s="162">
        <v>70</v>
      </c>
      <c r="K71" s="162">
        <v>70</v>
      </c>
      <c r="L71" s="162">
        <v>70</v>
      </c>
      <c r="M71" s="162">
        <v>75</v>
      </c>
      <c r="N71" s="107">
        <v>75</v>
      </c>
      <c r="O71" s="107">
        <v>75</v>
      </c>
      <c r="P71" s="107">
        <v>75</v>
      </c>
      <c r="Q71" s="107">
        <v>75</v>
      </c>
      <c r="R71" s="107">
        <v>75</v>
      </c>
      <c r="S71" s="107">
        <v>76</v>
      </c>
      <c r="T71" s="107">
        <v>76</v>
      </c>
      <c r="U71" s="250">
        <v>76</v>
      </c>
    </row>
    <row r="72" spans="1:21" ht="13" customHeight="1" x14ac:dyDescent="0.3">
      <c r="C72" s="224"/>
      <c r="D72" s="218"/>
      <c r="E72" s="11"/>
      <c r="F72" s="11"/>
      <c r="G72" s="49"/>
      <c r="H72" s="162"/>
      <c r="I72" s="162"/>
      <c r="J72" s="162"/>
      <c r="K72" s="162"/>
      <c r="L72" s="162"/>
      <c r="M72" s="162"/>
      <c r="T72" s="107"/>
      <c r="U72" s="250"/>
    </row>
    <row r="73" spans="1:21" ht="13" customHeight="1" x14ac:dyDescent="0.3">
      <c r="C73" s="8" t="str">
        <f>VLOOKUP(45,Textbausteine_Menu[],Hilfsgrössen!$D$2,FALSE)</f>
        <v>PostMail</v>
      </c>
      <c r="D73" s="218"/>
      <c r="E73" s="11"/>
      <c r="F73" s="11"/>
      <c r="G73" s="49"/>
      <c r="H73" s="162"/>
      <c r="I73" s="162"/>
      <c r="J73" s="162"/>
      <c r="K73" s="162"/>
      <c r="L73" s="162"/>
      <c r="M73" s="162"/>
      <c r="T73" s="107"/>
      <c r="U73" s="250"/>
    </row>
    <row r="74" spans="1:21" ht="13" customHeight="1" x14ac:dyDescent="0.3">
      <c r="A74" s="147"/>
      <c r="B74" s="9"/>
      <c r="C74" s="15" t="str">
        <f>VLOOKUP(82,Textbausteine_401[],Hilfsgrössen!$D$2,FALSE)</f>
        <v>Satisfaction du personnel</v>
      </c>
      <c r="D74" s="9" t="str">
        <f>VLOOKUP(14,Textbausteine_401[],Hilfsgrössen!$D$2,FALSE)</f>
        <v>Indice</v>
      </c>
      <c r="E74" s="11">
        <v>1</v>
      </c>
      <c r="F74" s="11">
        <v>401</v>
      </c>
      <c r="G74" s="49"/>
      <c r="H74" s="162">
        <v>62</v>
      </c>
      <c r="I74" s="162">
        <v>64</v>
      </c>
      <c r="J74" s="162">
        <v>64</v>
      </c>
      <c r="K74" s="162">
        <v>64</v>
      </c>
      <c r="L74" s="162">
        <v>66</v>
      </c>
      <c r="M74" s="162">
        <v>75</v>
      </c>
      <c r="N74" s="107">
        <v>74</v>
      </c>
      <c r="O74" s="107">
        <v>75</v>
      </c>
      <c r="P74" s="107">
        <v>76</v>
      </c>
      <c r="Q74" s="107">
        <v>77</v>
      </c>
      <c r="R74" s="107">
        <v>77</v>
      </c>
      <c r="S74" s="107">
        <v>77</v>
      </c>
      <c r="T74" s="107">
        <v>76</v>
      </c>
      <c r="U74" s="250">
        <v>75</v>
      </c>
    </row>
    <row r="75" spans="1:21" ht="13" customHeight="1" x14ac:dyDescent="0.3">
      <c r="A75" s="147"/>
      <c r="B75" s="9"/>
      <c r="C75" s="217" t="str">
        <f>VLOOKUP(83,Textbausteine_401[],Hilfsgrössen!$D$2,FALSE)</f>
        <v>Engagement</v>
      </c>
      <c r="D75" s="218" t="str">
        <f>VLOOKUP(14,Textbausteine_401[],Hilfsgrössen!$D$2,FALSE)</f>
        <v>Indice</v>
      </c>
      <c r="E75" s="11" t="s">
        <v>79</v>
      </c>
      <c r="F75" s="11">
        <v>401</v>
      </c>
      <c r="G75" s="49"/>
      <c r="H75" s="162" t="s">
        <v>1595</v>
      </c>
      <c r="I75" s="162" t="s">
        <v>1595</v>
      </c>
      <c r="J75" s="162">
        <v>68</v>
      </c>
      <c r="K75" s="162">
        <v>68</v>
      </c>
      <c r="L75" s="162">
        <v>69</v>
      </c>
      <c r="M75" s="162">
        <v>83</v>
      </c>
      <c r="N75" s="107">
        <v>83</v>
      </c>
      <c r="O75" s="107">
        <v>83</v>
      </c>
      <c r="P75" s="107">
        <v>84</v>
      </c>
      <c r="Q75" s="107">
        <v>84</v>
      </c>
      <c r="R75" s="107">
        <v>84</v>
      </c>
      <c r="S75" s="107">
        <v>84</v>
      </c>
      <c r="T75" s="107">
        <v>83</v>
      </c>
      <c r="U75" s="250">
        <v>82</v>
      </c>
    </row>
    <row r="76" spans="1:21" ht="13" customHeight="1" x14ac:dyDescent="0.3">
      <c r="A76" s="147"/>
      <c r="B76" s="9"/>
      <c r="C76" s="15" t="str">
        <f>VLOOKUP(84,Textbausteine_401[],Hilfsgrössen!$D$2,FALSE)</f>
        <v>Compétitivité de l'unité</v>
      </c>
      <c r="D76" s="9" t="str">
        <f>VLOOKUP(14,Textbausteine_401[],Hilfsgrössen!$D$2,FALSE)</f>
        <v>Indice</v>
      </c>
      <c r="E76" s="11" t="s">
        <v>79</v>
      </c>
      <c r="F76" s="11">
        <v>401</v>
      </c>
      <c r="G76" s="49"/>
      <c r="H76" s="162" t="s">
        <v>1595</v>
      </c>
      <c r="I76" s="162" t="s">
        <v>1595</v>
      </c>
      <c r="J76" s="162" t="s">
        <v>1595</v>
      </c>
      <c r="K76" s="162" t="s">
        <v>1595</v>
      </c>
      <c r="L76" s="162" t="s">
        <v>1595</v>
      </c>
      <c r="M76" s="162" t="s">
        <v>1595</v>
      </c>
      <c r="N76" s="107" t="s">
        <v>1595</v>
      </c>
      <c r="O76" s="162" t="s">
        <v>1595</v>
      </c>
      <c r="P76" s="162" t="s">
        <v>1595</v>
      </c>
      <c r="Q76" s="107" t="s">
        <v>1595</v>
      </c>
      <c r="R76" s="162" t="s">
        <v>1595</v>
      </c>
      <c r="S76" s="162" t="s">
        <v>1595</v>
      </c>
      <c r="T76" s="107" t="s">
        <v>1595</v>
      </c>
      <c r="U76" s="250">
        <v>73</v>
      </c>
    </row>
    <row r="77" spans="1:21" ht="13" customHeight="1" x14ac:dyDescent="0.3">
      <c r="A77" s="147"/>
      <c r="B77" s="26"/>
      <c r="C77" s="15" t="str">
        <f>VLOOKUP(85,Textbausteine_401[],Hilfsgrössen!$D$2,FALSE)</f>
        <v>Situation professionnelle</v>
      </c>
      <c r="D77" s="9" t="str">
        <f>VLOOKUP(14,Textbausteine_401[],Hilfsgrössen!$D$2,FALSE)</f>
        <v>Indice</v>
      </c>
      <c r="E77" s="11" t="s">
        <v>79</v>
      </c>
      <c r="F77" s="11">
        <v>401</v>
      </c>
      <c r="G77" s="49"/>
      <c r="H77" s="162" t="s">
        <v>1595</v>
      </c>
      <c r="I77" s="162" t="s">
        <v>1595</v>
      </c>
      <c r="J77" s="162" t="s">
        <v>1595</v>
      </c>
      <c r="K77" s="162" t="s">
        <v>1595</v>
      </c>
      <c r="L77" s="162" t="s">
        <v>1595</v>
      </c>
      <c r="M77" s="162" t="s">
        <v>1595</v>
      </c>
      <c r="N77" s="162" t="s">
        <v>1595</v>
      </c>
      <c r="O77" s="162" t="s">
        <v>1595</v>
      </c>
      <c r="P77" s="162" t="s">
        <v>1595</v>
      </c>
      <c r="Q77" s="162" t="s">
        <v>1595</v>
      </c>
      <c r="R77" s="162" t="s">
        <v>1595</v>
      </c>
      <c r="S77" s="162" t="s">
        <v>1595</v>
      </c>
      <c r="T77" s="162" t="s">
        <v>1595</v>
      </c>
      <c r="U77" s="250">
        <v>77</v>
      </c>
    </row>
    <row r="78" spans="1:21" ht="13" customHeight="1" x14ac:dyDescent="0.3">
      <c r="A78" s="147"/>
      <c r="B78" s="9"/>
      <c r="C78" s="15"/>
      <c r="D78" s="9"/>
      <c r="E78" s="13"/>
      <c r="F78" s="11"/>
      <c r="G78" s="51"/>
      <c r="H78" s="162"/>
      <c r="I78" s="162"/>
      <c r="J78" s="162"/>
      <c r="K78" s="162"/>
      <c r="L78" s="162"/>
      <c r="M78" s="162"/>
      <c r="T78" s="107"/>
      <c r="U78" s="250"/>
    </row>
    <row r="79" spans="1:21" ht="13" customHeight="1" x14ac:dyDescent="0.3">
      <c r="A79" s="147"/>
      <c r="B79" s="9"/>
      <c r="C79" s="8" t="str">
        <f>VLOOKUP(48,Textbausteine_Menu[],Hilfsgrössen!$D$2,FALSE)</f>
        <v>PostLogistics</v>
      </c>
      <c r="D79" s="218"/>
      <c r="E79" s="11"/>
      <c r="F79" s="11"/>
      <c r="G79" s="49"/>
      <c r="H79" s="162"/>
      <c r="I79" s="162"/>
      <c r="J79" s="162"/>
      <c r="K79" s="162"/>
      <c r="L79" s="162"/>
      <c r="M79" s="162"/>
      <c r="T79" s="107"/>
      <c r="U79" s="250"/>
    </row>
    <row r="80" spans="1:21" ht="13" customHeight="1" x14ac:dyDescent="0.3">
      <c r="A80" s="147"/>
      <c r="B80" s="9"/>
      <c r="C80" s="15" t="str">
        <f>VLOOKUP(82,Textbausteine_401[],Hilfsgrössen!$D$2,FALSE)</f>
        <v>Satisfaction du personnel</v>
      </c>
      <c r="D80" s="9" t="str">
        <f>VLOOKUP(14,Textbausteine_401[],Hilfsgrössen!$D$2,FALSE)</f>
        <v>Indice</v>
      </c>
      <c r="E80" s="11">
        <v>1</v>
      </c>
      <c r="F80" s="11">
        <v>401</v>
      </c>
      <c r="G80" s="49"/>
      <c r="H80" s="162">
        <v>61</v>
      </c>
      <c r="I80" s="162">
        <v>62</v>
      </c>
      <c r="J80" s="162">
        <v>62</v>
      </c>
      <c r="K80" s="162">
        <v>65</v>
      </c>
      <c r="L80" s="162">
        <v>65</v>
      </c>
      <c r="M80" s="162">
        <v>74</v>
      </c>
      <c r="N80" s="107">
        <v>71</v>
      </c>
      <c r="O80" s="107">
        <v>73</v>
      </c>
      <c r="P80" s="107">
        <v>73</v>
      </c>
      <c r="Q80" s="107">
        <v>73</v>
      </c>
      <c r="R80" s="107">
        <v>73</v>
      </c>
      <c r="S80" s="107">
        <v>73</v>
      </c>
      <c r="T80" s="107">
        <v>72</v>
      </c>
      <c r="U80" s="250">
        <v>71</v>
      </c>
    </row>
    <row r="81" spans="1:21" ht="13" customHeight="1" x14ac:dyDescent="0.3">
      <c r="A81" s="147"/>
      <c r="B81" s="9"/>
      <c r="C81" s="217" t="str">
        <f>VLOOKUP(83,Textbausteine_401[],Hilfsgrössen!$D$2,FALSE)</f>
        <v>Engagement</v>
      </c>
      <c r="D81" s="218" t="str">
        <f>VLOOKUP(14,Textbausteine_401[],Hilfsgrössen!$D$2,FALSE)</f>
        <v>Indice</v>
      </c>
      <c r="E81" s="11" t="s">
        <v>79</v>
      </c>
      <c r="F81" s="11">
        <v>401</v>
      </c>
      <c r="G81" s="49"/>
      <c r="H81" s="162" t="s">
        <v>1595</v>
      </c>
      <c r="I81" s="162" t="s">
        <v>1595</v>
      </c>
      <c r="J81" s="162">
        <v>65</v>
      </c>
      <c r="K81" s="162">
        <v>68</v>
      </c>
      <c r="L81" s="162">
        <v>69</v>
      </c>
      <c r="M81" s="162">
        <v>84</v>
      </c>
      <c r="N81" s="107">
        <v>81</v>
      </c>
      <c r="O81" s="107">
        <v>82</v>
      </c>
      <c r="P81" s="107">
        <v>83</v>
      </c>
      <c r="Q81" s="107">
        <v>82</v>
      </c>
      <c r="R81" s="107">
        <v>82</v>
      </c>
      <c r="S81" s="107">
        <v>82</v>
      </c>
      <c r="T81" s="107">
        <v>81</v>
      </c>
      <c r="U81" s="250">
        <v>80</v>
      </c>
    </row>
    <row r="82" spans="1:21" ht="13" customHeight="1" x14ac:dyDescent="0.3">
      <c r="A82" s="147"/>
      <c r="B82" s="9"/>
      <c r="C82" s="15" t="str">
        <f>VLOOKUP(84,Textbausteine_401[],Hilfsgrössen!$D$2,FALSE)</f>
        <v>Compétitivité de l'unité</v>
      </c>
      <c r="D82" s="9" t="str">
        <f>VLOOKUP(14,Textbausteine_401[],Hilfsgrössen!$D$2,FALSE)</f>
        <v>Indice</v>
      </c>
      <c r="E82" s="11" t="s">
        <v>79</v>
      </c>
      <c r="F82" s="11">
        <v>401</v>
      </c>
      <c r="G82" s="49"/>
      <c r="H82" s="162" t="s">
        <v>1595</v>
      </c>
      <c r="I82" s="162" t="s">
        <v>1595</v>
      </c>
      <c r="J82" s="162" t="s">
        <v>1595</v>
      </c>
      <c r="K82" s="162" t="s">
        <v>1595</v>
      </c>
      <c r="L82" s="162" t="s">
        <v>1595</v>
      </c>
      <c r="M82" s="162" t="s">
        <v>1595</v>
      </c>
      <c r="N82" s="162" t="s">
        <v>1595</v>
      </c>
      <c r="O82" s="162" t="s">
        <v>1595</v>
      </c>
      <c r="P82" s="162" t="s">
        <v>1595</v>
      </c>
      <c r="Q82" s="162" t="s">
        <v>1595</v>
      </c>
      <c r="R82" s="162" t="s">
        <v>1595</v>
      </c>
      <c r="S82" s="162" t="s">
        <v>1595</v>
      </c>
      <c r="T82" s="162" t="s">
        <v>1595</v>
      </c>
      <c r="U82" s="250">
        <v>70</v>
      </c>
    </row>
    <row r="83" spans="1:21" ht="13" customHeight="1" x14ac:dyDescent="0.3">
      <c r="A83" s="147"/>
      <c r="B83" s="26"/>
      <c r="C83" s="15" t="str">
        <f>VLOOKUP(85,Textbausteine_401[],Hilfsgrössen!$D$2,FALSE)</f>
        <v>Situation professionnelle</v>
      </c>
      <c r="D83" s="9" t="str">
        <f>VLOOKUP(14,Textbausteine_401[],Hilfsgrössen!$D$2,FALSE)</f>
        <v>Indice</v>
      </c>
      <c r="E83" s="11" t="s">
        <v>79</v>
      </c>
      <c r="F83" s="11">
        <v>401</v>
      </c>
      <c r="G83" s="49"/>
      <c r="H83" s="162" t="s">
        <v>1595</v>
      </c>
      <c r="I83" s="162" t="s">
        <v>1595</v>
      </c>
      <c r="J83" s="162" t="s">
        <v>1595</v>
      </c>
      <c r="K83" s="162" t="s">
        <v>1595</v>
      </c>
      <c r="L83" s="162" t="s">
        <v>1595</v>
      </c>
      <c r="M83" s="162" t="s">
        <v>1595</v>
      </c>
      <c r="N83" s="162" t="s">
        <v>1595</v>
      </c>
      <c r="O83" s="162" t="s">
        <v>1595</v>
      </c>
      <c r="P83" s="162" t="s">
        <v>1595</v>
      </c>
      <c r="Q83" s="162" t="s">
        <v>1595</v>
      </c>
      <c r="R83" s="162" t="s">
        <v>1595</v>
      </c>
      <c r="S83" s="162" t="s">
        <v>1595</v>
      </c>
      <c r="T83" s="162" t="s">
        <v>1595</v>
      </c>
      <c r="U83" s="250">
        <v>73</v>
      </c>
    </row>
    <row r="84" spans="1:21" ht="13" customHeight="1" x14ac:dyDescent="0.3">
      <c r="A84" s="147"/>
      <c r="B84" s="9"/>
      <c r="C84" s="15"/>
      <c r="D84" s="9"/>
      <c r="E84" s="11"/>
      <c r="F84" s="11"/>
      <c r="G84" s="49"/>
      <c r="H84" s="162"/>
      <c r="I84" s="162"/>
      <c r="J84" s="162"/>
      <c r="K84" s="162"/>
      <c r="L84" s="162"/>
      <c r="M84" s="162"/>
      <c r="T84" s="107"/>
      <c r="U84" s="250"/>
    </row>
    <row r="85" spans="1:21" ht="13" customHeight="1" x14ac:dyDescent="0.3">
      <c r="A85" s="147"/>
      <c r="B85" s="9"/>
      <c r="C85" s="8" t="str">
        <f>VLOOKUP(46,Textbausteine_Menu[],Hilfsgrössen!$D$2,FALSE)</f>
        <v>Swiss Post Solutions</v>
      </c>
      <c r="D85" s="218"/>
      <c r="E85" s="11"/>
      <c r="F85" s="11"/>
      <c r="G85" s="49"/>
      <c r="H85" s="162"/>
      <c r="I85" s="162"/>
      <c r="J85" s="162"/>
      <c r="K85" s="162"/>
      <c r="L85" s="162"/>
      <c r="M85" s="162"/>
      <c r="T85" s="107"/>
      <c r="U85" s="250"/>
    </row>
    <row r="86" spans="1:21" ht="13" customHeight="1" x14ac:dyDescent="0.3">
      <c r="A86" s="147"/>
      <c r="B86" s="9"/>
      <c r="C86" s="15" t="str">
        <f>VLOOKUP(82,Textbausteine_401[],Hilfsgrössen!$D$2,FALSE)</f>
        <v>Satisfaction du personnel</v>
      </c>
      <c r="D86" s="9" t="str">
        <f>VLOOKUP(14,Textbausteine_401[],Hilfsgrössen!$D$2,FALSE)</f>
        <v>Indice</v>
      </c>
      <c r="E86" s="11" t="s">
        <v>802</v>
      </c>
      <c r="F86" s="11">
        <v>401</v>
      </c>
      <c r="G86" s="49"/>
      <c r="H86" s="162" t="s">
        <v>1595</v>
      </c>
      <c r="I86" s="162" t="s">
        <v>1595</v>
      </c>
      <c r="J86" s="162" t="s">
        <v>1595</v>
      </c>
      <c r="K86" s="162" t="s">
        <v>1595</v>
      </c>
      <c r="L86" s="162">
        <v>62</v>
      </c>
      <c r="M86" s="162">
        <v>68</v>
      </c>
      <c r="N86" s="107">
        <v>67</v>
      </c>
      <c r="O86" s="107">
        <v>66</v>
      </c>
      <c r="P86" s="107">
        <v>67</v>
      </c>
      <c r="Q86" s="107">
        <v>66</v>
      </c>
      <c r="R86" s="107">
        <v>67</v>
      </c>
      <c r="S86" s="107">
        <v>67</v>
      </c>
      <c r="T86" s="107">
        <v>68</v>
      </c>
      <c r="U86" s="250">
        <v>69</v>
      </c>
    </row>
    <row r="87" spans="1:21" ht="13" customHeight="1" x14ac:dyDescent="0.3">
      <c r="A87" s="147"/>
      <c r="B87" s="9"/>
      <c r="C87" s="217" t="str">
        <f>VLOOKUP(83,Textbausteine_401[],Hilfsgrössen!$D$2,FALSE)</f>
        <v>Engagement</v>
      </c>
      <c r="D87" s="218" t="str">
        <f>VLOOKUP(14,Textbausteine_401[],Hilfsgrössen!$D$2,FALSE)</f>
        <v>Indice</v>
      </c>
      <c r="E87" s="11" t="s">
        <v>1741</v>
      </c>
      <c r="F87" s="11">
        <v>401</v>
      </c>
      <c r="G87" s="49"/>
      <c r="H87" s="162" t="s">
        <v>1595</v>
      </c>
      <c r="I87" s="162" t="s">
        <v>1595</v>
      </c>
      <c r="J87" s="162" t="s">
        <v>1595</v>
      </c>
      <c r="K87" s="162" t="s">
        <v>1595</v>
      </c>
      <c r="L87" s="162">
        <v>63</v>
      </c>
      <c r="M87" s="162">
        <v>81</v>
      </c>
      <c r="N87" s="107">
        <v>80</v>
      </c>
      <c r="O87" s="107">
        <v>79</v>
      </c>
      <c r="P87" s="107">
        <v>79</v>
      </c>
      <c r="Q87" s="107">
        <v>77</v>
      </c>
      <c r="R87" s="107">
        <v>78</v>
      </c>
      <c r="S87" s="107">
        <v>77</v>
      </c>
      <c r="T87" s="107">
        <v>78</v>
      </c>
      <c r="U87" s="250">
        <v>79</v>
      </c>
    </row>
    <row r="88" spans="1:21" ht="13" customHeight="1" x14ac:dyDescent="0.3">
      <c r="A88" s="147"/>
      <c r="B88" s="9"/>
      <c r="C88" s="15" t="str">
        <f>VLOOKUP(84,Textbausteine_401[],Hilfsgrössen!$D$2,FALSE)</f>
        <v>Compétitivité de l'unité</v>
      </c>
      <c r="D88" s="9" t="str">
        <f>VLOOKUP(14,Textbausteine_401[],Hilfsgrössen!$D$2,FALSE)</f>
        <v>Indice</v>
      </c>
      <c r="E88" s="11" t="s">
        <v>1741</v>
      </c>
      <c r="F88" s="11">
        <v>401</v>
      </c>
      <c r="G88" s="49"/>
      <c r="H88" s="162" t="s">
        <v>1595</v>
      </c>
      <c r="I88" s="162" t="s">
        <v>1595</v>
      </c>
      <c r="J88" s="162" t="s">
        <v>1595</v>
      </c>
      <c r="K88" s="162" t="s">
        <v>1595</v>
      </c>
      <c r="L88" s="162" t="s">
        <v>1595</v>
      </c>
      <c r="M88" s="162" t="s">
        <v>1595</v>
      </c>
      <c r="N88" s="162" t="s">
        <v>1595</v>
      </c>
      <c r="O88" s="162" t="s">
        <v>1595</v>
      </c>
      <c r="P88" s="162" t="s">
        <v>1595</v>
      </c>
      <c r="Q88" s="162" t="s">
        <v>1595</v>
      </c>
      <c r="R88" s="162" t="s">
        <v>1595</v>
      </c>
      <c r="S88" s="162" t="s">
        <v>1595</v>
      </c>
      <c r="T88" s="162" t="s">
        <v>1595</v>
      </c>
      <c r="U88" s="250">
        <v>74</v>
      </c>
    </row>
    <row r="89" spans="1:21" ht="13" customHeight="1" x14ac:dyDescent="0.3">
      <c r="A89" s="147"/>
      <c r="B89" s="26"/>
      <c r="C89" s="15" t="str">
        <f>VLOOKUP(85,Textbausteine_401[],Hilfsgrössen!$D$2,FALSE)</f>
        <v>Situation professionnelle</v>
      </c>
      <c r="D89" s="9" t="str">
        <f>VLOOKUP(14,Textbausteine_401[],Hilfsgrössen!$D$2,FALSE)</f>
        <v>Indice</v>
      </c>
      <c r="E89" s="11" t="s">
        <v>1741</v>
      </c>
      <c r="F89" s="11">
        <v>401</v>
      </c>
      <c r="G89" s="49"/>
      <c r="H89" s="162" t="s">
        <v>1595</v>
      </c>
      <c r="I89" s="162" t="s">
        <v>1595</v>
      </c>
      <c r="J89" s="162" t="s">
        <v>1595</v>
      </c>
      <c r="K89" s="162" t="s">
        <v>1595</v>
      </c>
      <c r="L89" s="162" t="s">
        <v>1595</v>
      </c>
      <c r="M89" s="162" t="s">
        <v>1595</v>
      </c>
      <c r="N89" s="162" t="s">
        <v>1595</v>
      </c>
      <c r="O89" s="162" t="s">
        <v>1595</v>
      </c>
      <c r="P89" s="162" t="s">
        <v>1595</v>
      </c>
      <c r="Q89" s="162" t="s">
        <v>1595</v>
      </c>
      <c r="R89" s="162" t="s">
        <v>1595</v>
      </c>
      <c r="S89" s="162" t="s">
        <v>1595</v>
      </c>
      <c r="T89" s="162" t="s">
        <v>1595</v>
      </c>
      <c r="U89" s="250">
        <v>74</v>
      </c>
    </row>
    <row r="90" spans="1:21" ht="13" customHeight="1" x14ac:dyDescent="0.3">
      <c r="A90" s="147"/>
      <c r="B90" s="9"/>
      <c r="C90" s="15"/>
      <c r="D90" s="9"/>
      <c r="E90" s="13"/>
      <c r="F90" s="11"/>
      <c r="G90" s="51"/>
      <c r="H90" s="162"/>
      <c r="I90" s="162"/>
      <c r="J90" s="162"/>
      <c r="K90" s="162"/>
      <c r="L90" s="162"/>
      <c r="M90" s="162"/>
      <c r="T90" s="107"/>
      <c r="U90" s="250"/>
    </row>
    <row r="91" spans="1:21" ht="13" customHeight="1" x14ac:dyDescent="0.3">
      <c r="A91" s="147"/>
      <c r="B91" s="9"/>
      <c r="C91" s="8" t="str">
        <f>VLOOKUP(47,Textbausteine_Menu[],Hilfsgrössen!$D$2,FALSE)</f>
        <v>RéseauPostal</v>
      </c>
      <c r="D91" s="218"/>
      <c r="E91" s="11"/>
      <c r="F91" s="11"/>
      <c r="G91" s="49"/>
      <c r="H91" s="162"/>
      <c r="I91" s="162"/>
      <c r="J91" s="162"/>
      <c r="K91" s="162"/>
      <c r="L91" s="162"/>
      <c r="M91" s="162"/>
      <c r="T91" s="107"/>
      <c r="U91" s="250"/>
    </row>
    <row r="92" spans="1:21" ht="13" customHeight="1" x14ac:dyDescent="0.3">
      <c r="A92" s="147"/>
      <c r="B92" s="9"/>
      <c r="C92" s="15" t="str">
        <f>VLOOKUP(82,Textbausteine_401[],Hilfsgrössen!$D$2,FALSE)</f>
        <v>Satisfaction du personnel</v>
      </c>
      <c r="D92" s="9" t="str">
        <f>VLOOKUP(14,Textbausteine_401[],Hilfsgrössen!$D$2,FALSE)</f>
        <v>Indice</v>
      </c>
      <c r="E92" s="11">
        <v>1</v>
      </c>
      <c r="F92" s="11">
        <v>401</v>
      </c>
      <c r="G92" s="49"/>
      <c r="H92" s="162">
        <v>67</v>
      </c>
      <c r="I92" s="162">
        <v>69</v>
      </c>
      <c r="J92" s="162">
        <v>69</v>
      </c>
      <c r="K92" s="162">
        <v>69</v>
      </c>
      <c r="L92" s="162">
        <v>64</v>
      </c>
      <c r="M92" s="162">
        <v>75</v>
      </c>
      <c r="N92" s="107">
        <v>75</v>
      </c>
      <c r="O92" s="107">
        <v>76</v>
      </c>
      <c r="P92" s="107">
        <v>75</v>
      </c>
      <c r="Q92" s="107">
        <v>74</v>
      </c>
      <c r="R92" s="107">
        <v>73</v>
      </c>
      <c r="S92" s="107">
        <v>74</v>
      </c>
      <c r="T92" s="107">
        <v>72</v>
      </c>
      <c r="U92" s="250">
        <v>69</v>
      </c>
    </row>
    <row r="93" spans="1:21" ht="13" customHeight="1" x14ac:dyDescent="0.3">
      <c r="A93" s="147"/>
      <c r="B93" s="9"/>
      <c r="C93" s="217" t="str">
        <f>VLOOKUP(83,Textbausteine_401[],Hilfsgrössen!$D$2,FALSE)</f>
        <v>Engagement</v>
      </c>
      <c r="D93" s="218" t="str">
        <f>VLOOKUP(14,Textbausteine_401[],Hilfsgrössen!$D$2,FALSE)</f>
        <v>Indice</v>
      </c>
      <c r="E93" s="11" t="s">
        <v>79</v>
      </c>
      <c r="F93" s="11">
        <v>401</v>
      </c>
      <c r="G93" s="49"/>
      <c r="H93" s="162" t="s">
        <v>1595</v>
      </c>
      <c r="I93" s="162" t="s">
        <v>1595</v>
      </c>
      <c r="J93" s="162">
        <v>73</v>
      </c>
      <c r="K93" s="162">
        <v>72</v>
      </c>
      <c r="L93" s="162">
        <v>70</v>
      </c>
      <c r="M93" s="162">
        <v>80</v>
      </c>
      <c r="N93" s="107">
        <v>80</v>
      </c>
      <c r="O93" s="107">
        <v>81</v>
      </c>
      <c r="P93" s="107">
        <v>80</v>
      </c>
      <c r="Q93" s="107">
        <v>79</v>
      </c>
      <c r="R93" s="107">
        <v>78</v>
      </c>
      <c r="S93" s="107">
        <v>78</v>
      </c>
      <c r="T93" s="107">
        <v>77</v>
      </c>
      <c r="U93" s="250">
        <v>75</v>
      </c>
    </row>
    <row r="94" spans="1:21" ht="13" customHeight="1" x14ac:dyDescent="0.3">
      <c r="A94" s="147"/>
      <c r="B94" s="9"/>
      <c r="C94" s="15" t="str">
        <f>VLOOKUP(84,Textbausteine_401[],Hilfsgrössen!$D$2,FALSE)</f>
        <v>Compétitivité de l'unité</v>
      </c>
      <c r="D94" s="9" t="str">
        <f>VLOOKUP(14,Textbausteine_401[],Hilfsgrössen!$D$2,FALSE)</f>
        <v>Indice</v>
      </c>
      <c r="E94" s="11" t="s">
        <v>79</v>
      </c>
      <c r="F94" s="11">
        <v>401</v>
      </c>
      <c r="G94" s="49"/>
      <c r="H94" s="162" t="s">
        <v>1595</v>
      </c>
      <c r="I94" s="162" t="s">
        <v>1595</v>
      </c>
      <c r="J94" s="162" t="s">
        <v>1595</v>
      </c>
      <c r="K94" s="162" t="s">
        <v>1595</v>
      </c>
      <c r="L94" s="162" t="s">
        <v>1595</v>
      </c>
      <c r="M94" s="162" t="s">
        <v>1595</v>
      </c>
      <c r="N94" s="162" t="s">
        <v>1595</v>
      </c>
      <c r="O94" s="162" t="s">
        <v>1595</v>
      </c>
      <c r="P94" s="162" t="s">
        <v>1595</v>
      </c>
      <c r="Q94" s="162" t="s">
        <v>1595</v>
      </c>
      <c r="R94" s="162" t="s">
        <v>1595</v>
      </c>
      <c r="S94" s="162" t="s">
        <v>1595</v>
      </c>
      <c r="T94" s="162" t="s">
        <v>1595</v>
      </c>
      <c r="U94" s="250">
        <v>65</v>
      </c>
    </row>
    <row r="95" spans="1:21" ht="13" customHeight="1" x14ac:dyDescent="0.3">
      <c r="A95" s="147"/>
      <c r="B95" s="26"/>
      <c r="C95" s="15" t="str">
        <f>VLOOKUP(85,Textbausteine_401[],Hilfsgrössen!$D$2,FALSE)</f>
        <v>Situation professionnelle</v>
      </c>
      <c r="D95" s="9" t="str">
        <f>VLOOKUP(14,Textbausteine_401[],Hilfsgrössen!$D$2,FALSE)</f>
        <v>Indice</v>
      </c>
      <c r="E95" s="11" t="s">
        <v>79</v>
      </c>
      <c r="F95" s="11">
        <v>401</v>
      </c>
      <c r="G95" s="49"/>
      <c r="H95" s="162" t="s">
        <v>1595</v>
      </c>
      <c r="I95" s="162" t="s">
        <v>1595</v>
      </c>
      <c r="J95" s="162" t="s">
        <v>1595</v>
      </c>
      <c r="K95" s="162" t="s">
        <v>1595</v>
      </c>
      <c r="L95" s="162" t="s">
        <v>1595</v>
      </c>
      <c r="M95" s="162" t="s">
        <v>1595</v>
      </c>
      <c r="N95" s="162" t="s">
        <v>1595</v>
      </c>
      <c r="O95" s="162" t="s">
        <v>1595</v>
      </c>
      <c r="P95" s="162" t="s">
        <v>1595</v>
      </c>
      <c r="Q95" s="162" t="s">
        <v>1595</v>
      </c>
      <c r="R95" s="162" t="s">
        <v>1595</v>
      </c>
      <c r="S95" s="162" t="s">
        <v>1595</v>
      </c>
      <c r="T95" s="162" t="s">
        <v>1595</v>
      </c>
      <c r="U95" s="250">
        <v>75</v>
      </c>
    </row>
    <row r="96" spans="1:21" ht="13" customHeight="1" x14ac:dyDescent="0.3">
      <c r="A96" s="147"/>
      <c r="B96" s="9"/>
      <c r="C96" s="15"/>
      <c r="D96" s="9"/>
      <c r="E96" s="13"/>
      <c r="F96" s="11"/>
      <c r="G96" s="51"/>
      <c r="H96" s="162"/>
      <c r="I96" s="162"/>
      <c r="J96" s="162"/>
      <c r="K96" s="162"/>
      <c r="L96" s="162"/>
      <c r="M96" s="162"/>
      <c r="T96" s="107"/>
      <c r="U96" s="250"/>
    </row>
    <row r="97" spans="1:85" ht="13" customHeight="1" x14ac:dyDescent="0.3">
      <c r="A97" s="147"/>
      <c r="B97" s="9"/>
      <c r="C97" s="8" t="str">
        <f>VLOOKUP(49,Textbausteine_Menu[],Hilfsgrössen!$D$2,FALSE)</f>
        <v>PostFinance</v>
      </c>
      <c r="D97" s="218"/>
      <c r="E97" s="11"/>
      <c r="F97" s="11"/>
      <c r="G97" s="49"/>
      <c r="H97" s="162"/>
      <c r="I97" s="162"/>
      <c r="J97" s="162"/>
      <c r="K97" s="162"/>
      <c r="L97" s="162"/>
      <c r="M97" s="162"/>
      <c r="T97" s="107"/>
      <c r="U97" s="250"/>
    </row>
    <row r="98" spans="1:85" ht="13" customHeight="1" x14ac:dyDescent="0.3">
      <c r="A98" s="147"/>
      <c r="B98" s="9"/>
      <c r="C98" s="15" t="str">
        <f>VLOOKUP(82,Textbausteine_401[],Hilfsgrössen!$D$2,FALSE)</f>
        <v>Satisfaction du personnel</v>
      </c>
      <c r="D98" s="9" t="str">
        <f>VLOOKUP(14,Textbausteine_401[],Hilfsgrössen!$D$2,FALSE)</f>
        <v>Indice</v>
      </c>
      <c r="E98" s="11">
        <v>1</v>
      </c>
      <c r="F98" s="11">
        <v>401</v>
      </c>
      <c r="G98" s="49"/>
      <c r="H98" s="162">
        <v>68</v>
      </c>
      <c r="I98" s="162">
        <v>69</v>
      </c>
      <c r="J98" s="162">
        <v>70</v>
      </c>
      <c r="K98" s="162">
        <v>69</v>
      </c>
      <c r="L98" s="162">
        <v>70</v>
      </c>
      <c r="M98" s="162">
        <v>79</v>
      </c>
      <c r="N98" s="107">
        <v>80</v>
      </c>
      <c r="O98" s="107">
        <v>80</v>
      </c>
      <c r="P98" s="107">
        <v>79</v>
      </c>
      <c r="Q98" s="107">
        <v>78</v>
      </c>
      <c r="R98" s="107">
        <v>76</v>
      </c>
      <c r="S98" s="107">
        <v>78</v>
      </c>
      <c r="T98" s="107">
        <v>79</v>
      </c>
      <c r="U98" s="250">
        <v>78</v>
      </c>
    </row>
    <row r="99" spans="1:85" ht="13" customHeight="1" x14ac:dyDescent="0.3">
      <c r="A99" s="147"/>
      <c r="B99" s="9"/>
      <c r="C99" s="217" t="str">
        <f>VLOOKUP(83,Textbausteine_401[],Hilfsgrössen!$D$2,FALSE)</f>
        <v>Engagement</v>
      </c>
      <c r="D99" s="218" t="str">
        <f>VLOOKUP(14,Textbausteine_401[],Hilfsgrössen!$D$2,FALSE)</f>
        <v>Indice</v>
      </c>
      <c r="E99" s="11" t="s">
        <v>79</v>
      </c>
      <c r="F99" s="11">
        <v>401</v>
      </c>
      <c r="G99" s="49"/>
      <c r="H99" s="162" t="s">
        <v>1595</v>
      </c>
      <c r="I99" s="162" t="s">
        <v>1595</v>
      </c>
      <c r="J99" s="162">
        <v>73</v>
      </c>
      <c r="K99" s="162">
        <v>73</v>
      </c>
      <c r="L99" s="162">
        <v>76</v>
      </c>
      <c r="M99" s="162">
        <v>87</v>
      </c>
      <c r="N99" s="107">
        <v>88</v>
      </c>
      <c r="O99" s="107">
        <v>88</v>
      </c>
      <c r="P99" s="107">
        <v>87</v>
      </c>
      <c r="Q99" s="107">
        <v>86</v>
      </c>
      <c r="R99" s="107">
        <v>86</v>
      </c>
      <c r="S99" s="107">
        <v>87</v>
      </c>
      <c r="T99" s="107">
        <v>88</v>
      </c>
      <c r="U99" s="250">
        <v>86</v>
      </c>
    </row>
    <row r="100" spans="1:85" ht="13" customHeight="1" x14ac:dyDescent="0.3">
      <c r="A100" s="147"/>
      <c r="B100" s="9"/>
      <c r="C100" s="15" t="str">
        <f>VLOOKUP(84,Textbausteine_401[],Hilfsgrössen!$D$2,FALSE)</f>
        <v>Compétitivité de l'unité</v>
      </c>
      <c r="D100" s="9" t="str">
        <f>VLOOKUP(14,Textbausteine_401[],Hilfsgrössen!$D$2,FALSE)</f>
        <v>Indice</v>
      </c>
      <c r="E100" s="11" t="s">
        <v>79</v>
      </c>
      <c r="F100" s="11">
        <v>401</v>
      </c>
      <c r="G100" s="49"/>
      <c r="H100" s="162" t="s">
        <v>1595</v>
      </c>
      <c r="I100" s="162" t="s">
        <v>1595</v>
      </c>
      <c r="J100" s="162" t="s">
        <v>1595</v>
      </c>
      <c r="K100" s="162" t="s">
        <v>1595</v>
      </c>
      <c r="L100" s="162" t="s">
        <v>1595</v>
      </c>
      <c r="M100" s="162" t="s">
        <v>1595</v>
      </c>
      <c r="N100" s="162" t="s">
        <v>1595</v>
      </c>
      <c r="O100" s="162" t="s">
        <v>1595</v>
      </c>
      <c r="P100" s="162" t="s">
        <v>1595</v>
      </c>
      <c r="Q100" s="162" t="s">
        <v>1595</v>
      </c>
      <c r="R100" s="162" t="s">
        <v>1595</v>
      </c>
      <c r="S100" s="162" t="s">
        <v>1595</v>
      </c>
      <c r="T100" s="162" t="s">
        <v>1595</v>
      </c>
      <c r="U100" s="250">
        <v>74</v>
      </c>
    </row>
    <row r="101" spans="1:85" ht="13" customHeight="1" x14ac:dyDescent="0.3">
      <c r="A101" s="147"/>
      <c r="B101" s="26"/>
      <c r="C101" s="15" t="str">
        <f>VLOOKUP(85,Textbausteine_401[],Hilfsgrössen!$D$2,FALSE)</f>
        <v>Situation professionnelle</v>
      </c>
      <c r="D101" s="9" t="str">
        <f>VLOOKUP(14,Textbausteine_401[],Hilfsgrössen!$D$2,FALSE)</f>
        <v>Indice</v>
      </c>
      <c r="E101" s="11" t="s">
        <v>79</v>
      </c>
      <c r="F101" s="11">
        <v>401</v>
      </c>
      <c r="G101" s="49"/>
      <c r="H101" s="162" t="s">
        <v>1595</v>
      </c>
      <c r="I101" s="162" t="s">
        <v>1595</v>
      </c>
      <c r="J101" s="162" t="s">
        <v>1595</v>
      </c>
      <c r="K101" s="162" t="s">
        <v>1595</v>
      </c>
      <c r="L101" s="162" t="s">
        <v>1595</v>
      </c>
      <c r="M101" s="162" t="s">
        <v>1595</v>
      </c>
      <c r="N101" s="162" t="s">
        <v>1595</v>
      </c>
      <c r="O101" s="162" t="s">
        <v>1595</v>
      </c>
      <c r="P101" s="162" t="s">
        <v>1595</v>
      </c>
      <c r="Q101" s="162" t="s">
        <v>1595</v>
      </c>
      <c r="R101" s="162" t="s">
        <v>1595</v>
      </c>
      <c r="S101" s="162" t="s">
        <v>1595</v>
      </c>
      <c r="T101" s="162" t="s">
        <v>1595</v>
      </c>
      <c r="U101" s="250">
        <v>78</v>
      </c>
    </row>
    <row r="102" spans="1:85" ht="13" customHeight="1" x14ac:dyDescent="0.3">
      <c r="A102" s="147"/>
      <c r="B102" s="9"/>
      <c r="C102" s="15"/>
      <c r="D102" s="9"/>
      <c r="E102" s="13"/>
      <c r="F102" s="11"/>
      <c r="G102" s="51"/>
      <c r="H102" s="162"/>
      <c r="I102" s="162"/>
      <c r="J102" s="162"/>
      <c r="K102" s="162"/>
      <c r="L102" s="162"/>
      <c r="M102" s="162"/>
      <c r="T102" s="107"/>
      <c r="U102" s="250"/>
    </row>
    <row r="103" spans="1:85" ht="13" customHeight="1" x14ac:dyDescent="0.3">
      <c r="A103" s="147"/>
      <c r="B103" s="9"/>
      <c r="C103" s="8" t="str">
        <f>VLOOKUP(50,Textbausteine_Menu[],Hilfsgrössen!$D$2,FALSE)</f>
        <v>CarPostal</v>
      </c>
      <c r="D103" s="218"/>
      <c r="E103" s="11"/>
      <c r="F103" s="11"/>
      <c r="G103" s="49"/>
      <c r="H103" s="162"/>
      <c r="I103" s="162"/>
      <c r="J103" s="162"/>
      <c r="K103" s="162"/>
      <c r="L103" s="162"/>
      <c r="M103" s="162"/>
      <c r="T103" s="107"/>
      <c r="U103" s="250"/>
    </row>
    <row r="104" spans="1:85" ht="13" customHeight="1" x14ac:dyDescent="0.3">
      <c r="A104" s="147"/>
      <c r="B104" s="9"/>
      <c r="C104" s="15" t="str">
        <f>VLOOKUP(82,Textbausteine_401[],Hilfsgrössen!$D$2,FALSE)</f>
        <v>Satisfaction du personnel</v>
      </c>
      <c r="D104" s="9" t="str">
        <f>VLOOKUP(14,Textbausteine_401[],Hilfsgrössen!$D$2,FALSE)</f>
        <v>Indice</v>
      </c>
      <c r="E104" s="11">
        <v>1</v>
      </c>
      <c r="F104" s="11">
        <v>401</v>
      </c>
      <c r="G104" s="49"/>
      <c r="H104" s="162">
        <v>67</v>
      </c>
      <c r="I104" s="162">
        <v>67</v>
      </c>
      <c r="J104" s="162">
        <v>68</v>
      </c>
      <c r="K104" s="162">
        <v>68</v>
      </c>
      <c r="L104" s="162">
        <v>67</v>
      </c>
      <c r="M104" s="162">
        <v>74</v>
      </c>
      <c r="N104" s="107">
        <v>75</v>
      </c>
      <c r="O104" s="107">
        <v>75</v>
      </c>
      <c r="P104" s="107">
        <v>76</v>
      </c>
      <c r="Q104" s="107">
        <v>76</v>
      </c>
      <c r="R104" s="107">
        <v>76</v>
      </c>
      <c r="S104" s="107">
        <v>76</v>
      </c>
      <c r="T104" s="107">
        <v>75</v>
      </c>
      <c r="U104" s="250">
        <v>74</v>
      </c>
    </row>
    <row r="105" spans="1:85" ht="13" customHeight="1" x14ac:dyDescent="0.3">
      <c r="A105" s="147"/>
      <c r="B105" s="9"/>
      <c r="C105" s="217" t="str">
        <f>VLOOKUP(83,Textbausteine_401[],Hilfsgrössen!$D$2,FALSE)</f>
        <v>Engagement</v>
      </c>
      <c r="D105" s="218" t="str">
        <f>VLOOKUP(14,Textbausteine_401[],Hilfsgrössen!$D$2,FALSE)</f>
        <v>Indice</v>
      </c>
      <c r="E105" s="11" t="s">
        <v>79</v>
      </c>
      <c r="F105" s="11">
        <v>401</v>
      </c>
      <c r="G105" s="49"/>
      <c r="H105" s="162" t="s">
        <v>1595</v>
      </c>
      <c r="I105" s="162" t="s">
        <v>1595</v>
      </c>
      <c r="J105" s="162">
        <v>72</v>
      </c>
      <c r="K105" s="162">
        <v>70</v>
      </c>
      <c r="L105" s="162">
        <v>70</v>
      </c>
      <c r="M105" s="162">
        <v>84</v>
      </c>
      <c r="N105" s="107">
        <v>85</v>
      </c>
      <c r="O105" s="107">
        <v>85</v>
      </c>
      <c r="P105" s="107">
        <v>86</v>
      </c>
      <c r="Q105" s="107">
        <v>86</v>
      </c>
      <c r="R105" s="107">
        <v>86</v>
      </c>
      <c r="S105" s="107">
        <v>86</v>
      </c>
      <c r="T105" s="107">
        <v>85</v>
      </c>
      <c r="U105" s="250">
        <v>83</v>
      </c>
    </row>
    <row r="106" spans="1:85" ht="13" customHeight="1" x14ac:dyDescent="0.3">
      <c r="A106" s="147"/>
      <c r="B106" s="9"/>
      <c r="C106" s="15" t="str">
        <f>VLOOKUP(84,Textbausteine_401[],Hilfsgrössen!$D$2,FALSE)</f>
        <v>Compétitivité de l'unité</v>
      </c>
      <c r="D106" s="9" t="str">
        <f>VLOOKUP(14,Textbausteine_401[],Hilfsgrössen!$D$2,FALSE)</f>
        <v>Indice</v>
      </c>
      <c r="E106" s="11" t="s">
        <v>79</v>
      </c>
      <c r="F106" s="11">
        <v>401</v>
      </c>
      <c r="G106" s="49"/>
      <c r="H106" s="162" t="s">
        <v>1595</v>
      </c>
      <c r="I106" s="162" t="s">
        <v>1595</v>
      </c>
      <c r="J106" s="162" t="s">
        <v>1595</v>
      </c>
      <c r="K106" s="162" t="s">
        <v>1595</v>
      </c>
      <c r="L106" s="162" t="s">
        <v>1595</v>
      </c>
      <c r="M106" s="162" t="s">
        <v>1595</v>
      </c>
      <c r="N106" s="162" t="s">
        <v>1595</v>
      </c>
      <c r="O106" s="162" t="s">
        <v>1595</v>
      </c>
      <c r="P106" s="162" t="s">
        <v>1595</v>
      </c>
      <c r="Q106" s="162" t="s">
        <v>1595</v>
      </c>
      <c r="R106" s="162" t="s">
        <v>1595</v>
      </c>
      <c r="S106" s="162" t="s">
        <v>1595</v>
      </c>
      <c r="T106" s="162" t="s">
        <v>1595</v>
      </c>
      <c r="U106" s="250">
        <v>70</v>
      </c>
    </row>
    <row r="107" spans="1:85" ht="13" customHeight="1" x14ac:dyDescent="0.3">
      <c r="A107" s="147"/>
      <c r="B107" s="26"/>
      <c r="C107" s="15" t="str">
        <f>VLOOKUP(85,Textbausteine_401[],Hilfsgrössen!$D$2,FALSE)</f>
        <v>Situation professionnelle</v>
      </c>
      <c r="D107" s="9" t="str">
        <f>VLOOKUP(14,Textbausteine_401[],Hilfsgrössen!$D$2,FALSE)</f>
        <v>Indice</v>
      </c>
      <c r="E107" s="11" t="s">
        <v>79</v>
      </c>
      <c r="F107" s="11">
        <v>401</v>
      </c>
      <c r="G107" s="49"/>
      <c r="H107" s="162" t="s">
        <v>1595</v>
      </c>
      <c r="I107" s="162" t="s">
        <v>1595</v>
      </c>
      <c r="J107" s="162" t="s">
        <v>1595</v>
      </c>
      <c r="K107" s="162" t="s">
        <v>1595</v>
      </c>
      <c r="L107" s="162" t="s">
        <v>1595</v>
      </c>
      <c r="M107" s="162" t="s">
        <v>1595</v>
      </c>
      <c r="N107" s="162" t="s">
        <v>1595</v>
      </c>
      <c r="O107" s="162" t="s">
        <v>1595</v>
      </c>
      <c r="P107" s="162" t="s">
        <v>1595</v>
      </c>
      <c r="Q107" s="162" t="s">
        <v>1595</v>
      </c>
      <c r="R107" s="162" t="s">
        <v>1595</v>
      </c>
      <c r="S107" s="162" t="s">
        <v>1595</v>
      </c>
      <c r="T107" s="162" t="s">
        <v>1595</v>
      </c>
      <c r="U107" s="250">
        <v>73</v>
      </c>
    </row>
    <row r="108" spans="1:85" ht="13" customHeight="1" x14ac:dyDescent="0.3">
      <c r="G108" s="49"/>
      <c r="T108" s="107"/>
      <c r="U108" s="107"/>
    </row>
    <row r="109" spans="1:85" ht="12.65" customHeight="1" x14ac:dyDescent="0.3">
      <c r="A109" s="81"/>
      <c r="B109" s="26" t="str">
        <f>VLOOKUP(151,Textbausteine_401[],Hilfsgrössen!$D$2,FALSE)</f>
        <v>1) L'enquête auprès du personnel a été remaniée en 2009. Les résultats ne peuvent donc pas être comparés avec ceux des années précédentes.</v>
      </c>
      <c r="C109" s="68"/>
      <c r="E109" s="11"/>
      <c r="F109" s="11"/>
      <c r="G109" s="49"/>
      <c r="H109" s="175"/>
      <c r="I109" s="175"/>
      <c r="J109" s="175"/>
      <c r="K109" s="175"/>
      <c r="L109" s="175"/>
      <c r="M109" s="175"/>
      <c r="N109" s="162"/>
      <c r="O109" s="162"/>
      <c r="P109" s="162"/>
      <c r="Q109" s="162"/>
      <c r="R109" s="162"/>
      <c r="S109" s="162"/>
      <c r="T109" s="163"/>
      <c r="U109" s="163"/>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row>
    <row r="110" spans="1:85" ht="12.65" customHeight="1" x14ac:dyDescent="0.3">
      <c r="A110" s="81"/>
      <c r="B110" s="26" t="str">
        <f>VLOOKUP(152,Textbausteine_401[],Hilfsgrössen!$D$2,FALSE)</f>
        <v>2) Cette dimension a été relevée pour la première fois dans l'enquête auprès du personnel 2006.</v>
      </c>
      <c r="C110" s="15"/>
      <c r="D110" s="9"/>
      <c r="E110" s="44"/>
      <c r="F110" s="44"/>
      <c r="G110" s="49"/>
      <c r="H110" s="162"/>
      <c r="I110" s="162"/>
      <c r="J110" s="162"/>
      <c r="K110" s="162"/>
      <c r="L110" s="162"/>
      <c r="M110" s="162"/>
      <c r="N110" s="20"/>
      <c r="O110" s="20"/>
      <c r="Q110" s="163"/>
      <c r="R110" s="162"/>
      <c r="S110" s="162"/>
      <c r="T110" s="163"/>
      <c r="U110" s="163"/>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row>
    <row r="111" spans="1:85" ht="13" customHeight="1" x14ac:dyDescent="0.3">
      <c r="B111" s="26" t="str">
        <f>VLOOKUP(153,Textbausteine_401[],Hilfsgrössen!$D$2,FALSE)</f>
        <v>3) L'unité du groupe Swiss Post Solutions n'existant que depuis le 1er octobre 2007, aucune valeur ne peut être présentée pour les années précédentes.</v>
      </c>
      <c r="T111" s="107"/>
      <c r="U111" s="107"/>
    </row>
    <row r="112" spans="1:85" ht="13" customHeight="1" x14ac:dyDescent="0.3">
      <c r="T112" s="107"/>
      <c r="U112" s="107"/>
    </row>
    <row r="113" spans="7:21" ht="13" customHeight="1" x14ac:dyDescent="0.3">
      <c r="T113" s="107"/>
      <c r="U113" s="107"/>
    </row>
    <row r="114" spans="7:21" ht="13" customHeight="1" x14ac:dyDescent="0.3">
      <c r="T114" s="107"/>
      <c r="U114" s="107"/>
    </row>
    <row r="115" spans="7:21" ht="13" customHeight="1" x14ac:dyDescent="0.3">
      <c r="G115" s="48"/>
      <c r="T115" s="107"/>
      <c r="U115" s="107"/>
    </row>
    <row r="116" spans="7:21" ht="13" customHeight="1" x14ac:dyDescent="0.3">
      <c r="G116" s="48"/>
      <c r="T116" s="107"/>
      <c r="U116" s="107"/>
    </row>
    <row r="117" spans="7:21" ht="13" customHeight="1" x14ac:dyDescent="0.3">
      <c r="G117" s="49"/>
      <c r="T117" s="107"/>
      <c r="U117" s="107"/>
    </row>
    <row r="118" spans="7:21" ht="13" customHeight="1" x14ac:dyDescent="0.3">
      <c r="G118" s="46"/>
      <c r="T118" s="107"/>
      <c r="U118" s="107"/>
    </row>
    <row r="119" spans="7:21" ht="13" customHeight="1" x14ac:dyDescent="0.3">
      <c r="G119" s="49"/>
    </row>
    <row r="120" spans="7:21" ht="13" customHeight="1" x14ac:dyDescent="0.3">
      <c r="G120" s="49"/>
    </row>
    <row r="121" spans="7:21" ht="13" customHeight="1" x14ac:dyDescent="0.3">
      <c r="G121" s="49"/>
    </row>
    <row r="122" spans="7:21" ht="13" customHeight="1" x14ac:dyDescent="0.3">
      <c r="G122" s="49"/>
    </row>
    <row r="123" spans="7:21" ht="13" customHeight="1" x14ac:dyDescent="0.3">
      <c r="G123" s="54"/>
      <c r="H123" s="160"/>
      <c r="I123" s="160"/>
      <c r="J123" s="160"/>
      <c r="K123" s="160"/>
      <c r="L123" s="160"/>
      <c r="M123" s="160"/>
    </row>
    <row r="124" spans="7:21" ht="13" customHeight="1" x14ac:dyDescent="0.3">
      <c r="G124" s="54"/>
      <c r="H124" s="160"/>
      <c r="I124" s="160"/>
      <c r="J124" s="160"/>
      <c r="K124" s="160"/>
      <c r="L124" s="160"/>
      <c r="M124" s="160"/>
    </row>
    <row r="125" spans="7:21" ht="13" customHeight="1" x14ac:dyDescent="0.3">
      <c r="G125" s="54"/>
      <c r="T125" s="119"/>
      <c r="U125" s="119"/>
    </row>
    <row r="126" spans="7:21" ht="13" customHeight="1" x14ac:dyDescent="0.3">
      <c r="H126" s="117"/>
      <c r="I126" s="117"/>
      <c r="J126" s="117"/>
      <c r="K126" s="117"/>
      <c r="L126" s="117"/>
      <c r="M126" s="117"/>
      <c r="T126" s="119"/>
      <c r="U126" s="119"/>
    </row>
    <row r="130" spans="20:21" ht="13" customHeight="1" x14ac:dyDescent="0.3">
      <c r="T130" s="140"/>
      <c r="U130" s="140"/>
    </row>
    <row r="131" spans="20:21" ht="13" customHeight="1" x14ac:dyDescent="0.3">
      <c r="T131" s="140"/>
      <c r="U131" s="140"/>
    </row>
    <row r="132" spans="20:21" ht="13" customHeight="1" x14ac:dyDescent="0.3">
      <c r="T132" s="140"/>
      <c r="U132" s="140"/>
    </row>
    <row r="133" spans="20:21" ht="13" customHeight="1" x14ac:dyDescent="0.3">
      <c r="T133" s="140"/>
      <c r="U133" s="140"/>
    </row>
    <row r="134" spans="20:21" ht="13" customHeight="1" x14ac:dyDescent="0.3">
      <c r="T134" s="140"/>
      <c r="U134" s="140"/>
    </row>
    <row r="135" spans="20:21" ht="13" customHeight="1" x14ac:dyDescent="0.3">
      <c r="T135" s="140"/>
      <c r="U135" s="140"/>
    </row>
    <row r="136" spans="20:21" ht="13" customHeight="1" x14ac:dyDescent="0.3">
      <c r="T136" s="140"/>
      <c r="U136" s="140"/>
    </row>
    <row r="137" spans="20:21" ht="13" customHeight="1" x14ac:dyDescent="0.3">
      <c r="T137" s="140"/>
      <c r="U137" s="140"/>
    </row>
    <row r="145" spans="8:13" ht="13" customHeight="1" x14ac:dyDescent="0.3">
      <c r="H145" s="160"/>
      <c r="I145" s="160"/>
      <c r="J145" s="160"/>
      <c r="K145" s="160"/>
      <c r="L145" s="160"/>
      <c r="M145" s="160"/>
    </row>
    <row r="146" spans="8:13" ht="13" customHeight="1" x14ac:dyDescent="0.3">
      <c r="H146" s="161"/>
      <c r="I146" s="161"/>
      <c r="J146" s="161"/>
      <c r="K146" s="161"/>
      <c r="L146" s="161"/>
      <c r="M146" s="161"/>
    </row>
  </sheetData>
  <sheetProtection algorithmName="SHA-512" hashValue="gjxsqSYDNmee+FIwkcNBYzisC476hxWA1V+oA0/VghkeK1zXZ9MojrRR7KhWk3VYfVhT8XFr2nlh6mjH9TnV8w==" saltValue="djdhtbl2Y2Y8QTgiNuyxaA==" spinCount="100000" sheet="1" objects="1" scenarios="1"/>
  <mergeCells count="6">
    <mergeCell ref="D2:E2"/>
    <mergeCell ref="B63:C64"/>
    <mergeCell ref="B2:C2"/>
    <mergeCell ref="B3:C3"/>
    <mergeCell ref="B12:C13"/>
    <mergeCell ref="B53:C54"/>
  </mergeCells>
  <conditionalFormatting sqref="H1:CA15 H43:CA43 V16:CA42 H46:CA67 V44:CA45 H108:CA1048576 V68:CA107">
    <cfRule type="expression" dxfId="36" priority="4">
      <formula>AND($A1="",ABS(H1)=0)</formula>
    </cfRule>
    <cfRule type="expression" dxfId="35" priority="5">
      <formula>AND($A1="",ABS(H1)&lt;10)</formula>
    </cfRule>
    <cfRule type="expression" dxfId="34" priority="6">
      <formula>AND($A1="",ABS(H1)&lt;100)</formula>
    </cfRule>
    <cfRule type="expression" dxfId="33" priority="7">
      <formula>AND($A1="",ABS(H1)&gt;=100)</formula>
    </cfRule>
  </conditionalFormatting>
  <conditionalFormatting sqref="H6:CA15 H43:CA43 V16:CA42 H46:CA67 V44:CA45 H108:CA10000 V68:CA107">
    <cfRule type="expression" dxfId="32" priority="3">
      <formula>AND($D6&lt;&gt;"",H$12&lt;&gt;"",H6="")</formula>
    </cfRule>
  </conditionalFormatting>
  <conditionalFormatting sqref="B1:D1048576">
    <cfRule type="expression" dxfId="31" priority="2">
      <formula>AND(B1&lt;&gt;"",NOT(_xlfn.ISFORMULA(B1)))</formula>
    </cfRule>
  </conditionalFormatting>
  <conditionalFormatting sqref="H44:U45">
    <cfRule type="expression" dxfId="30" priority="1">
      <formula>AND($A1048576="",ABS(XEY1048576)&lt;100)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1" display="Ó"/>
    <hyperlink ref="A53" location="GRI_401" display="Ó"/>
    <hyperlink ref="C7" location="GRI_401_1" display="GRI_401_1"/>
    <hyperlink ref="C8" location="GRI_401_3" display="GRI_401_3"/>
    <hyperlink ref="D2" location="Home" display="Home"/>
    <hyperlink ref="A63" location="GRI_401" display="Ó"/>
    <hyperlink ref="C9" location="GRI_401_a" display="Personalumfrage"/>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9E2A2F"/>
  </sheetPr>
  <dimension ref="A2:CG14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66.1796875" style="9" customWidth="1"/>
    <col min="4" max="4" width="30.7265625" style="1" customWidth="1"/>
    <col min="5" max="5" width="9.453125" style="37" customWidth="1"/>
    <col min="6" max="6" width="14.1796875" style="37" customWidth="1"/>
    <col min="7" max="7" width="2.453125" style="47" customWidth="1"/>
    <col min="8" max="13" width="12" style="37"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7" t="str">
        <f>UPPER(RIGHT('Table des matières'!$C$29,LEN('Table des matières'!$C$29)-FIND(" – ",'Table des matières'!$C$29,1)-2))</f>
        <v>SANTÉ ET SÉCURITÉ AU TRAVAIL</v>
      </c>
      <c r="C2" s="397"/>
      <c r="D2" s="386" t="str">
        <f>VLOOKUP(35,Textbausteine_Menu[],Hilfsgrössen!$D$2,FALSE)</f>
        <v>retour à la table des matières</v>
      </c>
      <c r="E2" s="387"/>
      <c r="F2" s="145" t="s">
        <v>88</v>
      </c>
      <c r="G2" s="171"/>
      <c r="H2" s="92"/>
      <c r="I2" s="92"/>
      <c r="J2" s="92"/>
      <c r="K2" s="92"/>
      <c r="L2" s="92"/>
      <c r="M2" s="92"/>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"&amp;LEFT('Table des matières'!$C$29,3))</f>
        <v>GRI 403</v>
      </c>
      <c r="C3" s="391"/>
      <c r="E3" s="38"/>
      <c r="F3" s="38"/>
      <c r="G3" s="45"/>
      <c r="H3" s="38"/>
      <c r="I3" s="38"/>
      <c r="J3" s="38"/>
      <c r="K3" s="38"/>
      <c r="L3" s="38"/>
      <c r="M3" s="38"/>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Divulgations</v>
      </c>
      <c r="C6" s="6"/>
      <c r="E6" s="39"/>
      <c r="F6" s="39"/>
      <c r="G6" s="46"/>
      <c r="H6" s="39"/>
      <c r="I6" s="39"/>
      <c r="J6" s="39"/>
      <c r="K6" s="39"/>
      <c r="L6" s="39"/>
      <c r="M6" s="39"/>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3" customHeight="1" x14ac:dyDescent="0.3">
      <c r="B7" s="2"/>
      <c r="C7" s="148" t="str">
        <f>VLOOKUP(1,Textbausteine_403[],Hilfsgrössen!$D$2,FALSE)</f>
        <v>Gestion de la santé</v>
      </c>
      <c r="D7" s="4"/>
    </row>
    <row r="8" spans="1:85" ht="13" customHeight="1" x14ac:dyDescent="0.3">
      <c r="B8" s="2"/>
    </row>
    <row r="9" spans="1:85" ht="13" customHeight="1" x14ac:dyDescent="0.3">
      <c r="B9" s="2"/>
    </row>
    <row r="10" spans="1:85" s="31" customFormat="1" ht="13" customHeight="1" x14ac:dyDescent="0.3">
      <c r="A10" s="56" t="s">
        <v>900</v>
      </c>
      <c r="B10" s="385" t="str">
        <f>$C$7</f>
        <v>Gestion de la santé</v>
      </c>
      <c r="C10" s="385"/>
      <c r="D10" s="6" t="str">
        <f>VLOOKUP(32,Textbausteine_Menu[],Hilfsgrössen!$D$2,FALSE)</f>
        <v>Unité</v>
      </c>
      <c r="E10" s="39" t="str">
        <f>VLOOKUP(33,Textbausteine_Menu[],Hilfsgrössen!$D$2,FALSE)</f>
        <v>Notes</v>
      </c>
      <c r="F10" s="39" t="str">
        <f>VLOOKUP(34,Textbausteine_Menu[],Hilfsgrössen!$D$2,FALSE)</f>
        <v>GRI</v>
      </c>
      <c r="G10" s="47"/>
      <c r="H10" s="113">
        <v>2004</v>
      </c>
      <c r="I10" s="113">
        <v>2005</v>
      </c>
      <c r="J10" s="113">
        <v>2006</v>
      </c>
      <c r="K10" s="113">
        <v>2007</v>
      </c>
      <c r="L10" s="113">
        <v>2008</v>
      </c>
      <c r="M10" s="113">
        <v>2009</v>
      </c>
      <c r="N10" s="117">
        <v>2010</v>
      </c>
      <c r="O10" s="117">
        <v>2011</v>
      </c>
      <c r="P10" s="117">
        <v>2012</v>
      </c>
      <c r="Q10" s="117">
        <v>2013</v>
      </c>
      <c r="R10" s="117">
        <v>2014</v>
      </c>
      <c r="S10" s="117">
        <v>2015</v>
      </c>
      <c r="T10" s="117">
        <v>2016</v>
      </c>
      <c r="U10" s="247">
        <v>2017</v>
      </c>
      <c r="V10" s="7"/>
      <c r="W10" s="7"/>
      <c r="X10" s="7"/>
      <c r="Y10" s="7"/>
      <c r="Z10" s="7"/>
      <c r="AA10" s="7"/>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row>
    <row r="11" spans="1:85" s="31" customFormat="1" ht="13" customHeight="1" x14ac:dyDescent="0.3">
      <c r="A11" s="90"/>
      <c r="B11" s="385"/>
      <c r="C11" s="385"/>
      <c r="D11" s="6"/>
      <c r="E11" s="40"/>
      <c r="F11" s="40"/>
      <c r="G11" s="47"/>
      <c r="H11" s="114"/>
      <c r="I11" s="114"/>
      <c r="J11" s="114"/>
      <c r="K11" s="114"/>
      <c r="L11" s="114"/>
      <c r="M11" s="114"/>
      <c r="N11" s="143"/>
      <c r="O11" s="143"/>
      <c r="P11" s="143"/>
      <c r="Q11" s="143"/>
      <c r="R11" s="143"/>
      <c r="S11" s="143"/>
      <c r="T11" s="119"/>
      <c r="U11" s="248"/>
      <c r="V11" s="129"/>
      <c r="W11" s="122"/>
      <c r="X11" s="122"/>
      <c r="Y11" s="122"/>
      <c r="Z11" s="122"/>
      <c r="AA11" s="122"/>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row>
    <row r="12" spans="1:85" ht="13" customHeight="1" x14ac:dyDescent="0.3">
      <c r="B12" s="8"/>
      <c r="D12" s="9"/>
      <c r="E12" s="40"/>
      <c r="F12" s="40"/>
      <c r="G12" s="48"/>
      <c r="U12" s="249"/>
      <c r="V12" s="12"/>
      <c r="W12" s="13"/>
      <c r="X12" s="13"/>
      <c r="Y12" s="13"/>
      <c r="Z12" s="13"/>
      <c r="AA12" s="13"/>
    </row>
    <row r="13" spans="1:85" ht="13" customHeight="1" x14ac:dyDescent="0.3">
      <c r="B13" s="8" t="str">
        <f>VLOOKUP(37,Textbausteine_Menu[],Hilfsgrössen!$D$2,FALSE)</f>
        <v>Groupe Suisse</v>
      </c>
      <c r="C13" s="8"/>
      <c r="D13" s="67"/>
      <c r="E13" s="12"/>
      <c r="F13" s="11"/>
      <c r="G13" s="48"/>
      <c r="U13" s="249"/>
    </row>
    <row r="14" spans="1:85" ht="13" customHeight="1" x14ac:dyDescent="0.3">
      <c r="C14" s="8" t="str">
        <f>VLOOKUP(31,Textbausteine_403[],Hilfsgrössen!$D$2,FALSE)</f>
        <v>Accidents</v>
      </c>
      <c r="D14" s="238"/>
      <c r="E14" s="11"/>
      <c r="F14" s="11"/>
      <c r="G14" s="49"/>
      <c r="H14" s="115"/>
      <c r="I14" s="115"/>
      <c r="J14" s="115"/>
      <c r="K14" s="115"/>
      <c r="L14" s="115"/>
      <c r="M14" s="115"/>
      <c r="N14" s="20"/>
      <c r="O14" s="20"/>
      <c r="R14" s="137"/>
      <c r="S14" s="137"/>
      <c r="U14" s="249"/>
      <c r="V14" s="14"/>
      <c r="W14" s="17"/>
      <c r="X14" s="17"/>
      <c r="Y14" s="17"/>
      <c r="Z14" s="17"/>
      <c r="AA14" s="17"/>
    </row>
    <row r="15" spans="1:85" ht="13" customHeight="1" x14ac:dyDescent="0.3">
      <c r="C15" s="19" t="str">
        <f>VLOOKUP(32,Textbausteine_403[],Hilfsgrössen!$D$2,FALSE)</f>
        <v>Accidents professionnels</v>
      </c>
      <c r="D15" s="67" t="str">
        <f>VLOOKUP(11,Textbausteine_403[],Hilfsgrössen!$D$2,FALSE)</f>
        <v>Nombre pour 100 unités de personnel</v>
      </c>
      <c r="E15" s="11">
        <v>1</v>
      </c>
      <c r="F15" s="11" t="s">
        <v>858</v>
      </c>
      <c r="G15" s="49"/>
      <c r="H15" s="239">
        <v>6.4</v>
      </c>
      <c r="I15" s="240">
        <v>6.12</v>
      </c>
      <c r="J15" s="240">
        <v>5.93</v>
      </c>
      <c r="K15" s="240">
        <v>5.48</v>
      </c>
      <c r="L15" s="179">
        <v>6.28</v>
      </c>
      <c r="M15" s="179">
        <v>6.49</v>
      </c>
      <c r="N15" s="20">
        <v>7.49</v>
      </c>
      <c r="O15" s="20">
        <v>6.92</v>
      </c>
      <c r="P15" s="107">
        <v>7.23</v>
      </c>
      <c r="Q15" s="107">
        <v>6.61</v>
      </c>
      <c r="R15" s="137">
        <v>5.92</v>
      </c>
      <c r="S15" s="137">
        <v>6.06</v>
      </c>
      <c r="T15" s="20">
        <v>5.91</v>
      </c>
      <c r="U15" s="249">
        <v>6.4690065933095084</v>
      </c>
      <c r="V15" s="14"/>
      <c r="W15" s="17"/>
      <c r="X15" s="17"/>
      <c r="Y15" s="17"/>
      <c r="Z15" s="17"/>
      <c r="AA15" s="17"/>
    </row>
    <row r="16" spans="1:85" ht="13" customHeight="1" x14ac:dyDescent="0.3">
      <c r="C16" s="221" t="str">
        <f>VLOOKUP(33,Textbausteine_403[],Hilfsgrössen!$D$2,FALSE)</f>
        <v>Accidents professionnels PostMail</v>
      </c>
      <c r="D16" s="67" t="str">
        <f>VLOOKUP(11,Textbausteine_403[],Hilfsgrössen!$D$2,FALSE)</f>
        <v>Nombre pour 100 unités de personnel</v>
      </c>
      <c r="E16" s="11">
        <v>1</v>
      </c>
      <c r="F16" s="11" t="s">
        <v>858</v>
      </c>
      <c r="G16" s="49"/>
      <c r="H16" s="239">
        <v>7.2</v>
      </c>
      <c r="I16" s="240">
        <v>7.14</v>
      </c>
      <c r="J16" s="240">
        <v>6.94</v>
      </c>
      <c r="K16" s="240">
        <v>6.48</v>
      </c>
      <c r="L16" s="179">
        <v>7.96</v>
      </c>
      <c r="M16" s="241">
        <v>8.77</v>
      </c>
      <c r="N16" s="20">
        <v>11.04</v>
      </c>
      <c r="O16" s="20">
        <v>9.4</v>
      </c>
      <c r="P16" s="107">
        <v>10.54</v>
      </c>
      <c r="Q16" s="107">
        <v>9.66</v>
      </c>
      <c r="R16" s="137">
        <v>8.15</v>
      </c>
      <c r="S16" s="137">
        <v>8.42</v>
      </c>
      <c r="T16" s="119">
        <v>8.17</v>
      </c>
      <c r="U16" s="248">
        <v>8.7123982237787647</v>
      </c>
      <c r="V16" s="14"/>
      <c r="W16" s="14"/>
      <c r="X16" s="14"/>
      <c r="Y16" s="14"/>
      <c r="Z16" s="14"/>
    </row>
    <row r="17" spans="3:27" ht="13" customHeight="1" x14ac:dyDescent="0.3">
      <c r="C17" s="221" t="str">
        <f>VLOOKUP(34,Textbausteine_403[],Hilfsgrössen!$D$2,FALSE)</f>
        <v xml:space="preserve">Accidents professionnels PostLogistics </v>
      </c>
      <c r="D17" s="67" t="str">
        <f>VLOOKUP(11,Textbausteine_403[],Hilfsgrössen!$D$2,FALSE)</f>
        <v>Nombre pour 100 unités de personnel</v>
      </c>
      <c r="E17" s="11">
        <v>1</v>
      </c>
      <c r="F17" s="11" t="s">
        <v>858</v>
      </c>
      <c r="G17" s="49"/>
      <c r="H17" s="240">
        <v>11.38</v>
      </c>
      <c r="I17" s="240">
        <v>10.73</v>
      </c>
      <c r="J17" s="240">
        <v>10.18</v>
      </c>
      <c r="K17" s="240">
        <v>9.9600000000000009</v>
      </c>
      <c r="L17" s="179">
        <v>11.02</v>
      </c>
      <c r="M17" s="179">
        <v>11.01</v>
      </c>
      <c r="N17" s="20">
        <v>11.69</v>
      </c>
      <c r="O17" s="20">
        <v>11.71</v>
      </c>
      <c r="P17" s="107">
        <v>10.79</v>
      </c>
      <c r="Q17" s="107">
        <v>9.91</v>
      </c>
      <c r="R17" s="137">
        <v>10.29</v>
      </c>
      <c r="S17" s="137">
        <v>10.3</v>
      </c>
      <c r="T17" s="119">
        <v>10.41</v>
      </c>
      <c r="U17" s="248">
        <v>11.389516143432617</v>
      </c>
      <c r="V17" s="14"/>
      <c r="W17" s="17"/>
      <c r="X17" s="17"/>
      <c r="Y17" s="17"/>
      <c r="Z17" s="17"/>
      <c r="AA17" s="17"/>
    </row>
    <row r="18" spans="3:27" ht="13" customHeight="1" x14ac:dyDescent="0.3">
      <c r="C18" s="221" t="str">
        <f>VLOOKUP(35,Textbausteine_403[],Hilfsgrössen!$D$2,FALSE)</f>
        <v>Accidents professionnels Réseau postal et vente</v>
      </c>
      <c r="D18" s="67" t="str">
        <f>VLOOKUP(11,Textbausteine_403[],Hilfsgrössen!$D$2,FALSE)</f>
        <v>Nombre pour 100 unités de personnel</v>
      </c>
      <c r="E18" s="11">
        <v>1</v>
      </c>
      <c r="F18" s="11" t="s">
        <v>858</v>
      </c>
      <c r="G18" s="49"/>
      <c r="H18" s="239">
        <v>5.2</v>
      </c>
      <c r="I18" s="240">
        <v>5.04</v>
      </c>
      <c r="J18" s="240">
        <v>5.09</v>
      </c>
      <c r="K18" s="239">
        <v>4.5999999999999996</v>
      </c>
      <c r="L18" s="179">
        <v>2.57</v>
      </c>
      <c r="M18" s="179">
        <v>2.38</v>
      </c>
      <c r="N18" s="20">
        <v>2.15</v>
      </c>
      <c r="O18" s="20">
        <v>2.77</v>
      </c>
      <c r="P18" s="138">
        <v>2.19</v>
      </c>
      <c r="Q18" s="107">
        <v>2.0299999999999998</v>
      </c>
      <c r="R18" s="137">
        <v>2.17</v>
      </c>
      <c r="S18" s="137">
        <v>2.35</v>
      </c>
      <c r="T18" s="20">
        <v>2.4300000000000002</v>
      </c>
      <c r="U18" s="249">
        <v>2.5757038850614218</v>
      </c>
      <c r="V18" s="14"/>
      <c r="W18" s="17"/>
      <c r="X18" s="17"/>
      <c r="Y18" s="17"/>
      <c r="Z18" s="17"/>
    </row>
    <row r="19" spans="3:27" ht="13" customHeight="1" x14ac:dyDescent="0.3">
      <c r="C19" s="221" t="str">
        <f>VLOOKUP(36,Textbausteine_403[],Hilfsgrössen!$D$2,FALSE)</f>
        <v>Accidents professionnels PostFinance</v>
      </c>
      <c r="D19" s="67" t="str">
        <f>VLOOKUP(11,Textbausteine_403[],Hilfsgrössen!$D$2,FALSE)</f>
        <v>Nombre pour 100 unités de personnel</v>
      </c>
      <c r="E19" s="11">
        <v>1</v>
      </c>
      <c r="F19" s="11" t="s">
        <v>858</v>
      </c>
      <c r="G19" s="49"/>
      <c r="H19" s="240">
        <v>1.29</v>
      </c>
      <c r="I19" s="240">
        <v>1.38</v>
      </c>
      <c r="J19" s="240">
        <v>0.83</v>
      </c>
      <c r="K19" s="239">
        <v>0.7</v>
      </c>
      <c r="L19" s="179">
        <v>0.87</v>
      </c>
      <c r="M19" s="179">
        <v>0.85</v>
      </c>
      <c r="N19" s="20">
        <v>0.77</v>
      </c>
      <c r="O19" s="20">
        <v>0.88</v>
      </c>
      <c r="P19" s="107">
        <v>0.92</v>
      </c>
      <c r="Q19" s="107">
        <v>0.64</v>
      </c>
      <c r="R19" s="137">
        <v>0.43</v>
      </c>
      <c r="S19" s="137">
        <v>1.0900000000000001</v>
      </c>
      <c r="T19" s="107">
        <v>0.83</v>
      </c>
      <c r="U19" s="250">
        <v>0.80588269422798275</v>
      </c>
      <c r="V19" s="14"/>
      <c r="W19" s="17"/>
      <c r="X19" s="17"/>
      <c r="Y19" s="17"/>
      <c r="Z19" s="17"/>
      <c r="AA19" s="17"/>
    </row>
    <row r="20" spans="3:27" ht="13" customHeight="1" x14ac:dyDescent="0.3">
      <c r="C20" s="221" t="str">
        <f>VLOOKUP(37,Textbausteine_403[],Hilfsgrössen!$D$2,FALSE)</f>
        <v>Accidents professionnels CarPostal</v>
      </c>
      <c r="D20" s="67" t="str">
        <f>VLOOKUP(11,Textbausteine_403[],Hilfsgrössen!$D$2,FALSE)</f>
        <v>Nombre pour 100 unités de personnel</v>
      </c>
      <c r="E20" s="11">
        <v>1</v>
      </c>
      <c r="F20" s="11" t="s">
        <v>858</v>
      </c>
      <c r="G20" s="49"/>
      <c r="H20" s="240">
        <v>3.57</v>
      </c>
      <c r="I20" s="239">
        <v>3.37</v>
      </c>
      <c r="J20" s="239">
        <v>4.5599999999999996</v>
      </c>
      <c r="K20" s="239">
        <v>2.99</v>
      </c>
      <c r="L20" s="179">
        <v>3.83</v>
      </c>
      <c r="M20" s="179">
        <v>4.4400000000000004</v>
      </c>
      <c r="N20" s="20">
        <v>4.71</v>
      </c>
      <c r="O20" s="20">
        <v>4.6100000000000003</v>
      </c>
      <c r="P20" s="107">
        <v>4.24</v>
      </c>
      <c r="Q20" s="107">
        <v>4.04</v>
      </c>
      <c r="R20" s="107">
        <v>3.27</v>
      </c>
      <c r="S20" s="137">
        <v>3.08</v>
      </c>
      <c r="T20" s="107">
        <v>3.14</v>
      </c>
      <c r="U20" s="250">
        <v>4.0565263093629964</v>
      </c>
      <c r="V20" s="13"/>
      <c r="AA20" s="17"/>
    </row>
    <row r="21" spans="3:27" ht="13" customHeight="1" x14ac:dyDescent="0.3">
      <c r="C21" s="221" t="str">
        <f>VLOOKUP(38,Textbausteine_403[],Hilfsgrössen!$D$2,FALSE)</f>
        <v>Accidents professionnels Swiss Post International</v>
      </c>
      <c r="D21" s="67" t="str">
        <f>VLOOKUP(11,Textbausteine_403[],Hilfsgrössen!$D$2,FALSE)</f>
        <v>Nombre pour 100 unités de personnel</v>
      </c>
      <c r="E21" s="11" t="s">
        <v>1524</v>
      </c>
      <c r="F21" s="11" t="s">
        <v>858</v>
      </c>
      <c r="G21" s="49"/>
      <c r="H21" s="240">
        <v>4.33</v>
      </c>
      <c r="I21" s="240">
        <v>4.16</v>
      </c>
      <c r="J21" s="240">
        <v>3.63</v>
      </c>
      <c r="K21" s="240">
        <v>4.67</v>
      </c>
      <c r="L21" s="242">
        <v>5.19</v>
      </c>
      <c r="M21" s="242">
        <v>6.8</v>
      </c>
      <c r="N21" s="107">
        <v>6.12</v>
      </c>
      <c r="O21" s="107">
        <v>4.45</v>
      </c>
      <c r="P21" s="107" t="s">
        <v>1595</v>
      </c>
      <c r="Q21" s="107" t="s">
        <v>1595</v>
      </c>
      <c r="R21" s="107" t="s">
        <v>1595</v>
      </c>
      <c r="S21" s="107" t="s">
        <v>1595</v>
      </c>
      <c r="T21" s="107" t="s">
        <v>1595</v>
      </c>
      <c r="U21" s="250" t="s">
        <v>1595</v>
      </c>
    </row>
    <row r="22" spans="3:27" ht="13" customHeight="1" x14ac:dyDescent="0.3">
      <c r="C22" s="221" t="str">
        <f>VLOOKUP(39,Textbausteine_403[],Hilfsgrössen!$D$2,FALSE)</f>
        <v>Accidents professionnels Swiss Post Solutions</v>
      </c>
      <c r="D22" s="67" t="str">
        <f>VLOOKUP(11,Textbausteine_403[],Hilfsgrössen!$D$2,FALSE)</f>
        <v>Nombre pour 100 unités de personnel</v>
      </c>
      <c r="E22" s="11" t="s">
        <v>802</v>
      </c>
      <c r="F22" s="11" t="s">
        <v>858</v>
      </c>
      <c r="G22" s="49"/>
      <c r="H22" s="242" t="s">
        <v>1595</v>
      </c>
      <c r="I22" s="242" t="s">
        <v>1595</v>
      </c>
      <c r="J22" s="242" t="s">
        <v>1595</v>
      </c>
      <c r="K22" s="242" t="s">
        <v>1595</v>
      </c>
      <c r="L22" s="242">
        <v>2.0699999999999998</v>
      </c>
      <c r="M22" s="242">
        <v>3.2</v>
      </c>
      <c r="N22" s="107">
        <v>3.37</v>
      </c>
      <c r="O22" s="107">
        <v>2.31</v>
      </c>
      <c r="P22" s="107">
        <v>2.06</v>
      </c>
      <c r="Q22" s="107">
        <v>3.03</v>
      </c>
      <c r="R22" s="107">
        <v>2.15</v>
      </c>
      <c r="S22" s="107">
        <v>2.4500000000000002</v>
      </c>
      <c r="T22" s="107">
        <v>2.4700000000000002</v>
      </c>
      <c r="U22" s="250">
        <v>2.8916925967326179</v>
      </c>
    </row>
    <row r="23" spans="3:27" ht="13" customHeight="1" x14ac:dyDescent="0.3">
      <c r="C23" s="221" t="str">
        <f>VLOOKUP(40,Textbausteine_403[],Hilfsgrössen!$D$2,FALSE)</f>
        <v>Accidents professionnels mortels</v>
      </c>
      <c r="D23" s="18" t="str">
        <f>VLOOKUP(12,Textbausteine_403[],Hilfsgrössen!$D$2,FALSE)</f>
        <v>Nombre</v>
      </c>
      <c r="E23" s="11">
        <v>2</v>
      </c>
      <c r="F23" s="11" t="s">
        <v>858</v>
      </c>
      <c r="G23" s="49"/>
      <c r="H23" s="242" t="s">
        <v>1595</v>
      </c>
      <c r="I23" s="242" t="s">
        <v>1595</v>
      </c>
      <c r="J23" s="242" t="s">
        <v>1595</v>
      </c>
      <c r="K23" s="240">
        <v>0</v>
      </c>
      <c r="L23" s="179">
        <v>0</v>
      </c>
      <c r="M23" s="179">
        <v>0</v>
      </c>
      <c r="N23" s="107">
        <v>1</v>
      </c>
      <c r="O23" s="107">
        <v>1</v>
      </c>
      <c r="P23" s="107">
        <v>0</v>
      </c>
      <c r="Q23" s="107">
        <v>0</v>
      </c>
      <c r="R23" s="107">
        <v>0</v>
      </c>
      <c r="S23" s="107">
        <v>0</v>
      </c>
      <c r="T23" s="107">
        <v>0</v>
      </c>
      <c r="U23" s="250">
        <v>1</v>
      </c>
    </row>
    <row r="24" spans="3:27" ht="13" customHeight="1" x14ac:dyDescent="0.3">
      <c r="C24" s="19" t="str">
        <f>VLOOKUP(41,Textbausteine_403[],Hilfsgrössen!$D$2,FALSE)</f>
        <v xml:space="preserve">Accidents non professionnels   </v>
      </c>
      <c r="D24" s="67" t="str">
        <f>VLOOKUP(11,Textbausteine_403[],Hilfsgrössen!$D$2,FALSE)</f>
        <v>Nombre pour 100 unités de personnel</v>
      </c>
      <c r="E24" s="11">
        <v>1</v>
      </c>
      <c r="F24" s="11" t="s">
        <v>858</v>
      </c>
      <c r="G24" s="49"/>
      <c r="H24" s="240">
        <v>16.25</v>
      </c>
      <c r="I24" s="240">
        <v>15.09</v>
      </c>
      <c r="J24" s="240">
        <v>15.97</v>
      </c>
      <c r="K24" s="240">
        <v>14.75</v>
      </c>
      <c r="L24" s="179">
        <v>15.61</v>
      </c>
      <c r="M24" s="179">
        <v>15.26</v>
      </c>
      <c r="N24" s="107">
        <v>16.239999999999998</v>
      </c>
      <c r="O24" s="107">
        <v>16.739999999999998</v>
      </c>
      <c r="P24" s="107">
        <v>16.010000000000002</v>
      </c>
      <c r="Q24" s="107">
        <v>15.74</v>
      </c>
      <c r="R24" s="107">
        <v>15.53</v>
      </c>
      <c r="S24" s="107">
        <v>15.99</v>
      </c>
      <c r="T24" s="107">
        <v>15.55</v>
      </c>
      <c r="U24" s="250">
        <v>16.126584462111929</v>
      </c>
    </row>
    <row r="25" spans="3:27" ht="13" customHeight="1" x14ac:dyDescent="0.3">
      <c r="C25" s="67"/>
      <c r="D25" s="238"/>
      <c r="E25" s="11"/>
      <c r="F25" s="11"/>
      <c r="G25" s="49"/>
      <c r="H25" s="69"/>
      <c r="I25" s="69"/>
      <c r="J25" s="69"/>
      <c r="K25" s="69"/>
      <c r="L25" s="69"/>
      <c r="M25" s="69"/>
      <c r="T25" s="107"/>
      <c r="U25" s="250"/>
    </row>
    <row r="26" spans="3:27" ht="13" customHeight="1" x14ac:dyDescent="0.3">
      <c r="C26" s="8" t="str">
        <f>VLOOKUP(42,Textbausteine_403[],Hilfsgrössen!$D$2,FALSE)</f>
        <v>Coûts occasionnés par les accidents</v>
      </c>
      <c r="D26" s="238"/>
      <c r="E26" s="11"/>
      <c r="F26" s="11"/>
      <c r="G26" s="49"/>
      <c r="H26" s="69"/>
      <c r="I26" s="69"/>
      <c r="J26" s="69"/>
      <c r="K26" s="69"/>
      <c r="L26" s="69"/>
      <c r="M26" s="69"/>
      <c r="T26" s="107"/>
      <c r="U26" s="250"/>
    </row>
    <row r="27" spans="3:27" ht="13" customHeight="1" x14ac:dyDescent="0.3">
      <c r="C27" s="15" t="str">
        <f>VLOOKUP(43,Textbausteine_403[],Hilfsgrössen!$D$2,FALSE)</f>
        <v>Accidents professionnels</v>
      </c>
      <c r="D27" s="67" t="str">
        <f>VLOOKUP(13,Textbausteine_403[],Hilfsgrössen!$D$2,FALSE)</f>
        <v>Millions de CHF</v>
      </c>
      <c r="E27" s="11" t="s">
        <v>841</v>
      </c>
      <c r="F27" s="11" t="s">
        <v>858</v>
      </c>
      <c r="G27" s="49"/>
      <c r="H27" s="243">
        <v>47.375999999999998</v>
      </c>
      <c r="I27" s="243">
        <v>43.762161599999999</v>
      </c>
      <c r="J27" s="243">
        <v>41.414052599999991</v>
      </c>
      <c r="K27" s="240">
        <v>37.4</v>
      </c>
      <c r="L27" s="244">
        <v>42.8</v>
      </c>
      <c r="M27" s="179">
        <v>44.2</v>
      </c>
      <c r="N27" s="107">
        <v>51.1</v>
      </c>
      <c r="O27" s="107">
        <v>47</v>
      </c>
      <c r="P27" s="107">
        <v>49.4</v>
      </c>
      <c r="Q27" s="107">
        <v>45.47</v>
      </c>
      <c r="R27" s="107">
        <v>39.4</v>
      </c>
      <c r="S27" s="107">
        <v>38.340000000000003</v>
      </c>
      <c r="T27" s="107">
        <v>16.7</v>
      </c>
      <c r="U27" s="250">
        <v>17.8</v>
      </c>
    </row>
    <row r="28" spans="3:27" ht="13" customHeight="1" x14ac:dyDescent="0.3">
      <c r="C28" s="15" t="str">
        <f>VLOOKUP(44,Textbausteine_403[],Hilfsgrössen!$D$2,FALSE)</f>
        <v>Accidents non professionnels</v>
      </c>
      <c r="D28" s="67" t="str">
        <f>VLOOKUP(13,Textbausteine_403[],Hilfsgrössen!$D$2,FALSE)</f>
        <v>Millions de CHF</v>
      </c>
      <c r="E28" s="11" t="s">
        <v>841</v>
      </c>
      <c r="F28" s="11" t="s">
        <v>858</v>
      </c>
      <c r="G28" s="49"/>
      <c r="H28" s="243">
        <v>47.375999999999998</v>
      </c>
      <c r="I28" s="243">
        <v>43.762161599999999</v>
      </c>
      <c r="J28" s="243">
        <v>41.414052599999991</v>
      </c>
      <c r="K28" s="243">
        <v>37.4</v>
      </c>
      <c r="L28" s="244">
        <v>37.299999999999997</v>
      </c>
      <c r="M28" s="179">
        <v>36.4</v>
      </c>
      <c r="N28" s="107">
        <v>38.700000000000003</v>
      </c>
      <c r="O28" s="107">
        <v>39.6</v>
      </c>
      <c r="P28" s="107">
        <v>38.299999999999997</v>
      </c>
      <c r="Q28" s="107">
        <v>37.29</v>
      </c>
      <c r="R28" s="107">
        <v>36.200000000000003</v>
      </c>
      <c r="S28" s="107">
        <v>35.424900000000001</v>
      </c>
      <c r="T28" s="107">
        <v>40</v>
      </c>
      <c r="U28" s="250">
        <v>40.4</v>
      </c>
    </row>
    <row r="29" spans="3:27" ht="13" customHeight="1" x14ac:dyDescent="0.3">
      <c r="C29" s="15" t="str">
        <f>VLOOKUP(45,Textbausteine_403[],Hilfsgrössen!$D$2,FALSE)</f>
        <v>Accidents professionnels et non professionnels</v>
      </c>
      <c r="D29" s="67" t="str">
        <f>VLOOKUP(13,Textbausteine_403[],Hilfsgrössen!$D$2,FALSE)</f>
        <v>Millions de CHF</v>
      </c>
      <c r="E29" s="11" t="s">
        <v>841</v>
      </c>
      <c r="F29" s="11" t="s">
        <v>858</v>
      </c>
      <c r="G29" s="49"/>
      <c r="H29" s="243">
        <v>94.751999999999995</v>
      </c>
      <c r="I29" s="243">
        <v>87.524323199999998</v>
      </c>
      <c r="J29" s="243">
        <v>82.828105199999982</v>
      </c>
      <c r="K29" s="243">
        <v>74.8</v>
      </c>
      <c r="L29" s="244">
        <v>80.099999999999994</v>
      </c>
      <c r="M29" s="244">
        <v>80.599999999999994</v>
      </c>
      <c r="N29" s="107">
        <v>89.800000000000011</v>
      </c>
      <c r="O29" s="107">
        <v>86.6</v>
      </c>
      <c r="P29" s="107">
        <v>87.699999999999989</v>
      </c>
      <c r="Q29" s="107">
        <v>82.759999999999991</v>
      </c>
      <c r="R29" s="107">
        <v>75.599999999999994</v>
      </c>
      <c r="S29" s="107">
        <v>73.764900000000011</v>
      </c>
      <c r="T29" s="107">
        <v>56.7</v>
      </c>
      <c r="U29" s="250">
        <v>58.2</v>
      </c>
    </row>
    <row r="30" spans="3:27" ht="13" customHeight="1" x14ac:dyDescent="0.3">
      <c r="C30" s="67"/>
      <c r="D30" s="238"/>
      <c r="E30" s="11"/>
      <c r="F30" s="13"/>
      <c r="G30" s="49"/>
      <c r="H30" s="69"/>
      <c r="I30" s="69"/>
      <c r="J30" s="69"/>
      <c r="K30" s="69"/>
      <c r="L30" s="69"/>
      <c r="M30" s="69"/>
      <c r="T30" s="107"/>
      <c r="U30" s="250"/>
    </row>
    <row r="31" spans="3:27" ht="13" customHeight="1" x14ac:dyDescent="0.3">
      <c r="C31" s="8" t="str">
        <f>VLOOKUP(46,Textbausteine_403[],Hilfsgrössen!$D$2,FALSE)</f>
        <v>Absences par suite de maladie ou d'accident</v>
      </c>
      <c r="D31" s="238"/>
      <c r="E31" s="11"/>
      <c r="F31" s="11"/>
      <c r="G31" s="50"/>
      <c r="H31" s="71"/>
      <c r="I31" s="71"/>
      <c r="J31" s="71"/>
      <c r="K31" s="71"/>
      <c r="L31" s="71"/>
      <c r="M31" s="71"/>
      <c r="T31" s="107"/>
      <c r="U31" s="250"/>
    </row>
    <row r="32" spans="3:27" ht="13" customHeight="1" x14ac:dyDescent="0.3">
      <c r="C32" s="77" t="str">
        <f>VLOOKUP(47,Textbausteine_403[],Hilfsgrössen!$D$2,FALSE)</f>
        <v>Absences pour raisons médicales</v>
      </c>
      <c r="D32" s="67" t="str">
        <f>VLOOKUP(14,Textbausteine_403[],Hilfsgrössen!$D$2,FALSE)</f>
        <v>Jours d'absence par personne</v>
      </c>
      <c r="E32" s="11" t="s">
        <v>847</v>
      </c>
      <c r="F32" s="11" t="s">
        <v>858</v>
      </c>
      <c r="G32" s="49"/>
      <c r="H32" s="239">
        <v>12.46</v>
      </c>
      <c r="I32" s="239">
        <v>11.9</v>
      </c>
      <c r="J32" s="239">
        <v>11.41</v>
      </c>
      <c r="K32" s="240">
        <v>10.95</v>
      </c>
      <c r="L32" s="179">
        <v>10.69</v>
      </c>
      <c r="M32" s="179">
        <v>10.36</v>
      </c>
      <c r="N32" s="107">
        <v>10.54</v>
      </c>
      <c r="O32" s="107">
        <v>10.83</v>
      </c>
      <c r="P32" s="107">
        <v>11.01</v>
      </c>
      <c r="Q32" s="107">
        <v>11.59</v>
      </c>
      <c r="R32" s="107">
        <v>11.82</v>
      </c>
      <c r="S32" s="107">
        <v>12.36</v>
      </c>
      <c r="T32" s="107">
        <v>12.53</v>
      </c>
      <c r="U32" s="250">
        <v>12.85</v>
      </c>
    </row>
    <row r="33" spans="2:21" ht="13" customHeight="1" x14ac:dyDescent="0.3">
      <c r="C33" s="221" t="str">
        <f>VLOOKUP(48,Textbausteine_403[],Hilfsgrössen!$D$2,FALSE)</f>
        <v>Absences de courte durée</v>
      </c>
      <c r="D33" s="67" t="str">
        <f>VLOOKUP(14,Textbausteine_403[],Hilfsgrössen!$D$2,FALSE)</f>
        <v>Jours d'absence par personne</v>
      </c>
      <c r="E33" s="11" t="s">
        <v>847</v>
      </c>
      <c r="F33" s="11" t="s">
        <v>858</v>
      </c>
      <c r="G33" s="49"/>
      <c r="H33" s="239">
        <v>1.27</v>
      </c>
      <c r="I33" s="239">
        <v>1.38</v>
      </c>
      <c r="J33" s="239">
        <v>1.34</v>
      </c>
      <c r="K33" s="240">
        <v>1.46</v>
      </c>
      <c r="L33" s="179">
        <v>1.54</v>
      </c>
      <c r="M33" s="179">
        <v>1.69</v>
      </c>
      <c r="N33" s="107">
        <v>1.54</v>
      </c>
      <c r="O33" s="107">
        <v>1.58</v>
      </c>
      <c r="P33" s="107">
        <v>1.58</v>
      </c>
      <c r="Q33" s="107">
        <v>1.7027223666216518</v>
      </c>
      <c r="R33" s="107">
        <v>1.56</v>
      </c>
      <c r="S33" s="107">
        <v>1.7</v>
      </c>
      <c r="T33" s="107">
        <v>1.7</v>
      </c>
      <c r="U33" s="250">
        <v>1.66</v>
      </c>
    </row>
    <row r="34" spans="2:21" ht="13" customHeight="1" x14ac:dyDescent="0.3">
      <c r="C34" s="221" t="str">
        <f>VLOOKUP(49,Textbausteine_403[],Hilfsgrössen!$D$2,FALSE)</f>
        <v>Maladie</v>
      </c>
      <c r="D34" s="67" t="str">
        <f>VLOOKUP(14,Textbausteine_403[],Hilfsgrössen!$D$2,FALSE)</f>
        <v>Jours d'absence par personne</v>
      </c>
      <c r="E34" s="11" t="s">
        <v>847</v>
      </c>
      <c r="F34" s="13" t="s">
        <v>858</v>
      </c>
      <c r="G34" s="49"/>
      <c r="H34" s="239">
        <v>8.23</v>
      </c>
      <c r="I34" s="239">
        <v>7.71</v>
      </c>
      <c r="J34" s="239">
        <v>7.34</v>
      </c>
      <c r="K34" s="240">
        <v>7.03</v>
      </c>
      <c r="L34" s="179">
        <v>6.87</v>
      </c>
      <c r="M34" s="179">
        <v>6.31</v>
      </c>
      <c r="N34" s="107">
        <v>6.56</v>
      </c>
      <c r="O34" s="107">
        <v>6.87</v>
      </c>
      <c r="P34" s="107">
        <v>7.02</v>
      </c>
      <c r="Q34" s="107">
        <v>7.3864796161702015</v>
      </c>
      <c r="R34" s="107">
        <v>7.88</v>
      </c>
      <c r="S34" s="107">
        <v>8.1</v>
      </c>
      <c r="T34" s="107">
        <v>8.3699999999999992</v>
      </c>
      <c r="U34" s="250">
        <v>8.75</v>
      </c>
    </row>
    <row r="35" spans="2:21" ht="13" customHeight="1" x14ac:dyDescent="0.3">
      <c r="C35" s="221" t="str">
        <f>VLOOKUP(50,Textbausteine_403[],Hilfsgrössen!$D$2,FALSE)</f>
        <v>Accidents professionnels</v>
      </c>
      <c r="D35" s="67" t="str">
        <f>VLOOKUP(14,Textbausteine_403[],Hilfsgrössen!$D$2,FALSE)</f>
        <v>Jours d'absence par personne</v>
      </c>
      <c r="E35" s="13" t="s">
        <v>847</v>
      </c>
      <c r="F35" s="13" t="s">
        <v>858</v>
      </c>
      <c r="G35" s="50"/>
      <c r="H35" s="239">
        <v>0.89</v>
      </c>
      <c r="I35" s="239">
        <v>0.85</v>
      </c>
      <c r="J35" s="239">
        <v>0.86</v>
      </c>
      <c r="K35" s="240">
        <v>0.69</v>
      </c>
      <c r="L35" s="179">
        <v>0.71</v>
      </c>
      <c r="M35" s="179">
        <v>0.78</v>
      </c>
      <c r="N35" s="107">
        <v>0.89</v>
      </c>
      <c r="O35" s="107">
        <v>0.8</v>
      </c>
      <c r="P35" s="107">
        <v>0.82</v>
      </c>
      <c r="Q35" s="107">
        <v>0.80571355007129164</v>
      </c>
      <c r="R35" s="107">
        <v>0.66</v>
      </c>
      <c r="S35" s="107">
        <v>0.8</v>
      </c>
      <c r="T35" s="107">
        <v>0.82</v>
      </c>
      <c r="U35" s="250">
        <v>0.84</v>
      </c>
    </row>
    <row r="36" spans="2:21" ht="13" customHeight="1" x14ac:dyDescent="0.3">
      <c r="C36" s="221" t="str">
        <f>VLOOKUP(51,Textbausteine_403[],Hilfsgrössen!$D$2,FALSE)</f>
        <v>Accidents non professionnels</v>
      </c>
      <c r="D36" s="67" t="str">
        <f>VLOOKUP(14,Textbausteine_403[],Hilfsgrössen!$D$2,FALSE)</f>
        <v>Jours d'absence par personne</v>
      </c>
      <c r="E36" s="13" t="s">
        <v>847</v>
      </c>
      <c r="F36" s="11" t="s">
        <v>858</v>
      </c>
      <c r="G36" s="50"/>
      <c r="H36" s="239">
        <v>2.0699999999999998</v>
      </c>
      <c r="I36" s="239">
        <v>1.96</v>
      </c>
      <c r="J36" s="239">
        <v>1.87</v>
      </c>
      <c r="K36" s="240">
        <v>1.77</v>
      </c>
      <c r="L36" s="179">
        <v>1.57</v>
      </c>
      <c r="M36" s="179">
        <v>1.58</v>
      </c>
      <c r="N36" s="107">
        <v>1.55</v>
      </c>
      <c r="O36" s="107">
        <v>1.6</v>
      </c>
      <c r="P36" s="107">
        <v>1.6</v>
      </c>
      <c r="Q36" s="107">
        <v>1.6920094658812532</v>
      </c>
      <c r="R36" s="107">
        <v>1.71</v>
      </c>
      <c r="S36" s="107">
        <v>1.75</v>
      </c>
      <c r="T36" s="107">
        <v>1.65</v>
      </c>
      <c r="U36" s="250">
        <v>1.6</v>
      </c>
    </row>
    <row r="37" spans="2:21" ht="13" customHeight="1" x14ac:dyDescent="0.3">
      <c r="C37" s="77" t="str">
        <f>VLOOKUP(52,Textbausteine_403[],Hilfsgrössen!$D$2,FALSE)</f>
        <v>Absences</v>
      </c>
      <c r="D37" s="67" t="str">
        <f>VLOOKUP(15,Textbausteine_403[],Hilfsgrössen!$D$2,FALSE)</f>
        <v>Jours par an</v>
      </c>
      <c r="E37" s="13" t="s">
        <v>847</v>
      </c>
      <c r="F37" s="11" t="s">
        <v>858</v>
      </c>
      <c r="G37" s="49"/>
      <c r="H37" s="245">
        <v>480097</v>
      </c>
      <c r="I37" s="245">
        <v>439975</v>
      </c>
      <c r="J37" s="245">
        <v>411575</v>
      </c>
      <c r="K37" s="245">
        <v>380052</v>
      </c>
      <c r="L37" s="246">
        <v>373709</v>
      </c>
      <c r="M37" s="246">
        <v>361782</v>
      </c>
      <c r="N37" s="107">
        <v>365273</v>
      </c>
      <c r="O37" s="107">
        <v>376546</v>
      </c>
      <c r="P37" s="107">
        <v>379940</v>
      </c>
      <c r="Q37" s="107">
        <v>391090.99119047617</v>
      </c>
      <c r="R37" s="107">
        <v>394906</v>
      </c>
      <c r="S37" s="107">
        <v>409737</v>
      </c>
      <c r="T37" s="107">
        <v>417145</v>
      </c>
      <c r="U37" s="250">
        <v>416269</v>
      </c>
    </row>
    <row r="38" spans="2:21" ht="13" customHeight="1" x14ac:dyDescent="0.3">
      <c r="C38" s="221" t="str">
        <f>VLOOKUP(53,Textbausteine_403[],Hilfsgrössen!$D$2,FALSE)</f>
        <v>Coûts salariaux occasionnés par les absences</v>
      </c>
      <c r="D38" s="67" t="str">
        <f>VLOOKUP(13,Textbausteine_403[],Hilfsgrössen!$D$2,FALSE)</f>
        <v>Millions de CHF</v>
      </c>
      <c r="E38" s="11" t="s">
        <v>847</v>
      </c>
      <c r="F38" s="13" t="s">
        <v>858</v>
      </c>
      <c r="G38" s="49"/>
      <c r="H38" s="240">
        <v>129.69999999999999</v>
      </c>
      <c r="I38" s="240">
        <v>126.3</v>
      </c>
      <c r="J38" s="240">
        <v>121.4</v>
      </c>
      <c r="K38" s="243">
        <v>115</v>
      </c>
      <c r="L38" s="179">
        <v>118.5</v>
      </c>
      <c r="M38" s="179">
        <v>117.6</v>
      </c>
      <c r="N38" s="107">
        <v>121.3</v>
      </c>
      <c r="O38" s="107">
        <v>124.2</v>
      </c>
      <c r="P38" s="107">
        <v>127.3</v>
      </c>
      <c r="Q38" s="107">
        <v>132.27313689290401</v>
      </c>
      <c r="R38" s="107">
        <v>134</v>
      </c>
      <c r="S38" s="107">
        <v>139.30000000000001</v>
      </c>
      <c r="T38" s="107">
        <v>138.30000000000001</v>
      </c>
      <c r="U38" s="250">
        <v>139.4</v>
      </c>
    </row>
    <row r="39" spans="2:21" ht="13" customHeight="1" x14ac:dyDescent="0.3">
      <c r="C39" s="67"/>
      <c r="D39" s="238"/>
      <c r="E39" s="13"/>
      <c r="F39" s="13"/>
      <c r="G39" s="50"/>
      <c r="H39" s="69"/>
      <c r="I39" s="69"/>
      <c r="J39" s="69"/>
      <c r="K39" s="69"/>
      <c r="L39" s="69"/>
      <c r="M39" s="69"/>
      <c r="T39" s="107"/>
      <c r="U39" s="250"/>
    </row>
    <row r="40" spans="2:21" ht="13" customHeight="1" x14ac:dyDescent="0.3">
      <c r="C40" s="229" t="str">
        <f>VLOOKUP(54,Textbausteine_403[],Hilfsgrössen!$D$2,FALSE)</f>
        <v>Représentation au sein de la commission du personnel pour la surveillance de la protection de la santé / sécurité au travail</v>
      </c>
      <c r="D40" s="67"/>
      <c r="E40" s="13"/>
      <c r="F40" s="11"/>
      <c r="G40" s="50"/>
      <c r="H40" s="69"/>
      <c r="I40" s="69"/>
      <c r="J40" s="69"/>
      <c r="K40" s="69"/>
      <c r="L40" s="69"/>
      <c r="M40" s="69"/>
      <c r="T40" s="107"/>
      <c r="U40" s="250"/>
    </row>
    <row r="41" spans="2:21" ht="13" customHeight="1" x14ac:dyDescent="0.3">
      <c r="C41" s="19" t="str">
        <f>VLOOKUP(55,Textbausteine_403[],Hilfsgrössen!$D$2,FALSE)</f>
        <v>Représentations au sein de la commission du personnel</v>
      </c>
      <c r="D41" s="18" t="str">
        <f>VLOOKUP(11,Textbausteine_403[],Hilfsgrössen!$D$2,FALSE)</f>
        <v>Nombre pour 100 unités de personnel</v>
      </c>
      <c r="E41" s="13" t="s">
        <v>1479</v>
      </c>
      <c r="F41" s="11" t="s">
        <v>857</v>
      </c>
      <c r="G41" s="49"/>
      <c r="H41" s="69" t="s">
        <v>1595</v>
      </c>
      <c r="I41" s="69" t="s">
        <v>1595</v>
      </c>
      <c r="J41" s="69" t="s">
        <v>1595</v>
      </c>
      <c r="K41" s="69" t="s">
        <v>1595</v>
      </c>
      <c r="L41" s="69" t="s">
        <v>1595</v>
      </c>
      <c r="M41" s="69" t="s">
        <v>1595</v>
      </c>
      <c r="N41" s="69" t="s">
        <v>1595</v>
      </c>
      <c r="O41" s="69" t="s">
        <v>1595</v>
      </c>
      <c r="P41" s="107">
        <v>0.23</v>
      </c>
      <c r="Q41" s="107">
        <v>0.24</v>
      </c>
      <c r="R41" s="107">
        <v>0.24</v>
      </c>
      <c r="S41" s="107">
        <v>0.24</v>
      </c>
      <c r="T41" s="107" t="s">
        <v>1595</v>
      </c>
      <c r="U41" s="250" t="s">
        <v>1595</v>
      </c>
    </row>
    <row r="42" spans="2:21" ht="13" customHeight="1" x14ac:dyDescent="0.3">
      <c r="E42" s="13"/>
      <c r="F42" s="11"/>
      <c r="G42" s="49"/>
      <c r="H42" s="69"/>
      <c r="I42" s="69"/>
      <c r="J42" s="69"/>
      <c r="K42" s="69"/>
      <c r="L42" s="69"/>
      <c r="M42" s="69"/>
      <c r="T42" s="107"/>
      <c r="U42" s="107"/>
    </row>
    <row r="43" spans="2:21" ht="13" customHeight="1" x14ac:dyDescent="0.3">
      <c r="B43" s="26" t="str">
        <f>VLOOKUP(131,Textbausteine_403[],Hilfsgrössen!$D$2,FALSE)</f>
        <v>1) Une unité de personnel correspond à un poste à plein temps.</v>
      </c>
      <c r="E43" s="13"/>
      <c r="F43" s="11"/>
      <c r="G43" s="49"/>
      <c r="H43" s="69"/>
      <c r="I43" s="69"/>
      <c r="J43" s="69"/>
      <c r="K43" s="69"/>
      <c r="L43" s="69"/>
      <c r="M43" s="69"/>
      <c r="T43" s="107"/>
      <c r="U43" s="107"/>
    </row>
    <row r="44" spans="2:21" ht="13" customHeight="1" x14ac:dyDescent="0.3">
      <c r="B44" s="26" t="str">
        <f>VLOOKUP(132,Textbausteine_403[],Hilfsgrössen!$D$2,FALSE)</f>
        <v>2)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v>
      </c>
      <c r="E44" s="11"/>
      <c r="F44" s="11"/>
      <c r="G44" s="49"/>
      <c r="H44" s="69"/>
      <c r="I44" s="69"/>
      <c r="J44" s="69"/>
      <c r="K44" s="69"/>
      <c r="L44" s="69"/>
      <c r="M44" s="69"/>
      <c r="T44" s="107"/>
      <c r="U44" s="107"/>
    </row>
    <row r="45" spans="2:21" ht="13" customHeight="1" x14ac:dyDescent="0.3">
      <c r="B45" s="26" t="str">
        <f>VLOOKUP(133,Textbausteine_403[],Hilfsgrössen!$D$2,FALSE)</f>
        <v>3) L'unité du groupe Swiss Post Solutions n'existant que depuis le 1er octobre 2007, aucune valeur ne peut être présentée pour les années précédentes.</v>
      </c>
      <c r="E45" s="11"/>
      <c r="F45" s="13"/>
      <c r="G45" s="49"/>
      <c r="H45" s="69"/>
      <c r="I45" s="69"/>
      <c r="J45" s="69"/>
      <c r="K45" s="69"/>
      <c r="L45" s="69"/>
      <c r="M45" s="69"/>
      <c r="T45" s="107"/>
      <c r="U45" s="107"/>
    </row>
    <row r="46" spans="2:21" ht="13" customHeight="1" x14ac:dyDescent="0.3">
      <c r="B46" s="26" t="str">
        <f>VLOOKUP(134,Textbausteine_403[],Hilfsgrössen!$D$2,FALSE)</f>
        <v>4) Depuis 2012, Swiss Post International ne constitue plus un segment autonome. Les valeurs la concernant ont été répercutées sur les unités d'affaires PostMail et PostLogistics à partir du 1er janvier 2012.</v>
      </c>
      <c r="E46" s="11"/>
      <c r="F46" s="11"/>
      <c r="G46" s="50"/>
      <c r="H46" s="69"/>
      <c r="I46" s="69"/>
      <c r="J46" s="69"/>
      <c r="K46" s="69"/>
      <c r="L46" s="69"/>
      <c r="M46" s="69"/>
      <c r="T46" s="107"/>
      <c r="U46" s="107"/>
    </row>
    <row r="47" spans="2:21" ht="13" customHeight="1" x14ac:dyDescent="0.3">
      <c r="B47" s="26" t="str">
        <f>VLOOKUP(135,Textbausteine_403[],Hilfsgrössen!$D$2,FALSE)</f>
        <v>5) Les coûts sont calculés à l'aide des coûts moyens par cas. Nombre d'accidents professionnels et nombre d'accidents-bagatelle, multipliés par les coûts moyens liés aux accidents selon calculs de la SUVA.</v>
      </c>
      <c r="E47" s="11"/>
      <c r="F47" s="11"/>
      <c r="G47" s="49"/>
      <c r="H47" s="69"/>
      <c r="I47" s="69"/>
      <c r="J47" s="69"/>
      <c r="K47" s="69"/>
      <c r="L47" s="69"/>
      <c r="M47" s="69"/>
      <c r="T47" s="107"/>
      <c r="U47" s="107"/>
    </row>
    <row r="48" spans="2:21" ht="13" customHeight="1" x14ac:dyDescent="0.3">
      <c r="B48" s="26" t="str">
        <f>VLOOKUP(136,Textbausteine_403[],Hilfsgrössen!$D$2,FALSE)</f>
        <v>6)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v>
      </c>
      <c r="E48" s="11"/>
      <c r="F48" s="13"/>
      <c r="G48" s="49"/>
      <c r="H48" s="69"/>
      <c r="I48" s="69"/>
      <c r="J48" s="69"/>
      <c r="K48" s="69"/>
      <c r="L48" s="69"/>
      <c r="M48" s="69"/>
      <c r="T48" s="107"/>
      <c r="U48" s="107"/>
    </row>
    <row r="49" spans="2:21" ht="13" customHeight="1" x14ac:dyDescent="0.3">
      <c r="B49" s="26" t="str">
        <f>VLOOKUP(137,Textbausteine_403[],Hilfsgrössen!$D$2,FALSE)</f>
        <v>7) La commission du personnel a été supprimée avec effet au 1er janvier 2016.</v>
      </c>
      <c r="E49" s="11"/>
      <c r="F49" s="11"/>
      <c r="G49" s="50"/>
      <c r="H49" s="69"/>
      <c r="I49" s="69"/>
      <c r="J49" s="69"/>
      <c r="K49" s="69"/>
      <c r="L49" s="69"/>
      <c r="M49" s="69"/>
      <c r="T49" s="107"/>
      <c r="U49" s="107"/>
    </row>
    <row r="50" spans="2:21" ht="13" customHeight="1" x14ac:dyDescent="0.3">
      <c r="B50" s="26"/>
      <c r="E50" s="11"/>
      <c r="F50" s="11"/>
      <c r="G50" s="49"/>
      <c r="H50" s="69"/>
      <c r="I50" s="69"/>
      <c r="J50" s="69"/>
      <c r="K50" s="69"/>
      <c r="L50" s="69"/>
      <c r="M50" s="69"/>
      <c r="T50" s="107"/>
      <c r="U50" s="107"/>
    </row>
    <row r="51" spans="2:21" ht="13" customHeight="1" x14ac:dyDescent="0.3">
      <c r="B51" s="26"/>
      <c r="E51" s="11"/>
      <c r="F51" s="11"/>
      <c r="G51" s="49"/>
      <c r="T51" s="107"/>
      <c r="U51" s="107"/>
    </row>
    <row r="52" spans="2:21" ht="13" customHeight="1" x14ac:dyDescent="0.3">
      <c r="E52" s="11"/>
      <c r="F52" s="11"/>
      <c r="G52" s="49"/>
      <c r="H52" s="113"/>
      <c r="I52" s="113"/>
      <c r="J52" s="113"/>
      <c r="K52" s="113"/>
      <c r="L52" s="113"/>
      <c r="M52" s="113"/>
      <c r="T52" s="107"/>
      <c r="U52" s="107"/>
    </row>
    <row r="53" spans="2:21" ht="13" customHeight="1" x14ac:dyDescent="0.3">
      <c r="E53" s="11"/>
      <c r="F53" s="11"/>
      <c r="G53" s="49"/>
      <c r="H53" s="69"/>
      <c r="I53" s="69"/>
      <c r="J53" s="69"/>
      <c r="K53" s="69"/>
      <c r="L53" s="69"/>
      <c r="M53" s="69"/>
      <c r="T53" s="107"/>
      <c r="U53" s="107"/>
    </row>
    <row r="54" spans="2:21" ht="13" customHeight="1" x14ac:dyDescent="0.3">
      <c r="E54" s="11"/>
      <c r="F54" s="11"/>
      <c r="G54" s="49"/>
      <c r="H54" s="69"/>
      <c r="I54" s="69"/>
      <c r="J54" s="69"/>
      <c r="K54" s="69"/>
      <c r="L54" s="69"/>
      <c r="M54" s="69"/>
      <c r="T54" s="107"/>
      <c r="U54" s="107"/>
    </row>
    <row r="55" spans="2:21" ht="13" customHeight="1" x14ac:dyDescent="0.3">
      <c r="E55" s="11"/>
      <c r="F55" s="11"/>
      <c r="G55" s="49"/>
      <c r="H55" s="69"/>
      <c r="I55" s="69"/>
      <c r="J55" s="69"/>
      <c r="K55" s="69"/>
      <c r="L55" s="69"/>
      <c r="M55" s="69"/>
      <c r="T55" s="107"/>
      <c r="U55" s="107"/>
    </row>
    <row r="56" spans="2:21" ht="13" customHeight="1" x14ac:dyDescent="0.3">
      <c r="E56" s="11"/>
      <c r="F56" s="11"/>
      <c r="G56" s="49"/>
      <c r="H56" s="69"/>
      <c r="I56" s="69"/>
      <c r="J56" s="69"/>
      <c r="K56" s="69"/>
      <c r="L56" s="69"/>
      <c r="M56" s="69"/>
      <c r="T56" s="107"/>
      <c r="U56" s="107"/>
    </row>
    <row r="57" spans="2:21" ht="13" customHeight="1" x14ac:dyDescent="0.3">
      <c r="E57" s="11"/>
      <c r="F57" s="11"/>
      <c r="G57" s="49"/>
      <c r="H57" s="69"/>
      <c r="I57" s="69"/>
      <c r="J57" s="69"/>
      <c r="K57" s="69"/>
      <c r="L57" s="69"/>
      <c r="M57" s="69"/>
      <c r="T57" s="107"/>
      <c r="U57" s="107"/>
    </row>
    <row r="58" spans="2:21" ht="13" customHeight="1" x14ac:dyDescent="0.3">
      <c r="E58" s="13"/>
      <c r="F58" s="11"/>
      <c r="G58" s="49"/>
      <c r="H58" s="69"/>
      <c r="I58" s="69"/>
      <c r="J58" s="69"/>
      <c r="K58" s="69"/>
      <c r="L58" s="69"/>
      <c r="M58" s="69"/>
      <c r="T58" s="107"/>
      <c r="U58" s="107"/>
    </row>
    <row r="59" spans="2:21" ht="13" customHeight="1" x14ac:dyDescent="0.3">
      <c r="E59" s="13"/>
      <c r="F59" s="11"/>
      <c r="G59" s="49"/>
      <c r="H59" s="69"/>
      <c r="I59" s="69"/>
      <c r="J59" s="69"/>
      <c r="K59" s="69"/>
      <c r="L59" s="69"/>
      <c r="M59" s="69"/>
      <c r="T59" s="107"/>
      <c r="U59" s="107"/>
    </row>
    <row r="60" spans="2:21" ht="13" customHeight="1" x14ac:dyDescent="0.3">
      <c r="E60" s="13"/>
      <c r="F60" s="11"/>
      <c r="G60" s="49"/>
      <c r="H60" s="69"/>
      <c r="I60" s="69"/>
      <c r="J60" s="69"/>
      <c r="K60" s="69"/>
      <c r="L60" s="69"/>
      <c r="M60" s="69"/>
      <c r="T60" s="107"/>
      <c r="U60" s="107"/>
    </row>
    <row r="61" spans="2:21" ht="13" customHeight="1" x14ac:dyDescent="0.3">
      <c r="E61" s="11"/>
      <c r="F61" s="11"/>
      <c r="G61" s="49"/>
      <c r="H61" s="69"/>
      <c r="I61" s="69"/>
      <c r="J61" s="69"/>
      <c r="K61" s="69"/>
      <c r="L61" s="69"/>
      <c r="M61" s="69"/>
      <c r="T61" s="107"/>
      <c r="U61" s="107"/>
    </row>
    <row r="62" spans="2:21" ht="13" customHeight="1" x14ac:dyDescent="0.3">
      <c r="E62" s="11"/>
      <c r="F62" s="11"/>
      <c r="G62" s="49"/>
      <c r="H62" s="69"/>
      <c r="I62" s="69"/>
      <c r="J62" s="69"/>
      <c r="K62" s="69"/>
      <c r="L62" s="69"/>
      <c r="M62" s="69"/>
      <c r="T62" s="107"/>
      <c r="U62" s="107"/>
    </row>
    <row r="63" spans="2:21" ht="13" customHeight="1" x14ac:dyDescent="0.3">
      <c r="E63" s="41"/>
      <c r="F63" s="41"/>
      <c r="G63" s="49"/>
      <c r="H63" s="69"/>
      <c r="I63" s="69"/>
      <c r="J63" s="69"/>
      <c r="K63" s="69"/>
      <c r="L63" s="69"/>
      <c r="M63" s="69"/>
      <c r="T63" s="107"/>
      <c r="U63" s="107"/>
    </row>
    <row r="64" spans="2:21" ht="13" customHeight="1" x14ac:dyDescent="0.3">
      <c r="E64" s="41"/>
      <c r="F64" s="41"/>
      <c r="G64" s="51"/>
      <c r="H64" s="69"/>
      <c r="I64" s="69"/>
      <c r="J64" s="69"/>
      <c r="K64" s="69"/>
      <c r="L64" s="69"/>
      <c r="M64" s="69"/>
      <c r="T64" s="107"/>
      <c r="U64" s="107"/>
    </row>
    <row r="65" spans="5:21" ht="13" customHeight="1" x14ac:dyDescent="0.3">
      <c r="E65" s="41"/>
      <c r="F65" s="41"/>
      <c r="G65" s="51"/>
      <c r="H65" s="69"/>
      <c r="I65" s="69"/>
      <c r="J65" s="69"/>
      <c r="K65" s="69"/>
      <c r="L65" s="69"/>
      <c r="M65" s="69"/>
      <c r="T65" s="107"/>
      <c r="U65" s="107"/>
    </row>
    <row r="66" spans="5:21" ht="13" customHeight="1" x14ac:dyDescent="0.3">
      <c r="E66" s="42"/>
      <c r="F66" s="42"/>
      <c r="G66" s="51"/>
      <c r="H66" s="69"/>
      <c r="I66" s="69"/>
      <c r="J66" s="69"/>
      <c r="K66" s="69"/>
      <c r="L66" s="69"/>
      <c r="M66" s="69"/>
    </row>
    <row r="67" spans="5:21" ht="13" customHeight="1" x14ac:dyDescent="0.3">
      <c r="E67" s="42"/>
      <c r="F67" s="42"/>
      <c r="G67" s="52"/>
      <c r="H67" s="69"/>
      <c r="I67" s="69"/>
      <c r="J67" s="69"/>
      <c r="K67" s="69"/>
      <c r="L67" s="69"/>
      <c r="M67" s="69"/>
    </row>
    <row r="68" spans="5:21" ht="13" customHeight="1" x14ac:dyDescent="0.3">
      <c r="E68" s="43"/>
      <c r="F68" s="43"/>
      <c r="G68" s="52"/>
      <c r="H68" s="69"/>
      <c r="I68" s="69"/>
      <c r="J68" s="69"/>
      <c r="K68" s="69"/>
      <c r="L68" s="69"/>
      <c r="M68" s="69"/>
    </row>
    <row r="69" spans="5:21" ht="13" customHeight="1" x14ac:dyDescent="0.3">
      <c r="G69" s="53"/>
      <c r="H69" s="69"/>
      <c r="I69" s="69"/>
      <c r="J69" s="69"/>
      <c r="K69" s="69"/>
      <c r="L69" s="69"/>
      <c r="M69" s="69"/>
    </row>
    <row r="72" spans="5:21" ht="13" customHeight="1" x14ac:dyDescent="0.3">
      <c r="E72" s="40"/>
      <c r="F72" s="40"/>
    </row>
    <row r="73" spans="5:21" ht="13" customHeight="1" x14ac:dyDescent="0.3">
      <c r="E73" s="40"/>
      <c r="F73" s="40"/>
      <c r="G73" s="48"/>
    </row>
    <row r="74" spans="5:21" ht="13" customHeight="1" x14ac:dyDescent="0.3">
      <c r="E74" s="13"/>
      <c r="F74" s="11"/>
      <c r="G74" s="48"/>
      <c r="T74" s="119"/>
      <c r="U74" s="119"/>
    </row>
    <row r="75" spans="5:21" ht="13" customHeight="1" x14ac:dyDescent="0.3">
      <c r="E75" s="39"/>
      <c r="F75" s="39"/>
      <c r="G75" s="49"/>
      <c r="H75" s="71"/>
      <c r="I75" s="71"/>
      <c r="J75" s="71"/>
      <c r="K75" s="71"/>
      <c r="L75" s="71"/>
      <c r="M75" s="71"/>
      <c r="T75" s="119"/>
      <c r="U75" s="119"/>
    </row>
    <row r="76" spans="5:21" ht="13" customHeight="1" x14ac:dyDescent="0.3">
      <c r="E76" s="13"/>
      <c r="F76" s="11"/>
      <c r="G76" s="46"/>
      <c r="H76" s="71"/>
      <c r="I76" s="71"/>
      <c r="J76" s="71"/>
      <c r="K76" s="71"/>
      <c r="L76" s="71"/>
      <c r="M76" s="71"/>
    </row>
    <row r="77" spans="5:21" ht="13" customHeight="1" x14ac:dyDescent="0.3">
      <c r="E77" s="13"/>
      <c r="F77" s="11"/>
      <c r="H77" s="71"/>
      <c r="I77" s="71"/>
      <c r="J77" s="71"/>
      <c r="K77" s="71"/>
      <c r="L77" s="71"/>
      <c r="M77" s="71"/>
      <c r="T77" s="107"/>
      <c r="U77" s="107"/>
    </row>
    <row r="78" spans="5:21" ht="13" customHeight="1" x14ac:dyDescent="0.3">
      <c r="E78" s="13"/>
      <c r="F78" s="11"/>
      <c r="H78" s="113"/>
      <c r="I78" s="113"/>
      <c r="J78" s="113"/>
      <c r="K78" s="113"/>
      <c r="L78" s="113"/>
      <c r="M78" s="113"/>
      <c r="T78" s="107"/>
      <c r="U78" s="107"/>
    </row>
    <row r="79" spans="5:21" ht="13" customHeight="1" x14ac:dyDescent="0.3">
      <c r="E79" s="13"/>
      <c r="F79" s="11"/>
      <c r="H79" s="114"/>
      <c r="I79" s="114"/>
      <c r="J79" s="114"/>
      <c r="K79" s="114"/>
      <c r="L79" s="114"/>
      <c r="M79" s="114"/>
      <c r="T79" s="107"/>
      <c r="U79" s="107"/>
    </row>
    <row r="80" spans="5:21" ht="13" customHeight="1" x14ac:dyDescent="0.3">
      <c r="E80" s="44"/>
      <c r="F80" s="44"/>
      <c r="T80" s="107"/>
      <c r="U80" s="107"/>
    </row>
    <row r="81" spans="5:21" ht="13" customHeight="1" x14ac:dyDescent="0.3">
      <c r="E81" s="44"/>
      <c r="F81" s="44"/>
      <c r="T81" s="107"/>
      <c r="U81" s="107"/>
    </row>
    <row r="82" spans="5:21" ht="13" customHeight="1" x14ac:dyDescent="0.3">
      <c r="E82" s="44"/>
      <c r="F82" s="44"/>
      <c r="H82" s="115"/>
      <c r="I82" s="115"/>
      <c r="J82" s="115"/>
      <c r="K82" s="115"/>
      <c r="L82" s="115"/>
      <c r="M82" s="115"/>
      <c r="T82" s="107"/>
      <c r="U82" s="107"/>
    </row>
    <row r="83" spans="5:21" ht="13" customHeight="1" x14ac:dyDescent="0.3">
      <c r="H83" s="115"/>
      <c r="I83" s="115"/>
      <c r="J83" s="115"/>
      <c r="K83" s="115"/>
      <c r="L83" s="115"/>
      <c r="M83" s="115"/>
      <c r="T83" s="107"/>
      <c r="U83" s="107"/>
    </row>
    <row r="84" spans="5:21" ht="13" customHeight="1" x14ac:dyDescent="0.3">
      <c r="H84" s="115"/>
      <c r="I84" s="115"/>
      <c r="J84" s="115"/>
      <c r="K84" s="115"/>
      <c r="L84" s="115"/>
      <c r="M84" s="115"/>
      <c r="T84" s="107"/>
      <c r="U84" s="107"/>
    </row>
    <row r="85" spans="5:21" ht="13" customHeight="1" x14ac:dyDescent="0.3">
      <c r="H85" s="115"/>
      <c r="I85" s="115"/>
      <c r="J85" s="115"/>
      <c r="K85" s="115"/>
      <c r="L85" s="115"/>
      <c r="M85" s="115"/>
      <c r="T85" s="119"/>
      <c r="U85" s="119"/>
    </row>
    <row r="86" spans="5:21" ht="13" customHeight="1" x14ac:dyDescent="0.3">
      <c r="H86" s="71"/>
      <c r="I86" s="71"/>
      <c r="J86" s="71"/>
      <c r="K86" s="71"/>
      <c r="L86" s="71"/>
      <c r="M86" s="71"/>
      <c r="T86" s="119"/>
      <c r="U86" s="119"/>
    </row>
    <row r="87" spans="5:21" ht="13" customHeight="1" x14ac:dyDescent="0.3">
      <c r="H87" s="71"/>
      <c r="I87" s="71"/>
      <c r="J87" s="71"/>
      <c r="K87" s="71"/>
      <c r="L87" s="71"/>
      <c r="M87" s="71"/>
    </row>
    <row r="88" spans="5:21" ht="13" customHeight="1" x14ac:dyDescent="0.3">
      <c r="H88" s="71"/>
      <c r="I88" s="71"/>
      <c r="J88" s="71"/>
      <c r="K88" s="71"/>
      <c r="L88" s="71"/>
      <c r="M88" s="71"/>
    </row>
    <row r="89" spans="5:21" ht="13" customHeight="1" x14ac:dyDescent="0.3">
      <c r="H89" s="113"/>
      <c r="I89" s="113"/>
      <c r="J89" s="113"/>
      <c r="K89" s="113"/>
      <c r="L89" s="113"/>
      <c r="M89" s="113"/>
    </row>
    <row r="90" spans="5:21" ht="13" customHeight="1" x14ac:dyDescent="0.3">
      <c r="H90" s="113"/>
      <c r="I90" s="113"/>
      <c r="J90" s="113"/>
      <c r="K90" s="113"/>
      <c r="L90" s="113"/>
      <c r="M90" s="113"/>
      <c r="T90" s="107"/>
      <c r="U90" s="107"/>
    </row>
    <row r="91" spans="5:21" ht="13" customHeight="1" x14ac:dyDescent="0.3">
      <c r="T91" s="107"/>
      <c r="U91" s="107"/>
    </row>
    <row r="92" spans="5:21" ht="13" customHeight="1" x14ac:dyDescent="0.3">
      <c r="T92" s="107"/>
      <c r="U92" s="107"/>
    </row>
    <row r="93" spans="5:21" ht="13" customHeight="1" x14ac:dyDescent="0.3">
      <c r="T93" s="107"/>
      <c r="U93" s="107"/>
    </row>
    <row r="94" spans="5:21" ht="13" customHeight="1" x14ac:dyDescent="0.3">
      <c r="H94" s="115"/>
      <c r="I94" s="115"/>
      <c r="J94" s="115"/>
      <c r="K94" s="115"/>
      <c r="L94" s="115"/>
      <c r="M94" s="115"/>
      <c r="T94" s="107"/>
      <c r="U94" s="107"/>
    </row>
    <row r="95" spans="5:21" ht="13" customHeight="1" x14ac:dyDescent="0.3">
      <c r="H95" s="115"/>
      <c r="I95" s="115"/>
      <c r="J95" s="115"/>
      <c r="K95" s="115"/>
      <c r="L95" s="115"/>
      <c r="M95" s="115"/>
      <c r="T95" s="107"/>
      <c r="U95" s="107"/>
    </row>
    <row r="96" spans="5:21" ht="13" customHeight="1" x14ac:dyDescent="0.3">
      <c r="H96" s="115"/>
      <c r="I96" s="115"/>
      <c r="J96" s="115"/>
      <c r="K96" s="115"/>
      <c r="L96" s="115"/>
      <c r="M96" s="115"/>
      <c r="T96" s="107"/>
      <c r="U96" s="107"/>
    </row>
    <row r="97" spans="7:21" ht="13" customHeight="1" x14ac:dyDescent="0.3">
      <c r="H97" s="115"/>
      <c r="I97" s="115"/>
      <c r="J97" s="115"/>
      <c r="K97" s="115"/>
      <c r="L97" s="115"/>
      <c r="M97" s="115"/>
      <c r="T97" s="107"/>
      <c r="U97" s="107"/>
    </row>
    <row r="98" spans="7:21" ht="13" customHeight="1" x14ac:dyDescent="0.3">
      <c r="H98" s="115"/>
      <c r="I98" s="115"/>
      <c r="J98" s="115"/>
      <c r="K98" s="115"/>
      <c r="L98" s="115"/>
      <c r="M98" s="115"/>
      <c r="T98" s="107"/>
      <c r="U98" s="107"/>
    </row>
    <row r="99" spans="7:21" ht="13" customHeight="1" x14ac:dyDescent="0.3">
      <c r="G99" s="49"/>
      <c r="H99" s="115"/>
      <c r="I99" s="115"/>
      <c r="J99" s="115"/>
      <c r="K99" s="115"/>
      <c r="L99" s="115"/>
      <c r="M99" s="115"/>
      <c r="T99" s="107"/>
      <c r="U99" s="107"/>
    </row>
    <row r="100" spans="7:21" ht="13" customHeight="1" x14ac:dyDescent="0.3">
      <c r="G100" s="49"/>
      <c r="H100" s="115"/>
      <c r="I100" s="115"/>
      <c r="J100" s="115"/>
      <c r="K100" s="115"/>
      <c r="L100" s="115"/>
      <c r="M100" s="115"/>
      <c r="T100" s="107"/>
      <c r="U100" s="107"/>
    </row>
    <row r="101" spans="7:21" ht="13" customHeight="1" x14ac:dyDescent="0.3">
      <c r="G101" s="49"/>
      <c r="H101" s="115"/>
      <c r="I101" s="115"/>
      <c r="J101" s="115"/>
      <c r="K101" s="115"/>
      <c r="L101" s="115"/>
      <c r="M101" s="115"/>
      <c r="T101" s="107"/>
      <c r="U101" s="107"/>
    </row>
    <row r="102" spans="7:21" ht="13" customHeight="1" x14ac:dyDescent="0.3">
      <c r="G102" s="49"/>
      <c r="H102" s="115"/>
      <c r="I102" s="115"/>
      <c r="J102" s="115"/>
      <c r="K102" s="115"/>
      <c r="L102" s="115"/>
      <c r="M102" s="115"/>
      <c r="T102" s="107"/>
      <c r="U102" s="107"/>
    </row>
    <row r="103" spans="7:21" ht="13" customHeight="1" x14ac:dyDescent="0.3">
      <c r="G103" s="49"/>
      <c r="H103" s="115"/>
      <c r="I103" s="115"/>
      <c r="J103" s="115"/>
      <c r="K103" s="115"/>
      <c r="L103" s="115"/>
      <c r="M103" s="115"/>
      <c r="T103" s="107"/>
      <c r="U103" s="107"/>
    </row>
    <row r="104" spans="7:21" ht="13" customHeight="1" x14ac:dyDescent="0.3">
      <c r="G104" s="49"/>
      <c r="H104" s="115"/>
      <c r="I104" s="115"/>
      <c r="J104" s="115"/>
      <c r="K104" s="115"/>
      <c r="L104" s="115"/>
      <c r="M104" s="115"/>
      <c r="T104" s="107"/>
      <c r="U104" s="107"/>
    </row>
    <row r="105" spans="7:21" ht="13" customHeight="1" x14ac:dyDescent="0.3">
      <c r="G105" s="49"/>
      <c r="H105" s="115"/>
      <c r="I105" s="115"/>
      <c r="J105" s="115"/>
      <c r="K105" s="115"/>
      <c r="L105" s="115"/>
      <c r="M105" s="115"/>
      <c r="T105" s="107"/>
      <c r="U105" s="107"/>
    </row>
    <row r="106" spans="7:21" ht="13" customHeight="1" x14ac:dyDescent="0.3">
      <c r="H106" s="115"/>
      <c r="I106" s="115"/>
      <c r="J106" s="115"/>
      <c r="K106" s="115"/>
      <c r="L106" s="115"/>
      <c r="M106" s="115"/>
      <c r="T106" s="107"/>
      <c r="U106" s="107"/>
    </row>
    <row r="107" spans="7:21" ht="13" customHeight="1" x14ac:dyDescent="0.3">
      <c r="H107" s="115"/>
      <c r="I107" s="115"/>
      <c r="J107" s="115"/>
      <c r="K107" s="115"/>
      <c r="L107" s="115"/>
      <c r="M107" s="115"/>
      <c r="T107" s="107"/>
      <c r="U107" s="107"/>
    </row>
    <row r="108" spans="7:21" ht="13" customHeight="1" x14ac:dyDescent="0.3">
      <c r="H108" s="115"/>
      <c r="I108" s="115"/>
      <c r="J108" s="115"/>
      <c r="K108" s="115"/>
      <c r="L108" s="115"/>
      <c r="M108" s="115"/>
    </row>
    <row r="109" spans="7:21" ht="13" customHeight="1" x14ac:dyDescent="0.3">
      <c r="H109" s="115"/>
      <c r="I109" s="115"/>
      <c r="J109" s="115"/>
      <c r="K109" s="115"/>
      <c r="L109" s="115"/>
      <c r="M109" s="115"/>
    </row>
    <row r="110" spans="7:21" ht="13" customHeight="1" x14ac:dyDescent="0.3">
      <c r="H110" s="115"/>
      <c r="I110" s="115"/>
      <c r="J110" s="115"/>
      <c r="K110" s="115"/>
      <c r="L110" s="115"/>
      <c r="M110" s="115"/>
    </row>
    <row r="111" spans="7:21" ht="13" customHeight="1" x14ac:dyDescent="0.3">
      <c r="G111" s="48"/>
      <c r="H111" s="115"/>
      <c r="I111" s="115"/>
      <c r="J111" s="115"/>
      <c r="K111" s="115"/>
      <c r="L111" s="115"/>
      <c r="M111" s="115"/>
    </row>
    <row r="112" spans="7:21" ht="13" customHeight="1" x14ac:dyDescent="0.3">
      <c r="G112" s="48"/>
    </row>
    <row r="113" spans="7:21" ht="13" customHeight="1" x14ac:dyDescent="0.3">
      <c r="G113" s="49"/>
    </row>
    <row r="114" spans="7:21" ht="13" customHeight="1" x14ac:dyDescent="0.3">
      <c r="G114" s="46"/>
      <c r="T114" s="119"/>
      <c r="U114" s="119"/>
    </row>
    <row r="115" spans="7:21" ht="13" customHeight="1" x14ac:dyDescent="0.3">
      <c r="G115" s="49"/>
      <c r="T115" s="119"/>
      <c r="U115" s="119"/>
    </row>
    <row r="116" spans="7:21" ht="13" customHeight="1" x14ac:dyDescent="0.3">
      <c r="G116" s="49"/>
    </row>
    <row r="117" spans="7:21" ht="13" customHeight="1" x14ac:dyDescent="0.3">
      <c r="G117" s="49"/>
    </row>
    <row r="118" spans="7:21" ht="13" customHeight="1" x14ac:dyDescent="0.3">
      <c r="G118" s="49"/>
      <c r="H118" s="113"/>
      <c r="I118" s="113"/>
      <c r="J118" s="113"/>
      <c r="K118" s="113"/>
      <c r="L118" s="113"/>
      <c r="M118" s="113"/>
    </row>
    <row r="119" spans="7:21" ht="13" customHeight="1" x14ac:dyDescent="0.3">
      <c r="G119" s="54"/>
      <c r="H119" s="113"/>
      <c r="I119" s="113"/>
      <c r="J119" s="113"/>
      <c r="K119" s="113"/>
      <c r="L119" s="113"/>
      <c r="M119" s="113"/>
      <c r="T119" s="140"/>
      <c r="U119" s="140"/>
    </row>
    <row r="120" spans="7:21" ht="13" customHeight="1" x14ac:dyDescent="0.3">
      <c r="G120" s="54"/>
      <c r="T120" s="140"/>
      <c r="U120" s="140"/>
    </row>
    <row r="121" spans="7:21" ht="13" customHeight="1" x14ac:dyDescent="0.3">
      <c r="G121" s="54"/>
      <c r="H121" s="7"/>
      <c r="I121" s="7"/>
      <c r="J121" s="7"/>
      <c r="K121" s="7"/>
      <c r="L121" s="7"/>
      <c r="M121" s="7"/>
      <c r="T121" s="140"/>
      <c r="U121" s="140"/>
    </row>
    <row r="122" spans="7:21" ht="13" customHeight="1" x14ac:dyDescent="0.3">
      <c r="T122" s="140"/>
      <c r="U122" s="140"/>
    </row>
    <row r="123" spans="7:21" ht="13" customHeight="1" x14ac:dyDescent="0.3">
      <c r="T123" s="140"/>
      <c r="U123" s="140"/>
    </row>
    <row r="124" spans="7:21" ht="13" customHeight="1" x14ac:dyDescent="0.3">
      <c r="T124" s="140"/>
      <c r="U124" s="140"/>
    </row>
    <row r="125" spans="7:21" ht="13" customHeight="1" x14ac:dyDescent="0.3">
      <c r="T125" s="140"/>
      <c r="U125" s="140"/>
    </row>
    <row r="126" spans="7:21" ht="13" customHeight="1" x14ac:dyDescent="0.3">
      <c r="T126" s="140"/>
      <c r="U126" s="140"/>
    </row>
    <row r="140" spans="8:13" ht="13" customHeight="1" x14ac:dyDescent="0.3">
      <c r="H140" s="113"/>
      <c r="I140" s="113"/>
      <c r="J140" s="113"/>
      <c r="K140" s="113"/>
      <c r="L140" s="113"/>
      <c r="M140" s="113"/>
    </row>
    <row r="141" spans="8:13" ht="13" customHeight="1" x14ac:dyDescent="0.3">
      <c r="H141" s="114"/>
      <c r="I141" s="114"/>
      <c r="J141" s="114"/>
      <c r="K141" s="114"/>
      <c r="L141" s="114"/>
      <c r="M141" s="114"/>
    </row>
    <row r="144" spans="8:13" ht="13" customHeight="1" x14ac:dyDescent="0.3">
      <c r="H144" s="115"/>
      <c r="I144" s="115"/>
      <c r="J144" s="115"/>
      <c r="K144" s="115"/>
      <c r="L144" s="115"/>
      <c r="M144" s="115"/>
    </row>
    <row r="145" spans="8:13" ht="13" customHeight="1" x14ac:dyDescent="0.3">
      <c r="H145" s="115"/>
      <c r="I145" s="115"/>
      <c r="J145" s="115"/>
      <c r="K145" s="115"/>
      <c r="L145" s="115"/>
      <c r="M145" s="115"/>
    </row>
    <row r="146" spans="8:13" ht="13" customHeight="1" x14ac:dyDescent="0.3">
      <c r="H146" s="115"/>
      <c r="I146" s="115"/>
      <c r="J146" s="115"/>
      <c r="K146" s="115"/>
      <c r="L146" s="115"/>
      <c r="M146" s="115"/>
    </row>
  </sheetData>
  <sheetProtection algorithmName="SHA-512" hashValue="jMNTReX79WWdB9jjT8wz/SYhOUH0Cktobuovy5aAOiRx+qW7JVu8VKmlOZ+FEMmxRuRpLwYlcSFqGpYGJpuDfA==" saltValue="Pprt3aAe3qrAnPyDs1omTw==" spinCount="100000" sheet="1" objects="1" scenarios="1"/>
  <mergeCells count="4">
    <mergeCell ref="B2:C2"/>
    <mergeCell ref="B3:C3"/>
    <mergeCell ref="B10:C11"/>
    <mergeCell ref="D2:E2"/>
  </mergeCells>
  <conditionalFormatting sqref="H1:CA14 H25:CA31 V15:CA24 H37:CA37 V32:CA36 H39:CA1048576 V38:CA38">
    <cfRule type="expression" dxfId="29" priority="7">
      <formula>AND($A1="",ABS(H1)=0)</formula>
    </cfRule>
    <cfRule type="expression" dxfId="28" priority="8">
      <formula>AND($A1="",ABS(H1)&lt;10)</formula>
    </cfRule>
    <cfRule type="expression" dxfId="27" priority="9">
      <formula>AND($A1="",ABS(H1)&lt;100)</formula>
    </cfRule>
    <cfRule type="expression" dxfId="26" priority="11">
      <formula>AND($A1="",ABS(H1)&gt;=100)</formula>
    </cfRule>
  </conditionalFormatting>
  <conditionalFormatting sqref="H6:CA14 H25:CA31 V15:CA24 H37:CA37 V32:CA36 H39:CA10000 V38:CA38">
    <cfRule type="expression" dxfId="25" priority="6">
      <formula>AND($D6&lt;&gt;"",H$10&lt;&gt;"",H6="")</formula>
    </cfRule>
  </conditionalFormatting>
  <conditionalFormatting sqref="B1:D1048576">
    <cfRule type="expression" dxfId="24" priority="5">
      <formula>AND(B1&lt;&gt;"",NOT(_xlfn.ISFORMULA(B1)))</formula>
    </cfRule>
  </conditionalFormatting>
  <conditionalFormatting sqref="H23:U23">
    <cfRule type="expression" dxfId="23" priority="4">
      <formula>AND($A1="",ABS(H1)&gt;=0)</formula>
    </cfRule>
  </conditionalFormatting>
  <conditionalFormatting sqref="H15:U22 H24:U24">
    <cfRule type="expression" dxfId="22" priority="3">
      <formula>AND($A1048568="",ABS(H1048568)&lt;100)</formula>
    </cfRule>
  </conditionalFormatting>
  <conditionalFormatting sqref="H32:U36">
    <cfRule type="expression" dxfId="21" priority="2">
      <formula>AND($A1048564="",ABS(XEY1048564)&lt;100)</formula>
    </cfRule>
  </conditionalFormatting>
  <conditionalFormatting sqref="H38:U38">
    <cfRule type="expression" dxfId="20" priority="1">
      <formula>AND($A1048564="",ABS(XEY1048564)&lt;1000)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0" location="GRI_403" display="Ó"/>
    <hyperlink ref="C7" location="GRI_403_2a" display="GRI_403_2a"/>
    <hyperlink ref="D2" location="Home" display="Home"/>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56</vt:i4>
      </vt:variant>
    </vt:vector>
  </HeadingPairs>
  <TitlesOfParts>
    <vt:vector size="69" baseType="lpstr">
      <vt:lpstr>Table des matières</vt:lpstr>
      <vt:lpstr>102</vt:lpstr>
      <vt:lpstr>201</vt:lpstr>
      <vt:lpstr>202</vt:lpstr>
      <vt:lpstr>203</vt:lpstr>
      <vt:lpstr>302</vt:lpstr>
      <vt:lpstr>305</vt:lpstr>
      <vt:lpstr>401</vt:lpstr>
      <vt:lpstr>403</vt:lpstr>
      <vt:lpstr>404</vt:lpstr>
      <vt:lpstr>405</vt:lpstr>
      <vt:lpstr>Hilfsgrössen</vt:lpstr>
      <vt:lpstr>Textbausteine</vt:lpstr>
      <vt:lpstr>GRI_102</vt:lpstr>
      <vt:lpstr>GRI_102_43a</vt:lpstr>
      <vt:lpstr>GRI_102_6a</vt:lpstr>
      <vt:lpstr>GRI_102_7a</vt:lpstr>
      <vt:lpstr>GRI_102_7b</vt:lpstr>
      <vt:lpstr>GRI_102_7c</vt:lpstr>
      <vt:lpstr>GRI_102_7d</vt:lpstr>
      <vt:lpstr>GRI_102_7e</vt:lpstr>
      <vt:lpstr>GRI_102_8a</vt:lpstr>
      <vt:lpstr>GRI_102_8b</vt:lpstr>
      <vt:lpstr>GRI_102_8c</vt:lpstr>
      <vt:lpstr>GRI_102_8d</vt:lpstr>
      <vt:lpstr>GRI_102_9a</vt:lpstr>
      <vt:lpstr>GRI_201</vt:lpstr>
      <vt:lpstr>GRI_201_1a</vt:lpstr>
      <vt:lpstr>GRI_201_1b</vt:lpstr>
      <vt:lpstr>GRI_201_3</vt:lpstr>
      <vt:lpstr>GRI_202</vt:lpstr>
      <vt:lpstr>GRI_202_1</vt:lpstr>
      <vt:lpstr>GRI_203</vt:lpstr>
      <vt:lpstr>GRI_203_2</vt:lpstr>
      <vt:lpstr>GRI_203_2b</vt:lpstr>
      <vt:lpstr>GRI_203_2c</vt:lpstr>
      <vt:lpstr>GRI_203_2d</vt:lpstr>
      <vt:lpstr>GRI_203_2e</vt:lpstr>
      <vt:lpstr>GRI_203_2f</vt:lpstr>
      <vt:lpstr>GRI_203_2g</vt:lpstr>
      <vt:lpstr>GRI_302</vt:lpstr>
      <vt:lpstr>GRI_302_1</vt:lpstr>
      <vt:lpstr>GRI_302_2</vt:lpstr>
      <vt:lpstr>GRI_305</vt:lpstr>
      <vt:lpstr>GRI_305_1</vt:lpstr>
      <vt:lpstr>GRI_305_2</vt:lpstr>
      <vt:lpstr>GRI_305_3</vt:lpstr>
      <vt:lpstr>GRI_305_4</vt:lpstr>
      <vt:lpstr>GRI_305_6_7</vt:lpstr>
      <vt:lpstr>GRI_401</vt:lpstr>
      <vt:lpstr>GRI_401_1</vt:lpstr>
      <vt:lpstr>GRI_401_3</vt:lpstr>
      <vt:lpstr>GRI_401_a</vt:lpstr>
      <vt:lpstr>GRI_401a</vt:lpstr>
      <vt:lpstr>GRI_403</vt:lpstr>
      <vt:lpstr>GRI_403_2a</vt:lpstr>
      <vt:lpstr>GRI_404</vt:lpstr>
      <vt:lpstr>GRI_404_2a</vt:lpstr>
      <vt:lpstr>GRI_404_2b</vt:lpstr>
      <vt:lpstr>GRI_404_2c</vt:lpstr>
      <vt:lpstr>GRI_405</vt:lpstr>
      <vt:lpstr>GRI_405_1</vt:lpstr>
      <vt:lpstr>GRI_405_1a</vt:lpstr>
      <vt:lpstr>GRI_405_1b</vt:lpstr>
      <vt:lpstr>GRI_405_1c</vt:lpstr>
      <vt:lpstr>GRI_405_1d</vt:lpstr>
      <vt:lpstr>Home</vt:lpstr>
      <vt:lpstr>'404'!Sprache</vt:lpstr>
      <vt:lpstr>Sprache</vt:lpstr>
    </vt:vector>
  </TitlesOfParts>
  <Company>POST CH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Saner Dominik, K CR2</dc:creator>
  <cp:lastModifiedBy>Saner Dominik, K CR2</cp:lastModifiedBy>
  <dcterms:created xsi:type="dcterms:W3CDTF">2017-09-13T11:36:15Z</dcterms:created>
  <dcterms:modified xsi:type="dcterms:W3CDTF">2018-03-14T08:35:09Z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goMarke">
    <vt:lpwstr>P</vt:lpwstr>
  </property>
  <property fmtid="{D5CDD505-2E9C-101B-9397-08002B2CF9AE}" pid="3" name="LogoSprache">
    <vt:lpwstr>D</vt:lpwstr>
  </property>
</Properties>
</file>