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0.xml" ContentType="application/vnd.openxmlformats-officedocument.spreadsheetml.table+xml"/>
  <Override PartName="/xl/tables/table6.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96" yWindow="576" windowWidth="24420" windowHeight="15816" tabRatio="903" activeTab="0"/>
  </bookViews>
  <sheets>
    <sheet name="Inhaltsverzeichnis" sheetId="1" r:id="rId1"/>
    <sheet name="102" sheetId="2" r:id="rId2"/>
    <sheet name="201" sheetId="3" r:id="rId3"/>
    <sheet name="202" sheetId="4" r:id="rId4"/>
    <sheet name="203" sheetId="5" r:id="rId5"/>
    <sheet name="302" sheetId="6" r:id="rId6"/>
    <sheet name="305" sheetId="7" r:id="rId7"/>
    <sheet name="401" sheetId="8" r:id="rId8"/>
    <sheet name="403" sheetId="9" r:id="rId9"/>
    <sheet name="404" sheetId="10" r:id="rId10"/>
    <sheet name="405" sheetId="11" r:id="rId11"/>
    <sheet name="Hilfsgrössen" sheetId="12" state="hidden" r:id="rId12"/>
    <sheet name="Textbausteine" sheetId="13" state="hidden" r:id="rId13"/>
  </sheets>
  <definedNames>
    <definedName name="_xlfn.IFERROR" hidden="1">#NAME?</definedName>
    <definedName name="_xlfn.ISFORMULA" hidden="1">#NAME?</definedName>
    <definedName name="GRI_102">'102'!$B$3</definedName>
    <definedName name="GRI_102_43a">'102'!$B$332</definedName>
    <definedName name="GRI_102_6a">'102'!$B$20</definedName>
    <definedName name="GRI_102_7a">'102'!$B$47</definedName>
    <definedName name="GRI_102_7b">'102'!$B$59</definedName>
    <definedName name="GRI_102_7c">'102'!$B$74</definedName>
    <definedName name="GRI_102_7d">'102'!$B$166</definedName>
    <definedName name="GRI_102_7e">'102'!$B$332</definedName>
    <definedName name="GRI_102_8a">'102'!$B$187</definedName>
    <definedName name="GRI_102_8b">'102'!$B$245</definedName>
    <definedName name="GRI_102_8c">'102'!$B$259</definedName>
    <definedName name="GRI_102_8d">'102'!$B$289</definedName>
    <definedName name="GRI_102_9a">'102'!$B$320</definedName>
    <definedName name="GRI_201">'201'!$B$3</definedName>
    <definedName name="GRI_201_1a">'201'!$B$12</definedName>
    <definedName name="GRI_201_1b">'201'!$B$72</definedName>
    <definedName name="GRI_201_3">'201'!$B$109</definedName>
    <definedName name="GRI_202">'202'!$B$3</definedName>
    <definedName name="GRI_202_1">'202'!$B$10</definedName>
    <definedName name="GRI_203">'203'!$B$3</definedName>
    <definedName name="GRI_203_2">'203'!$B$16</definedName>
    <definedName name="GRI_203_2b">'203'!$B$39</definedName>
    <definedName name="GRI_203_2c">'203'!$B$58</definedName>
    <definedName name="GRI_203_2d">'203'!$B$137</definedName>
    <definedName name="GRI_203_2e">'203'!$B$214</definedName>
    <definedName name="GRI_203_2f">'203'!$B$229</definedName>
    <definedName name="GRI_203_2g">'203'!$B$240</definedName>
    <definedName name="GRI_302">'302'!$B$3</definedName>
    <definedName name="GRI_302_1">'302'!$B$11</definedName>
    <definedName name="GRI_302_2">'302'!$B$62</definedName>
    <definedName name="GRI_305">'305'!$B$3</definedName>
    <definedName name="GRI_305_1">'305'!$B$14</definedName>
    <definedName name="GRI_305_2">'305'!$B$70</definedName>
    <definedName name="GRI_305_3">'305'!$B$80</definedName>
    <definedName name="GRI_305_4">'305'!$B$90</definedName>
    <definedName name="GRI_305_6_7">'305'!$B$99</definedName>
    <definedName name="GRI_401">'401'!$B$3</definedName>
    <definedName name="GRI_401_1">'401'!$B$12</definedName>
    <definedName name="GRI_401_3">'401'!$B$53</definedName>
    <definedName name="GRI_401_a">'401'!$B$63</definedName>
    <definedName name="GRI_401a">'401'!$B$63</definedName>
    <definedName name="GRI_403">'403'!$B$3</definedName>
    <definedName name="GRI_403_2a">'403'!$B$10</definedName>
    <definedName name="GRI_404">'404'!$B$3</definedName>
    <definedName name="GRI_404_2a">'404'!$B$12</definedName>
    <definedName name="GRI_404_2b">'404'!$B$44</definedName>
    <definedName name="GRI_404_2c">'404'!$B$56:$C$57</definedName>
    <definedName name="GRI_405">'405'!$B$3</definedName>
    <definedName name="GRI_405_1">'405'!$B$13</definedName>
    <definedName name="GRI_405_1a">'405'!$B$13</definedName>
    <definedName name="GRI_405_1b">'405'!$B$29</definedName>
    <definedName name="GRI_405_1c">'405'!$B$44</definedName>
    <definedName name="GRI_405_1d">'405'!$B$64</definedName>
    <definedName name="Home">'Inhaltsverzeichnis'!$B$2</definedName>
    <definedName name="Passwort" hidden="1">"KCR2"</definedName>
    <definedName name="Sprache">'Hilfsgrössen'!$A$2:$A$5</definedName>
  </definedNames>
  <calcPr fullCalcOnLoad="1" iterate="1" iterateCount="10" iterateDelta="0.001"/>
</workbook>
</file>

<file path=xl/sharedStrings.xml><?xml version="1.0" encoding="utf-8"?>
<sst xmlns="http://schemas.openxmlformats.org/spreadsheetml/2006/main" count="5417" uniqueCount="2811">
  <si>
    <t>201 – Wirtschaftliche Leistung</t>
  </si>
  <si>
    <t>202 – Marktpräsenz</t>
  </si>
  <si>
    <t>203 – Indirekte wirtschaftliche Auswirkungen</t>
  </si>
  <si>
    <t>205 – Korruptionsbekämpfung</t>
  </si>
  <si>
    <t>206 – Wettbewerbswidriges Verhalten</t>
  </si>
  <si>
    <t>301 – Materialien</t>
  </si>
  <si>
    <t>302 – Energie</t>
  </si>
  <si>
    <t>305 – Emissionen</t>
  </si>
  <si>
    <t>308 – Bewertung der Lieferanten hinsichtlich ökologischer Aspekte</t>
  </si>
  <si>
    <t>401 – Beschäftigung</t>
  </si>
  <si>
    <t>402 – Arbeitnehmer-Arbeitgeber-Verhältnis</t>
  </si>
  <si>
    <t>403 – Arbeitssicherheit und Gesundheitsschutz</t>
  </si>
  <si>
    <t>404 – Aus- und Weiterbildung</t>
  </si>
  <si>
    <t>405 – Vielfalt und Chancengleichheit</t>
  </si>
  <si>
    <t>406 – Gleichbehandlung</t>
  </si>
  <si>
    <t>407 – Vereinigungsfreiheit und Recht auf Kollektivverhandlungen</t>
  </si>
  <si>
    <t>408 – Kinderarbeit</t>
  </si>
  <si>
    <t>409 – Zwangs- und Pflichtarbeit</t>
  </si>
  <si>
    <t>413 – Lokale Gemeinschaften</t>
  </si>
  <si>
    <t>414 – Bewertung der Lieferanten hinsichtlich Arbeitspraktiken</t>
  </si>
  <si>
    <t>418 – Schutz der Privatsphäre des Kunden</t>
  </si>
  <si>
    <t>Allgemeine Angaben</t>
  </si>
  <si>
    <t>UN Global Compact</t>
  </si>
  <si>
    <t>SDG8</t>
  </si>
  <si>
    <t>SDG2, SDG5, SDG7, SDG8, SDG9, SDG13</t>
  </si>
  <si>
    <t>UN Sustainable Development Goals</t>
  </si>
  <si>
    <t>SDG1, SDG5, SDG8</t>
  </si>
  <si>
    <t>SDG1, SDG2, SDG3, SDG8, SDG10, SDG17</t>
  </si>
  <si>
    <t>SDG16</t>
  </si>
  <si>
    <t>SDG8, SDG12</t>
  </si>
  <si>
    <t>SDG7, SDG8, SDG12, SDG13</t>
  </si>
  <si>
    <t>SDG3, SDG12, SDG13, SGD14, SDG15</t>
  </si>
  <si>
    <t>SDG5, SDG8</t>
  </si>
  <si>
    <t>SDG5, SDG8, SDG10</t>
  </si>
  <si>
    <t>SDG5, SDG8, SDG16</t>
  </si>
  <si>
    <t>SDG8, SDG16</t>
  </si>
  <si>
    <t>SDG1, SDG2</t>
  </si>
  <si>
    <t>419 – Sozio-ökonomische Compliance</t>
  </si>
  <si>
    <t>Fussnoten</t>
  </si>
  <si>
    <t>Betriebsertrag</t>
  </si>
  <si>
    <t>Mio. CHF</t>
  </si>
  <si>
    <t>reservierte Dienste</t>
  </si>
  <si>
    <t>Betriebsaufwand</t>
  </si>
  <si>
    <t>Personalaufwand</t>
  </si>
  <si>
    <t>Betriebsergebnis</t>
  </si>
  <si>
    <t>als Anteil des Betriebsertrages</t>
  </si>
  <si>
    <t>%</t>
  </si>
  <si>
    <t>Konzerngewinn</t>
  </si>
  <si>
    <t>Geldfluss aus operativer Geschäftstätigkeit</t>
  </si>
  <si>
    <t>PostMail</t>
  </si>
  <si>
    <t>Swiss Post Solutions</t>
  </si>
  <si>
    <t>n.a.</t>
  </si>
  <si>
    <t>Übrige</t>
  </si>
  <si>
    <t>1) In Übereinstimmung mit dem Segmentausweis im Finanzbericht, d.h. Ausland = inkl. grenzüberschreitendem Verkehr</t>
  </si>
  <si>
    <t>2) Der reservierte Dienst ist die Dienstleistung der postalischen Grundversorgung, die ausschliesslich von der Schweizerischen Post angeboten wird und zu deren Erbringung die Post verpflichtet ist. Der reservierte Dienst entspricht dem Monopolbereich.</t>
  </si>
  <si>
    <t>3) Der Post Value Added (PVA) ist eine absolute Masszahl (Mio. CHF) und zeigt an, welchen Mehrwert das Gesamtunternehmen bzw. ein Segment erwirtschaftet. Ein Mehrwert entsteht, wenn das um die Steuern angepasste Betriebsergebnis die geforderte Verzinsung des investierten Kapitals übersteigt.</t>
  </si>
  <si>
    <t>5) Im Jahr 2007 wurden Konzerngesellschaften der Segmente PostMail (DocumentServices AG, SwissSign AG) und PostLogistics (yellowworld AG) neu dem Segment Swiss Post Solutions zugeordnet.</t>
  </si>
  <si>
    <r>
      <t>2013</t>
    </r>
    <r>
      <rPr>
        <b/>
        <vertAlign val="superscript"/>
        <sz val="10"/>
        <rFont val="Frutiger 45 Light"/>
        <family val="2"/>
      </rPr>
      <t>6)</t>
    </r>
  </si>
  <si>
    <r>
      <t>2015</t>
    </r>
    <r>
      <rPr>
        <b/>
        <vertAlign val="superscript"/>
        <sz val="10"/>
        <rFont val="Frutiger 45 Light"/>
        <family val="2"/>
      </rPr>
      <t>6)</t>
    </r>
  </si>
  <si>
    <r>
      <t>1'132</t>
    </r>
    <r>
      <rPr>
        <vertAlign val="superscript"/>
        <sz val="10"/>
        <rFont val="Frutiger 45 Light"/>
        <family val="2"/>
      </rPr>
      <t>4)</t>
    </r>
  </si>
  <si>
    <r>
      <t>125</t>
    </r>
    <r>
      <rPr>
        <vertAlign val="superscript"/>
        <sz val="10"/>
        <rFont val="Frutiger 45 Light"/>
        <family val="2"/>
      </rPr>
      <t>4)</t>
    </r>
  </si>
  <si>
    <r>
      <t>2175</t>
    </r>
    <r>
      <rPr>
        <vertAlign val="superscript"/>
        <sz val="10"/>
        <rFont val="Frutiger 45 Light"/>
        <family val="2"/>
      </rPr>
      <t>4)</t>
    </r>
  </si>
  <si>
    <t>Unterdeckung bilanzierter Vorsorgeverpflichtungen nach IFRS</t>
  </si>
  <si>
    <t>Deckungsgrad Pensionskasse Post nach BVG</t>
  </si>
  <si>
    <t>201-1</t>
  </si>
  <si>
    <t>201-3</t>
  </si>
  <si>
    <t>Disclosures</t>
  </si>
  <si>
    <t>201-1 – Direct economic value generated and distributed</t>
  </si>
  <si>
    <t>201-3 – Defined benefit plan obligations and other retirement plans</t>
  </si>
  <si>
    <t>Einheit</t>
  </si>
  <si>
    <t>1) Deckung gemäss IFRS (siehe Finanzbericht)</t>
  </si>
  <si>
    <t>2) Deckungsgrad gemäss. Art. 44 der Verordnung über die berufliche Alters-, Hinterlassenen- und Invalidenvorsorge (BVV2)</t>
  </si>
  <si>
    <t>Konzern Schweiz</t>
  </si>
  <si>
    <r>
      <t>8'371</t>
    </r>
    <r>
      <rPr>
        <vertAlign val="superscript"/>
        <sz val="10"/>
        <rFont val="Frutiger 45 Light"/>
        <family val="2"/>
      </rPr>
      <t>4)</t>
    </r>
  </si>
  <si>
    <t xml:space="preserve">202-1 – Ratios of standard entry level wage by gender compared to local minimum wage </t>
  </si>
  <si>
    <t>Entschädigungen an Verwaltungsratspräsidenten</t>
  </si>
  <si>
    <t>Entschädigung an Konzernleiter/-in</t>
  </si>
  <si>
    <t>1, 2</t>
  </si>
  <si>
    <t>Durchschnittslohn Mitarbeitende</t>
  </si>
  <si>
    <t>Minimallohn GAV Post (18 Jahre, ohne Berufslehre)</t>
  </si>
  <si>
    <t>Faktor</t>
  </si>
  <si>
    <t>202-1</t>
  </si>
  <si>
    <t>1) Entschädigung Verwaltungsrat = Honorar plus Nebenleistungen,  Entschädigung Konzernleitung = Grundlohn plus variable Entlöhnung</t>
  </si>
  <si>
    <t>Sprache</t>
  </si>
  <si>
    <t>Sprache ID</t>
  </si>
  <si>
    <t>De</t>
  </si>
  <si>
    <t>Fr</t>
  </si>
  <si>
    <t>It</t>
  </si>
  <si>
    <t>En</t>
  </si>
  <si>
    <t>Gewählte_Sprache</t>
  </si>
  <si>
    <t>Text ID</t>
  </si>
  <si>
    <t>Die Schweizerische Post</t>
  </si>
  <si>
    <t>Swiss Post</t>
  </si>
  <si>
    <t>La Poste</t>
  </si>
  <si>
    <t>La Posta</t>
  </si>
  <si>
    <t>102 – Divulgations généraux</t>
  </si>
  <si>
    <t>102 – Divulgazioni generali</t>
  </si>
  <si>
    <t>Informazioni generali</t>
  </si>
  <si>
    <t>Wirtschaftliche Themen</t>
  </si>
  <si>
    <t>Ökologische Themen</t>
  </si>
  <si>
    <t>Social topics</t>
  </si>
  <si>
    <t>General information</t>
  </si>
  <si>
    <t>Environmental topics</t>
  </si>
  <si>
    <t>Temi ambientali</t>
  </si>
  <si>
    <t>Sujets environnementaux</t>
  </si>
  <si>
    <t>Sujets sociaux</t>
  </si>
  <si>
    <t>Sujets économiques</t>
  </si>
  <si>
    <t>Temi economici</t>
  </si>
  <si>
    <t>Temi sociali</t>
  </si>
  <si>
    <t>201 – Performance économique</t>
  </si>
  <si>
    <t>201 – Prestazioni economiche</t>
  </si>
  <si>
    <t>301 – Materials</t>
  </si>
  <si>
    <t>302 – Energy</t>
  </si>
  <si>
    <t>305 – Emissions</t>
  </si>
  <si>
    <t>401 – Employment</t>
  </si>
  <si>
    <t>405 – Diversity and Equal Opportunity</t>
  </si>
  <si>
    <t>102 – General Disclosures</t>
  </si>
  <si>
    <t>201 – Economic Performance</t>
  </si>
  <si>
    <t>202 – Market Presence</t>
  </si>
  <si>
    <t>203 – Indirect Economic Impacts</t>
  </si>
  <si>
    <t>205 – Anti Corruption</t>
  </si>
  <si>
    <t>206 – Anti Competitive Behavior</t>
  </si>
  <si>
    <t>308 – Supplier Environmental Assessment</t>
  </si>
  <si>
    <t>403 – Occupational Health and Safety</t>
  </si>
  <si>
    <t>404 – Training and Education</t>
  </si>
  <si>
    <t>406 – Non-discrimination</t>
  </si>
  <si>
    <t>407 – Freedom of Association and Collective Bargaining</t>
  </si>
  <si>
    <t>408 – Child Labor</t>
  </si>
  <si>
    <t>409 – Forced or Compulsory Labor</t>
  </si>
  <si>
    <t>412 – Human Rights Assessment</t>
  </si>
  <si>
    <t>413 – Local Communities</t>
  </si>
  <si>
    <t>414 – Supplier Social Assessment</t>
  </si>
  <si>
    <t>418 – Customer Privacy</t>
  </si>
  <si>
    <t>419 – Socioeconomic Compliance</t>
  </si>
  <si>
    <t>202 – Présence sur le marché</t>
  </si>
  <si>
    <t>202 – Presenza sul mercato</t>
  </si>
  <si>
    <t>Economic topics</t>
  </si>
  <si>
    <t>Sozial-gesellschaftliche Themen</t>
  </si>
  <si>
    <t>203 – Impacts économiques indirects</t>
  </si>
  <si>
    <t>203 – Impatti economici indiretti</t>
  </si>
  <si>
    <t>301 – Matières</t>
  </si>
  <si>
    <t>301 – Materiale</t>
  </si>
  <si>
    <t>302 – Energia</t>
  </si>
  <si>
    <t>305 – Emissioni</t>
  </si>
  <si>
    <t>308 – Evaluation environnementale des fournisseurs</t>
  </si>
  <si>
    <t>308 – Valutazione ambientale dei fornitori</t>
  </si>
  <si>
    <t>401 – Emploi</t>
  </si>
  <si>
    <t>401 – Occupazione</t>
  </si>
  <si>
    <t>402 – Labor/Management Relations</t>
  </si>
  <si>
    <t>402 – Relations employeur/employés</t>
  </si>
  <si>
    <t>402 – Relazioni datore di lavoro/dipendente</t>
  </si>
  <si>
    <t>403 – Santé et sécurité au travail</t>
  </si>
  <si>
    <t>405 – Diversité et égalité des chances</t>
  </si>
  <si>
    <t>403 – Salute e sicurezza sul posto di lavoro</t>
  </si>
  <si>
    <t>404 – Formazione e istruzione</t>
  </si>
  <si>
    <t>405 – Diversità e pari opportunità</t>
  </si>
  <si>
    <t>406 – Non discriminazione</t>
  </si>
  <si>
    <t>408 – Travail des enfants</t>
  </si>
  <si>
    <t>407 – Liberté syndicale et droit de négociation collective</t>
  </si>
  <si>
    <t>404 – Formation et éducation</t>
  </si>
  <si>
    <t>409 – Travail forcé ou obligatoire</t>
  </si>
  <si>
    <t>414 – Evaluation sociale des fournisseurs</t>
  </si>
  <si>
    <t>412 – Prüfung der Menschenrechte</t>
  </si>
  <si>
    <t>412 – Valutazione dei diritti umani</t>
  </si>
  <si>
    <t>412 – Evaluation des droits de l'homme</t>
  </si>
  <si>
    <t>413 – Communautés locales</t>
  </si>
  <si>
    <t>413 – Comunità locali</t>
  </si>
  <si>
    <t>418 – Vie privée des clients</t>
  </si>
  <si>
    <t>418 – Privacy dei clienti</t>
  </si>
  <si>
    <t>414 – Valutazione sociale dei fornitori</t>
  </si>
  <si>
    <t>419 – Conformité socioéconomique</t>
  </si>
  <si>
    <t>419 – Conformità socioeconomica</t>
  </si>
  <si>
    <t>409 – Lavoro forzato o obbligatorio</t>
  </si>
  <si>
    <t>408 – Lavoro minorile</t>
  </si>
  <si>
    <t>407 – Libertà di associazione e diritto alla contrattazione collettiva</t>
  </si>
  <si>
    <t>205 – Lotta contro la corruzione</t>
  </si>
  <si>
    <t>205 – Lutte contre la corruption</t>
  </si>
  <si>
    <t>206 – Comportement anticoncurrentiel</t>
  </si>
  <si>
    <t>206 – Comportamento anticoncorrenziale</t>
  </si>
  <si>
    <t>Offenlegungen</t>
  </si>
  <si>
    <t>Divulgations</t>
  </si>
  <si>
    <t>Divulgazioni</t>
  </si>
  <si>
    <t>GRI</t>
  </si>
  <si>
    <t>Unit</t>
  </si>
  <si>
    <t>Unité</t>
  </si>
  <si>
    <t>Unità</t>
  </si>
  <si>
    <t>Footnotes</t>
  </si>
  <si>
    <t>Notes</t>
  </si>
  <si>
    <t>Note</t>
  </si>
  <si>
    <t>201-1 – Direkt erwirtschafteter und verteilter wirtschaftlicher Wert</t>
  </si>
  <si>
    <t>201-3 – Deckung der Verpflichtungen der Organisation aus dem leistungsorientierten Pensionsplan</t>
  </si>
  <si>
    <t>201-1 – Valeur économique directe créée et distribuée</t>
  </si>
  <si>
    <t>201-3 – Etendue de la couverture des régimes de retraite à prestations définies</t>
  </si>
  <si>
    <t>202-1 – Spanne des Verhältnisses der Standardeintrittsgehälter nach Geschlecht zum lokalen Mindestlohn  an Hauptgeschäftsstandorten</t>
  </si>
  <si>
    <t>201-1 – Valore economico diretto creato e distribuito</t>
  </si>
  <si>
    <t>201-3 – Ambito di copertura dei piani pensionistici a benefici definiti</t>
  </si>
  <si>
    <t>202-1 – Rapporti della base salariale di base per sesso al salario minimo locale nei principali siti operativi</t>
  </si>
  <si>
    <t>Beiträge</t>
  </si>
  <si>
    <t>Wirtschaft</t>
  </si>
  <si>
    <t>Sportsponsoring</t>
  </si>
  <si>
    <t>Kultursponsoring</t>
  </si>
  <si>
    <t>Soziale Engagements / Vergabungen / Spenden</t>
  </si>
  <si>
    <t>Spenden an politische Parteien</t>
  </si>
  <si>
    <t>203-2 – Significant indirect economic impacts</t>
  </si>
  <si>
    <t>203-2 – Impacts économiques indirects substantiels</t>
  </si>
  <si>
    <t>203-2 – Erhebliche indirekte wirtschaftliche Auswirkungen</t>
  </si>
  <si>
    <t>203-2 – Impatti economici indiretti sostanziali</t>
  </si>
  <si>
    <t>1) Ab 1.1.2015 ist das Wirtschaftssponsoring expliziter Bestandteil des Sponsoring der Schweizerischen Post.</t>
  </si>
  <si>
    <t>203-2</t>
  </si>
  <si>
    <t>415-1</t>
  </si>
  <si>
    <t>205-1 – Operations assessed for risks related to corruption</t>
  </si>
  <si>
    <t>205-2 – Communication and training about anti-corruption policies and procedures</t>
  </si>
  <si>
    <t>205-3 – Confirmed incidents of corruption and actions taken</t>
  </si>
  <si>
    <t>205-1 – Geschäftsstandorte, die im Hinblick auf Korruptionsrisiken geprüft wurden</t>
  </si>
  <si>
    <t>205-2 – Informationen und Schulungen über Massnahmen und Verfahren zur Korruptionsbekämpfung</t>
  </si>
  <si>
    <t>205-3 – Bestätigte Korruptionsfälle und ergriffene Massnahmen</t>
  </si>
  <si>
    <t>205-1 – Siti che sono stati valutati per i rischi di corruzione</t>
  </si>
  <si>
    <t>205-2 – Communication et formation sur les politiques et procédures en matière de lutte contre la corruption</t>
  </si>
  <si>
    <t>205-2 – Comunicazione e formazione sulle politiche e le procedure anticorruzione</t>
  </si>
  <si>
    <t>205-3 – Cas avérés de corruption et mesures prises</t>
  </si>
  <si>
    <t>205-3 – Provati casi di corruzione e misure adottate</t>
  </si>
  <si>
    <t>206-1 – Legal actions for anti-competitive behavior, anti-trust, and monopoly practices</t>
  </si>
  <si>
    <t>206-1 – Verfahren aufgrund von wettbewerbswidrigem Verhalten oder Kartell- und Monopolbildung</t>
  </si>
  <si>
    <t>206-1 – Actions en justice pour comportement anticoncurrentiel, pratiques antitrust et monopolistiques</t>
  </si>
  <si>
    <t>206-1 – Comportamenti anticoncorrenziali, antitrust e pratiche monopolistiche</t>
  </si>
  <si>
    <t>t</t>
  </si>
  <si>
    <t>301-1 – Materials used by weight or volume</t>
  </si>
  <si>
    <t>301-2 – Recycled input materials used</t>
  </si>
  <si>
    <t>301-1 – Eingesetzte Materialien nach Gewicht oder Volumen</t>
  </si>
  <si>
    <t>301-2 – Anteil der Sekundärrohstoffe am Gesamtmaterialeinsatz</t>
  </si>
  <si>
    <t>301-1 – Consommation de matières en poids ou en volume</t>
  </si>
  <si>
    <t>301-1 – Consumo di materiali in peso o in volume</t>
  </si>
  <si>
    <t>301-2 – Pourcentage de matériaux consommés provenant de matières recyclées</t>
  </si>
  <si>
    <t>301-2 – Percentuale di materiali consumati da materiali riciclati</t>
  </si>
  <si>
    <t>302-1 – Energy consumption within the organization</t>
  </si>
  <si>
    <t>302-2 – Energy consumption outside of the organization</t>
  </si>
  <si>
    <t>302-3 – Energy intensity</t>
  </si>
  <si>
    <t>302-1 – Energieverbrauch innerhalb der Organisation</t>
  </si>
  <si>
    <t>302-2 – Energieverbrauch ausserhalb der Organisation</t>
  </si>
  <si>
    <t>302-3 – Energieintensität</t>
  </si>
  <si>
    <t>302-1 – Consumo energetico all'interno dell'organizzazione</t>
  </si>
  <si>
    <t>302-2 – Consumo energetico al di fuori dell'organizzazione</t>
  </si>
  <si>
    <t>302-3 – Intensité énergétique</t>
  </si>
  <si>
    <t>302-3 – Intensità energetica</t>
  </si>
  <si>
    <t>Strom</t>
  </si>
  <si>
    <t>1,3</t>
  </si>
  <si>
    <t>Total</t>
  </si>
  <si>
    <t>Energieeffizienzsteigerung seit 2006</t>
  </si>
  <si>
    <t>302-1</t>
  </si>
  <si>
    <t>302-2</t>
  </si>
  <si>
    <t>1) Standards, Methoden und Umrechnungsfaktoren: GHG Protocol, Revised Edition (2004). Die Umrechnungsfaktoren stammen aus ecoinvent 2.2.</t>
  </si>
  <si>
    <t>2) «naturemade star»-zertifizierter Ökostrom / Biogas</t>
  </si>
  <si>
    <t>3) «naturemade basic»-zertifizierter Strom aus erneuerbaren Energien</t>
  </si>
  <si>
    <t>4) Wärmestrom ist im Gebäudestrom enthalten</t>
  </si>
  <si>
    <t>305-1 – Direct (Scope 1) GHG emissions</t>
  </si>
  <si>
    <t>305-2 – Energy indirect (Scope 2) GHG emissions</t>
  </si>
  <si>
    <t>305-3 – Other indirect (Scope 3) GHG emissions</t>
  </si>
  <si>
    <t>305-4 – GHG emissions intensity</t>
  </si>
  <si>
    <t>305-6 – Emissions of ozone-depleting substances (ODS)</t>
  </si>
  <si>
    <t>305-7 – Nitrogen oxides (NOX), sulfur oxides (SOX), and other significant air emissions</t>
  </si>
  <si>
    <t>305-1 – Direkte THG-Emissionen (Scope 1)</t>
  </si>
  <si>
    <t>305-2 – Indirekte energiebezogene THG-Emissionen (Scope 2)</t>
  </si>
  <si>
    <t>305-3 – Weitere indirekte THG-Emissionen (Scope 3)</t>
  </si>
  <si>
    <t>305-4 – Intensität der THG-Emissionen</t>
  </si>
  <si>
    <t>305-6 – Emissionen Ozon abbauender Stoffe</t>
  </si>
  <si>
    <r>
      <t>305-7 – NO</t>
    </r>
    <r>
      <rPr>
        <vertAlign val="subscript"/>
        <sz val="10"/>
        <color indexed="8"/>
        <rFont val="Frutiger 45 Light"/>
        <family val="2"/>
      </rPr>
      <t>X</t>
    </r>
    <r>
      <rPr>
        <sz val="10"/>
        <color theme="1"/>
        <rFont val="Frutiger 45 Light"/>
        <family val="2"/>
      </rPr>
      <t>, SO</t>
    </r>
    <r>
      <rPr>
        <vertAlign val="subscript"/>
        <sz val="10"/>
        <color indexed="8"/>
        <rFont val="Frutiger 45 Light"/>
        <family val="2"/>
      </rPr>
      <t>X</t>
    </r>
    <r>
      <rPr>
        <sz val="10"/>
        <color theme="1"/>
        <rFont val="Frutiger 45 Light"/>
        <family val="2"/>
      </rPr>
      <t xml:space="preserve"> und andere signifikante Luftemissionen</t>
    </r>
  </si>
  <si>
    <t>305-3 – Autres émissions indirectes de gaz à effet de serre (Scope 3)</t>
  </si>
  <si>
    <t>305-4 – Intensité des émissions de gaz à effet de serre</t>
  </si>
  <si>
    <r>
      <t>305-7 – NO</t>
    </r>
    <r>
      <rPr>
        <vertAlign val="subscript"/>
        <sz val="10"/>
        <color indexed="8"/>
        <rFont val="Frutiger 45 Light"/>
        <family val="2"/>
      </rPr>
      <t>X</t>
    </r>
    <r>
      <rPr>
        <sz val="10"/>
        <color theme="1"/>
        <rFont val="Frutiger 45 Light"/>
        <family val="2"/>
      </rPr>
      <t>, SO</t>
    </r>
    <r>
      <rPr>
        <vertAlign val="subscript"/>
        <sz val="10"/>
        <color indexed="8"/>
        <rFont val="Frutiger 45 Light"/>
        <family val="2"/>
      </rPr>
      <t>X</t>
    </r>
    <r>
      <rPr>
        <sz val="10"/>
        <color theme="1"/>
        <rFont val="Frutiger 45 Light"/>
        <family val="2"/>
      </rPr>
      <t>, et autres émissions atmosphériques substantielles</t>
    </r>
  </si>
  <si>
    <t>305-1 – Emissions directes de gaz à effet de serre (Scope 1)</t>
  </si>
  <si>
    <t>305-1 – Emissioni dirette di gas a effetto serra (Scope 1)</t>
  </si>
  <si>
    <t>305-2 – Emissioni indirette di gas a effetto serra (Scope 2) legati all'energia</t>
  </si>
  <si>
    <t>305-3 – Altre emissioni indirette di gas a effetto serra (Scope 3)</t>
  </si>
  <si>
    <t>305-4 – Intensità delle emissioni di gas a effetto serra</t>
  </si>
  <si>
    <t>305-6 – Emissioni di sostanze che riducono l'ozono (SRO)</t>
  </si>
  <si>
    <r>
      <t>305-7 – NO</t>
    </r>
    <r>
      <rPr>
        <vertAlign val="subscript"/>
        <sz val="10"/>
        <color indexed="8"/>
        <rFont val="Frutiger 45 Light"/>
        <family val="2"/>
      </rPr>
      <t>X</t>
    </r>
    <r>
      <rPr>
        <sz val="10"/>
        <color theme="1"/>
        <rFont val="Frutiger 45 Light"/>
        <family val="2"/>
      </rPr>
      <t>, SO</t>
    </r>
    <r>
      <rPr>
        <vertAlign val="subscript"/>
        <sz val="10"/>
        <color indexed="8"/>
        <rFont val="Frutiger 45 Light"/>
        <family val="2"/>
      </rPr>
      <t>X</t>
    </r>
    <r>
      <rPr>
        <sz val="10"/>
        <color theme="1"/>
        <rFont val="Frutiger 45 Light"/>
        <family val="2"/>
      </rPr>
      <t xml:space="preserve"> e altre emissioni di aria sostanziale</t>
    </r>
  </si>
  <si>
    <t>Finanzielles Ergebnis</t>
  </si>
  <si>
    <t>Résultat financier</t>
  </si>
  <si>
    <t>Risultato finanziario</t>
  </si>
  <si>
    <t>Financial result</t>
  </si>
  <si>
    <t>Millions de CHF</t>
  </si>
  <si>
    <t>mln di CHF</t>
  </si>
  <si>
    <t>CHF million</t>
  </si>
  <si>
    <t>Produits d'exploitation</t>
  </si>
  <si>
    <t>Services réservés</t>
  </si>
  <si>
    <t>Charges d'exploitation</t>
  </si>
  <si>
    <t>Charges de personnel</t>
  </si>
  <si>
    <t>Résultat d'exploitation</t>
  </si>
  <si>
    <t>en proportion des produits d'exploitation</t>
  </si>
  <si>
    <t>Bénéfice consolidé</t>
  </si>
  <si>
    <t>Flux de trésorerie des activités opérationnelles</t>
  </si>
  <si>
    <t>Unternehmensmehrwert</t>
  </si>
  <si>
    <t>Valeur ajoutée de l'entreprise</t>
  </si>
  <si>
    <t>Nettoumsatz übrige Markenartikel</t>
  </si>
  <si>
    <t>Chiffre d'affaires net autres articles de marque</t>
  </si>
  <si>
    <t>1) In conformità con il prospetto per segmento nel rapporto finanziario, quindi estero = incl. traffico transfrontaliero</t>
  </si>
  <si>
    <t>1) In accordance with the segment disclosure in the Financial Report, i.e. abroad = including cross-border traffic.</t>
  </si>
  <si>
    <t>2) Les services réservés sont des services faisant partie du service universel postal. Ils sont proposés exclusivement par la Poste, qui est tenue de les fournir. Ils relèvent du monopole.</t>
  </si>
  <si>
    <t>2) Il servizio riservato consiste nelle prestazioni del servizio postale di base offerte esclusivamente dalla Posta e che essa è tenuta ad erogare. Il servizio riservato corrisponde al settore protetto da monopolio.</t>
  </si>
  <si>
    <t>2) The reserved service is the universal postal service that is offered exclusively by Swiss Post and which Swiss Post must provide. The reserved service is the monopoly.</t>
  </si>
  <si>
    <t>3) Swiss Post Value Added (PVA) is an absolute figure (CHF million) indicating how much added value the company as a whole or a specific segment generates. Value added is created when, after being adjusted for tax, operating profit exceeds the required interest on invested capital.</t>
  </si>
  <si>
    <t>5) En 2007, des sociétés du groupe des segments PostMail (DocumentServices SA, SwissSign SA) et PostLogistics (yellowworld SA) ont été transférées au segment Swiss Post Solutions.</t>
  </si>
  <si>
    <t>5) Nel 2007 alcune società del gruppo dei segmenti PostMail (DocumentServices AG, SwissSign AG) e PostLogistics (yellowworld AG) sono state assegnate al segmento Swiss Post Solutions.</t>
  </si>
  <si>
    <t>5) In 2007, subsidiaries in the PostMail (DocumentServices AG, SwissSign AG) and PostLogistics (yellowworld AG) segments were assigned to the Swiss Post Solutions segment.</t>
  </si>
  <si>
    <t>als Anteil des Betriebsergenisses</t>
  </si>
  <si>
    <t>Konzern</t>
  </si>
  <si>
    <t>Groupe</t>
  </si>
  <si>
    <t>Gruppo</t>
  </si>
  <si>
    <t>Group</t>
  </si>
  <si>
    <t>Gruppo Svizzera</t>
  </si>
  <si>
    <t>Group in Switzerland</t>
  </si>
  <si>
    <t>Märkte</t>
  </si>
  <si>
    <t>Marchés</t>
  </si>
  <si>
    <t>Mercati</t>
  </si>
  <si>
    <t>Markets</t>
  </si>
  <si>
    <t>Kommunikationsmarkt</t>
  </si>
  <si>
    <t>Marché de la communication</t>
  </si>
  <si>
    <t>Mercato della comunicazione</t>
  </si>
  <si>
    <t>Communication market</t>
  </si>
  <si>
    <t>Logistikmarkt</t>
  </si>
  <si>
    <t>Marché de la logistique</t>
  </si>
  <si>
    <t>Mercato logistico</t>
  </si>
  <si>
    <t>Logistics market</t>
  </si>
  <si>
    <t>Finanzdienstleistungsmarkt</t>
  </si>
  <si>
    <t>Marché des services financiers</t>
  </si>
  <si>
    <t>Mercato dei servizi finanziari</t>
  </si>
  <si>
    <t>Financial services market</t>
  </si>
  <si>
    <t>Personenverkehrsmarkt</t>
  </si>
  <si>
    <t>Marché du transport de voyageurs</t>
  </si>
  <si>
    <t>Mercato dei trasporti di persone</t>
  </si>
  <si>
    <t>Passenger transport market</t>
  </si>
  <si>
    <t>Autres</t>
  </si>
  <si>
    <t>Altro</t>
  </si>
  <si>
    <t>Other</t>
  </si>
  <si>
    <t>Segmente</t>
  </si>
  <si>
    <t>Segments</t>
  </si>
  <si>
    <t>Segmenti</t>
  </si>
  <si>
    <t>PostNetz</t>
  </si>
  <si>
    <t>RéseauPostal</t>
  </si>
  <si>
    <t>RetePostale</t>
  </si>
  <si>
    <t>PostalNetwork</t>
  </si>
  <si>
    <t>PostLogistics</t>
  </si>
  <si>
    <t>PostFinance</t>
  </si>
  <si>
    <t>PostAuto</t>
  </si>
  <si>
    <t>CarPostal</t>
  </si>
  <si>
    <t>AutoPostale</t>
  </si>
  <si>
    <t>PostBus</t>
  </si>
  <si>
    <t>Altri</t>
  </si>
  <si>
    <t>Ricavi d'esercizio</t>
  </si>
  <si>
    <t>Operating income</t>
  </si>
  <si>
    <t>servizi riservati</t>
  </si>
  <si>
    <t>Reserved services</t>
  </si>
  <si>
    <t>Costi d'esercizio</t>
  </si>
  <si>
    <t>Operating expenses</t>
  </si>
  <si>
    <t>Costi per il personale</t>
  </si>
  <si>
    <t>Personnel expenses</t>
  </si>
  <si>
    <t>Risultato d'esercizio</t>
  </si>
  <si>
    <t>Operating profit</t>
  </si>
  <si>
    <t>in % dei ricavi d'esercizio</t>
  </si>
  <si>
    <t>As a share of operating income</t>
  </si>
  <si>
    <t>in % dei risultato d'esercizio</t>
  </si>
  <si>
    <t>As a share of operating profit</t>
  </si>
  <si>
    <t>Utile del gruppo</t>
  </si>
  <si>
    <t>Group profit</t>
  </si>
  <si>
    <t>Flusso di tesoreria derivante dall'attività operativa</t>
  </si>
  <si>
    <t>Cash flow from operating activities</t>
  </si>
  <si>
    <t>Valore aggiunto aziendale</t>
  </si>
  <si>
    <t>Economic value added</t>
  </si>
  <si>
    <t>fatturato netto altri articoli di marca</t>
  </si>
  <si>
    <t>Net sales – other brand-name items</t>
  </si>
  <si>
    <t>Découvert des obligations de prévoyance portées au bilan selon les normes IFRS</t>
  </si>
  <si>
    <t>Sottocopertura obblighi previdenziali iscritti a bilancio secondo gli IFRS</t>
  </si>
  <si>
    <t>Shortfall in recognized employee benefit obligations in accordance with IFRS.</t>
  </si>
  <si>
    <t>Degré de couverture de la Caisse de pensions Poste selon la LPP</t>
  </si>
  <si>
    <t>Grado di copertura della Cassa pensioni Posta secondo la LPP</t>
  </si>
  <si>
    <t>Pensionskasse</t>
  </si>
  <si>
    <t>Caisse de pensions</t>
  </si>
  <si>
    <t>Cassa pensioni</t>
  </si>
  <si>
    <t>Pension fund</t>
  </si>
  <si>
    <t>1) Couverture selon les normes IFRS (voir rapport financier)</t>
  </si>
  <si>
    <t>1) Copertura secondo gli IFRS (cfr. Rapporto finanziario)</t>
  </si>
  <si>
    <t>1) Coverage in accordance with IFRS (see Financial Report).</t>
  </si>
  <si>
    <t>2, 3</t>
  </si>
  <si>
    <t>Entschädigungen</t>
  </si>
  <si>
    <t>Indemnités</t>
  </si>
  <si>
    <t>Indennità</t>
  </si>
  <si>
    <t>Remuneration</t>
  </si>
  <si>
    <t>CHF</t>
  </si>
  <si>
    <t>Facteur</t>
  </si>
  <si>
    <t>Fattore</t>
  </si>
  <si>
    <t>Factor</t>
  </si>
  <si>
    <t>Remuneration paid to Chairman of the Board</t>
  </si>
  <si>
    <t>Indemnités versées au directeur/à la directrice général(e)</t>
  </si>
  <si>
    <t>Indennità al/alla direttore/direttrice generale</t>
  </si>
  <si>
    <t>Remuneration paid to CEO</t>
  </si>
  <si>
    <t>Salaire moyen du personnel</t>
  </si>
  <si>
    <t>Salario medio dei collaboratori</t>
  </si>
  <si>
    <t>Average salary for employees</t>
  </si>
  <si>
    <t>Salaire minimal CCT Poste (18 ans, sans apprentissage)</t>
  </si>
  <si>
    <t>Salario minimo CCL Posta (dai 18 anni, senza apprendistato professionale)</t>
  </si>
  <si>
    <t>Minimum salary under Swiss Post CEC (18 years, without vocational training)</t>
  </si>
  <si>
    <t>1) Indennità per Consiglio di amministrazione = onorario più prestazioni accessorie; indennità per Direzione del gruppo = salario di base più compenso variabile.</t>
  </si>
  <si>
    <t>1) Remuneration paid to BoD = fee plus fringe benefits, to Executive Management = base salary plus performance component.</t>
  </si>
  <si>
    <t>Groupe Suisse</t>
  </si>
  <si>
    <t>Wohltätigkeit und Sponsoring</t>
  </si>
  <si>
    <t>Actions de bienfaisance et sponsoring</t>
  </si>
  <si>
    <t>Contributions</t>
  </si>
  <si>
    <t>Sponsoring économique</t>
  </si>
  <si>
    <t>Sponsoring sportif</t>
  </si>
  <si>
    <t>Sponsoring culturel</t>
  </si>
  <si>
    <t>Engagements sociaux / cadeaux / dons</t>
  </si>
  <si>
    <t>Dons à des partis politiques</t>
  </si>
  <si>
    <t>1) Depuis le 1er janvier 2015, le sponsoring économique fait explicitement partie du sponsoring de la Poste.</t>
  </si>
  <si>
    <t>Beneficenza e sponsoring</t>
  </si>
  <si>
    <t>Contributi</t>
  </si>
  <si>
    <t>Economia</t>
  </si>
  <si>
    <t>Sponsoring sportivo</t>
  </si>
  <si>
    <t>Sponsoring culturale</t>
  </si>
  <si>
    <t>Impegno sociale / doni / donazioni</t>
  </si>
  <si>
    <t>Doni a partiti politici</t>
  </si>
  <si>
    <t>Charity and sponsorship</t>
  </si>
  <si>
    <t>Economy</t>
  </si>
  <si>
    <t>Sports sponsorship</t>
  </si>
  <si>
    <t>Cultural sponsorship</t>
  </si>
  <si>
    <t>Social initiatives/gifts/donations</t>
  </si>
  <si>
    <t>Donations to political parties</t>
  </si>
  <si>
    <t>1) Business sponsoring has been an explicit part of sponsoring at Swiss Post since 1 January 2015.</t>
  </si>
  <si>
    <t>Tonnes</t>
  </si>
  <si>
    <t>Weitere Energiekennzahlen</t>
  </si>
  <si>
    <t>Electricité</t>
  </si>
  <si>
    <t>Autres indicateurs énergétiques</t>
  </si>
  <si>
    <t>Amélioration de l'efficacité énergétique depuis 2006</t>
  </si>
  <si>
    <t>2) Electricité verte / biogaz certifiés «naturemade star».</t>
  </si>
  <si>
    <t>3) Electricité certifiée «naturemade basic» provenant d'énergies renouvelables.</t>
  </si>
  <si>
    <t>Energia elettrica</t>
  </si>
  <si>
    <t>Totale</t>
  </si>
  <si>
    <t>1) Standard, metodi e fattori di conversione: GHG Protocol, Revised Edition (2004). I fattori di conversione provengono da ecoinvent 2.2.</t>
  </si>
  <si>
    <t>2) Energia elettrica ecologica certificata «naturemade star».</t>
  </si>
  <si>
    <t>3) Energia elettrica ecologica certificata «naturemade basic» da energie rinnovabili.</t>
  </si>
  <si>
    <t>Electricity</t>
  </si>
  <si>
    <t>Additional energy figures</t>
  </si>
  <si>
    <t>Increase in energy efficiency since 2006</t>
  </si>
  <si>
    <t>1) Standards, methods and conversion factors: GHG Protocol, Revised Edition (2004). The conversion factors are taken from ecoinvent 2.2.</t>
  </si>
  <si>
    <t>2) “naturemade star” certified green power / biogas.</t>
  </si>
  <si>
    <t>3) “naturemade basic” certified power from renewable energy.</t>
  </si>
  <si>
    <t>4) Electricity for heating is included in building electricity.</t>
  </si>
  <si>
    <t>Energieverbrauch innerhalb und ausserhalb der Organisation</t>
  </si>
  <si>
    <t>Consumo energetico all'interno e al di fuori dell'organizzazione</t>
  </si>
  <si>
    <t>Energy consumption within and outside the organization</t>
  </si>
  <si>
    <t>1) Energieeffizienzsteigerung nach Energie-Vorbild Bund: Wird als Änderung des Energiebedarfs pro Kerndienstleistung im Geschäftsjahr verglichen zum Basisjahr gemessen. Die Kerndienstleistung ist je nach Bereich unterschiedlich definiert (Sendung, Transaktion, Personenkilometer/Kilometer, Personaleinheit etc.).</t>
  </si>
  <si>
    <t>1) Increase in energy efficiency following the Confederation as an energy role model: measured as the change in energy consumption per core service in the financial year compared with the base year. The core service is defined differently for each unit (item, transaction, passenger kilometres/kilometres, full-time equivalent, etc.).</t>
  </si>
  <si>
    <t>Diesel (innerhalb der Post)</t>
  </si>
  <si>
    <t>Benzin (innerhalb der Post)</t>
  </si>
  <si>
    <t>Erdgas (innerhalb der Post)</t>
  </si>
  <si>
    <t>Wasserstoff (innerhalb der Post)</t>
  </si>
  <si>
    <t>Heizöl Extraleicht (innerhalb der Post)</t>
  </si>
  <si>
    <t>Fernwärme (innerhalb der Post)</t>
  </si>
  <si>
    <t>Diesel (au sein de la Poste)</t>
  </si>
  <si>
    <t>Part de biodiesel renouvelable (au sein de la Poste)</t>
  </si>
  <si>
    <t>Essence (au sein de la Poste)</t>
  </si>
  <si>
    <t>Gaz naturel (au sein de la Poste)</t>
  </si>
  <si>
    <t>Part de biogaz renouvelable (au sein de la Poste)</t>
  </si>
  <si>
    <t>Electricité comme carburant (au sein de la Poste)</t>
  </si>
  <si>
    <t>Hydrogène (au sein de la Poste)</t>
  </si>
  <si>
    <t>Mazout extra-léger (au sein de la Poste)</t>
  </si>
  <si>
    <t>Chaleur à distance (au sein de la Poste)</t>
  </si>
  <si>
    <t>Part de chaleur à distance renouvelable (au sein de la Poste)</t>
  </si>
  <si>
    <t>Electricité de chauffage (au sein de la Poste)</t>
  </si>
  <si>
    <t>Diesel (within Swiss Post)</t>
  </si>
  <si>
    <t>Petrol (within Swiss Post)</t>
  </si>
  <si>
    <t>Natural gas (within Swiss Post)</t>
  </si>
  <si>
    <t>Renewable percentage of biogas (within Swiss Post)</t>
  </si>
  <si>
    <t>Electricity used as fuel (within Swiss Post)</t>
  </si>
  <si>
    <t>Renewable percentage of fuel electricity (within Swiss Post)</t>
  </si>
  <si>
    <t>Hydrogen (within Swiss Post)</t>
  </si>
  <si>
    <t>Heating oil (extra light) (within Swiss Post)</t>
  </si>
  <si>
    <t>District heating (within Swiss Post)</t>
  </si>
  <si>
    <t>Renewable percentage of energy consumption (within Swiss Post)</t>
  </si>
  <si>
    <t>Emissioni di gas serra</t>
  </si>
  <si>
    <t>Intensità delle emissioni di gas serra</t>
  </si>
  <si>
    <t>Emissioni di gas serra compensate</t>
  </si>
  <si>
    <t>Altre cifre sui gas serra</t>
  </si>
  <si>
    <t>Emissions de gaz à effet de serre</t>
  </si>
  <si>
    <t>Intensité de gaz à effet de serre</t>
  </si>
  <si>
    <t>Emissions de gaz à effet de serre compensées</t>
  </si>
  <si>
    <t>Autres indicateurs des gaz à effet de serre</t>
  </si>
  <si>
    <t>Treibhausgasemissionen</t>
  </si>
  <si>
    <t>Treibhausgasintensitäten</t>
  </si>
  <si>
    <t>Kompensierte Treibhausgasemissionen</t>
  </si>
  <si>
    <t>Weitere Treibhausgaskennzahlen</t>
  </si>
  <si>
    <t>Greenhouse gas emissions</t>
  </si>
  <si>
    <t>Greenhouse gas intensities</t>
  </si>
  <si>
    <t>Offset greenhouse gas emissions</t>
  </si>
  <si>
    <t>Other greenhouse gas figures</t>
  </si>
  <si>
    <t>t CO2-Äquivalent</t>
  </si>
  <si>
    <t xml:space="preserve">t CO2-Äquivalent pro Personaleinheit </t>
  </si>
  <si>
    <t>Anzahl in Mio.</t>
  </si>
  <si>
    <t>t CO2-Äquivalent pro Mio. CHF</t>
  </si>
  <si>
    <t>t di CO2 equivalenti</t>
  </si>
  <si>
    <t xml:space="preserve">t di CO2 equivalenti per unità di personale </t>
  </si>
  <si>
    <t>numero in mln</t>
  </si>
  <si>
    <t>t CO2 equivalent</t>
  </si>
  <si>
    <t xml:space="preserve">t CO2 equivalent per full-time equivalent </t>
  </si>
  <si>
    <t>Volume in millions</t>
  </si>
  <si>
    <t>Equivalent de tonnes de CO2</t>
  </si>
  <si>
    <t xml:space="preserve">Equivalent de tonnes de CO2 par unité de personnel </t>
  </si>
  <si>
    <t>Nombre en millions</t>
  </si>
  <si>
    <t>Nach Prozessen</t>
  </si>
  <si>
    <t>Leistungserbringung</t>
  </si>
  <si>
    <t>Gebäude</t>
  </si>
  <si>
    <t>Wärme</t>
  </si>
  <si>
    <t>Kältemittel, Ressourcen und Abfälle</t>
  </si>
  <si>
    <t>Mobilität</t>
  </si>
  <si>
    <t>Personentransport</t>
  </si>
  <si>
    <t>Gütertransport</t>
  </si>
  <si>
    <t>Werksgelände</t>
  </si>
  <si>
    <t>Strasse</t>
  </si>
  <si>
    <t>Schiene</t>
  </si>
  <si>
    <t>Luft</t>
  </si>
  <si>
    <t>Wasser</t>
  </si>
  <si>
    <t>Geschäftsreiseverkehr</t>
  </si>
  <si>
    <t>Arbeitspendlerverkehr</t>
  </si>
  <si>
    <t>Nach Scopes und Energieträger</t>
  </si>
  <si>
    <t>Direkte Treibhausgasemissionen (Scope 1)</t>
  </si>
  <si>
    <t>Verbrennung von Brennstoffen in stationären Quellen</t>
  </si>
  <si>
    <t>Heizöl</t>
  </si>
  <si>
    <t>Erdgas</t>
  </si>
  <si>
    <t>Diesel</t>
  </si>
  <si>
    <t>Benzin</t>
  </si>
  <si>
    <t>Wasserstoff</t>
  </si>
  <si>
    <t>Flüchtige Emissionen</t>
  </si>
  <si>
    <t>Kältemittel</t>
  </si>
  <si>
    <t>Indirekte energiebezogene Treibhausgasemissionen (Scope 2)</t>
  </si>
  <si>
    <t>marktbasierte Emissionen</t>
  </si>
  <si>
    <t>Fernwärme</t>
  </si>
  <si>
    <t>Weitere relevante indirekte Treibhausgasemissionen (Scope 3)</t>
  </si>
  <si>
    <t>Im Rahmen der Geschäftstätigkeiten anfallender Abfall</t>
  </si>
  <si>
    <t>Geschäftsreisen</t>
  </si>
  <si>
    <t>Par processus</t>
  </si>
  <si>
    <t>Fourniture de prestations</t>
  </si>
  <si>
    <t>Bâtiments</t>
  </si>
  <si>
    <t>Chaleur</t>
  </si>
  <si>
    <t>Climatisation, ressources et déchets</t>
  </si>
  <si>
    <t>Mobilité</t>
  </si>
  <si>
    <t>Transport de voyageurs</t>
  </si>
  <si>
    <t>Transport de marchandises</t>
  </si>
  <si>
    <t>Route</t>
  </si>
  <si>
    <t>Rail</t>
  </si>
  <si>
    <t>Transport aérien</t>
  </si>
  <si>
    <t>Transport naval</t>
  </si>
  <si>
    <t>Déplacements professionnels</t>
  </si>
  <si>
    <t>Trafic pendulaire</t>
  </si>
  <si>
    <t>Consommation de combustibles dans des sources stationnaires</t>
  </si>
  <si>
    <t>Mazout</t>
  </si>
  <si>
    <t>Gaz naturel</t>
  </si>
  <si>
    <t>Essence</t>
  </si>
  <si>
    <t>Hydrogène</t>
  </si>
  <si>
    <t>Emissions fugitives</t>
  </si>
  <si>
    <t>Climatisation</t>
  </si>
  <si>
    <t>Emissions basées sur le marché</t>
  </si>
  <si>
    <t>Chaleur à distance</t>
  </si>
  <si>
    <t>Marchandises et prestations achetées</t>
  </si>
  <si>
    <t>Emissions directes de gaz à effet de serre (scope 1)</t>
  </si>
  <si>
    <t>Autres émissions indirectes importantes de gaz à effet de serre (scope 3)</t>
  </si>
  <si>
    <t>Par scope et source d'énergie</t>
  </si>
  <si>
    <t>Per processo</t>
  </si>
  <si>
    <t>Erogazione di servizi</t>
  </si>
  <si>
    <t>edifici</t>
  </si>
  <si>
    <t>riscaldamento</t>
  </si>
  <si>
    <t>energia elettrica</t>
  </si>
  <si>
    <t>refrigeranti, risorse e rifiuti</t>
  </si>
  <si>
    <t>Mobilità</t>
  </si>
  <si>
    <t>trasporto persone</t>
  </si>
  <si>
    <t>trasporto merci</t>
  </si>
  <si>
    <t>sito di produzione</t>
  </si>
  <si>
    <t>gomma</t>
  </si>
  <si>
    <t>rotaia</t>
  </si>
  <si>
    <t>aria</t>
  </si>
  <si>
    <t>acqua</t>
  </si>
  <si>
    <t>Viaggi di lavoro</t>
  </si>
  <si>
    <t>Trasporto pendolari</t>
  </si>
  <si>
    <t>Combustione di combustibili in fonti fisse</t>
  </si>
  <si>
    <t>olio combustibile</t>
  </si>
  <si>
    <t>gas naturale</t>
  </si>
  <si>
    <t>diesel</t>
  </si>
  <si>
    <t>benzina</t>
  </si>
  <si>
    <t>idrogeno</t>
  </si>
  <si>
    <t>Emissioni volatili</t>
  </si>
  <si>
    <t>refrigeranti</t>
  </si>
  <si>
    <t>emissioni basate sul mercato</t>
  </si>
  <si>
    <t>Teleriscaldamento</t>
  </si>
  <si>
    <t>rifiuti risultanti da attività aziendali</t>
  </si>
  <si>
    <t>viaggi di servizio</t>
  </si>
  <si>
    <t>In base a scope e fonte energetica</t>
  </si>
  <si>
    <t>emissioni dirette di gas a effetto serra (scope 1)</t>
  </si>
  <si>
    <t>Emissioni indirette da consumo energetico di gas a effetto serra (scope 2)</t>
  </si>
  <si>
    <t>Altre emissioni indirette rilevanti di gas a effetto serra (scope 3)</t>
  </si>
  <si>
    <t>By process</t>
  </si>
  <si>
    <t>Service provision</t>
  </si>
  <si>
    <t>Buildings</t>
  </si>
  <si>
    <t>Heating</t>
  </si>
  <si>
    <t>Refrigerants, resources and waste</t>
  </si>
  <si>
    <t>Mobility</t>
  </si>
  <si>
    <t>Passenger transport</t>
  </si>
  <si>
    <t>Goods transport</t>
  </si>
  <si>
    <t>Works premises</t>
  </si>
  <si>
    <t>Street</t>
  </si>
  <si>
    <t>Air</t>
  </si>
  <si>
    <t>Water</t>
  </si>
  <si>
    <t>Business travel</t>
  </si>
  <si>
    <t>Work commuting</t>
  </si>
  <si>
    <t>By scope and energy source</t>
  </si>
  <si>
    <t>Direct greenhouse gas emissions (scope 1)</t>
  </si>
  <si>
    <t>Combustion of combustibles in stationary sources</t>
  </si>
  <si>
    <t>Heating oil</t>
  </si>
  <si>
    <t>Natural gas</t>
  </si>
  <si>
    <t>Petrol</t>
  </si>
  <si>
    <t>Hydrogen</t>
  </si>
  <si>
    <t>Fugitive emissions</t>
  </si>
  <si>
    <t>Refrigerants</t>
  </si>
  <si>
    <t>Indirect energy-related greenhouse gas emissions (scope 2)</t>
  </si>
  <si>
    <t>market-based emissions</t>
  </si>
  <si>
    <t>District heating</t>
  </si>
  <si>
    <t>Other relevant indirect greenhouse gas emissions (scope 3)</t>
  </si>
  <si>
    <t>Upstream transport and distribution</t>
  </si>
  <si>
    <t>Waste resulting from business activities</t>
  </si>
  <si>
    <t>Emissioni di gas a effetto terra (scope 1−3)</t>
  </si>
  <si>
    <t>Emissions de gaz à effet de serre (scopes 1−3)</t>
  </si>
  <si>
    <t>Greenhouse gas emissions (scopes 1−3)</t>
  </si>
  <si>
    <t>Treibhausgasemissonen (Scope 1−3)</t>
  </si>
  <si>
    <t>CO2e-Intensität der Wertschöpfung</t>
  </si>
  <si>
    <t>CO2e-Intensität des Betriebsertrags</t>
  </si>
  <si>
    <t>CO2e-Intensität der Arbeitsplätze</t>
  </si>
  <si>
    <t>Kompensierte Sendungen</t>
  </si>
  <si>
    <t>Intensité en CO2 de la création de valeur</t>
  </si>
  <si>
    <t>Intensité CO2 des postes de travail</t>
  </si>
  <si>
    <t>Compensations des émissions de CO2</t>
  </si>
  <si>
    <t>Envois compensés</t>
  </si>
  <si>
    <t>Amélioration de l'efficacité en matière de CO2 depuis 2010</t>
  </si>
  <si>
    <t>Intensità di CO2 del valore aggiunto</t>
  </si>
  <si>
    <t>Intensità di CO2 dei posti di lavoro</t>
  </si>
  <si>
    <t>Compensazioni di CO2</t>
  </si>
  <si>
    <t>Invii compensati</t>
  </si>
  <si>
    <t>CO2 intensity of added value</t>
  </si>
  <si>
    <t>CO2 intensity of operating income</t>
  </si>
  <si>
    <t>CO2 intensity of jobs</t>
  </si>
  <si>
    <t>Carbon offsetting</t>
  </si>
  <si>
    <t>Offset consignments</t>
  </si>
  <si>
    <t>CO2 efficiency improvement since 2010</t>
  </si>
  <si>
    <t xml:space="preserve">1) Erneuerbarer Strom ist für Treibhausgasbilanz mit Schweizer Absatzmix bilanziert. «naturemade star»-zertifizierter Strom ist klimaneutral bilanziert. </t>
  </si>
  <si>
    <t>2) Standards, Methoden und Emissionsfaktoren: GHG Protocol, Revised Edition (2004), ISO 14064–1. Als Konsolidierungsansatz wurde der Financial Control Approach gewählt. Die Emissionsfaktoren stammen aus ecoinvent 2.2.</t>
  </si>
  <si>
    <t>2) Standard, metodi e fattori di emissione: GHG Protocol, Revised Edition (2004), ISO 14064–1 Per il consolidamento è stato seguito il Financial Control Approach. I fattori di conversione provengono da ecoinvent 2.2.</t>
  </si>
  <si>
    <t xml:space="preserve">1) Renewable electricity is reported with Swiss sales mix for greenhouse gas performance. “Naturemade star” certified electricity is reported as carbon-neutral. </t>
  </si>
  <si>
    <t>2) Standards, methods and emission factors: GHG Protocol, Revised Edition (2004), ISO 14064–1. The Financial Control Approach was chosen as the consolidation approach. The emission factors are taken from ecoinvent 2.2.</t>
  </si>
  <si>
    <t xml:space="preserve">1) Die CO2-Kompensationsmenge variiert mit dem Preis für CO2-Zertifikate auf dem Markt. Die «pro clima»-Zuschläge der Kunden werden vollumfänglich in Kompensationsprojekte investiert. </t>
  </si>
  <si>
    <t xml:space="preserve">1) Le volume de CO2 compensé varie en fonction du prix des certificats de CO2 sur le marché. Les suppléments «pro clima» versés par les clients sont intégralement investis dans des projets de compensation. </t>
  </si>
  <si>
    <t xml:space="preserve">1) The CO2 offset volume varies with the price of CO2 certificates on the market. All “pro clima” surcharges to customers are invested in carbon offset projects. </t>
  </si>
  <si>
    <t>1) CO2-Effizienzsteigerung wird als Änderung der CO2-Äquivalente pro Kerndienstleistung im Geschäftsjahr verglichen zum Basisjahr gemessen.  Die Kerndienstleistung ist je nach Bereich unterschiedlich definiert (Sendung, Transaktion, Personenkilometer/Kilometer, Personaleinheit etc.).</t>
  </si>
  <si>
    <t>1) CO2 efficiency improvement is measured as the change in energy consumption per core service in the financial year compared with the base year.  The core service is defined differently for each unit (item, transaction, passenger kilometres/kilometres, full-time equivalent, etc.)</t>
  </si>
  <si>
    <t>CO2-Effizienzsteigerung seit 2010</t>
  </si>
  <si>
    <t>CO2-Kompensationen</t>
  </si>
  <si>
    <t>Principle 6</t>
  </si>
  <si>
    <t>Principle 7</t>
  </si>
  <si>
    <t>Principle 10</t>
  </si>
  <si>
    <t>Principle 8</t>
  </si>
  <si>
    <t>Principle 7, Principle 8, Principle 9</t>
  </si>
  <si>
    <t>Principle 3</t>
  </si>
  <si>
    <t>Principle 5</t>
  </si>
  <si>
    <t>Principle 4</t>
  </si>
  <si>
    <t>Principle 1</t>
  </si>
  <si>
    <t>Principle 2</t>
  </si>
  <si>
    <t>302-3</t>
  </si>
  <si>
    <t>103 – Managementansatz</t>
  </si>
  <si>
    <t>103 – Approche managériale</t>
  </si>
  <si>
    <t>103 – Approccio di gestione</t>
  </si>
  <si>
    <t>103 – Management Approach</t>
  </si>
  <si>
    <t>Principle 1, Principle 8</t>
  </si>
  <si>
    <t>Verbrennung von Treibstoffen in mobilen Quellen</t>
  </si>
  <si>
    <t>Combustion of fuels in mobile sources</t>
  </si>
  <si>
    <t>Consommation de combustibles dans des sources mobiles</t>
  </si>
  <si>
    <t>Combustione di carburanti in fonti mobili</t>
  </si>
  <si>
    <t>305-1</t>
  </si>
  <si>
    <t>305-2</t>
  </si>
  <si>
    <t>305-3</t>
  </si>
  <si>
    <t>305-4</t>
  </si>
  <si>
    <t>Personaleinheiten</t>
  </si>
  <si>
    <t>Ausland</t>
  </si>
  <si>
    <t>Personen</t>
  </si>
  <si>
    <t>Zustellung</t>
  </si>
  <si>
    <t>Sortierung</t>
  </si>
  <si>
    <t>Abwicklung Finanzdienstleistungen</t>
  </si>
  <si>
    <t>Warentransport</t>
  </si>
  <si>
    <t>Weitere</t>
  </si>
  <si>
    <t>Verkauf</t>
  </si>
  <si>
    <t>Verkauf operativ</t>
  </si>
  <si>
    <t>Marketing</t>
  </si>
  <si>
    <t>Informatik</t>
  </si>
  <si>
    <t>Betrieb und Unterhalt, Hausdienst</t>
  </si>
  <si>
    <t>Management- und Konzernfunktionen</t>
  </si>
  <si>
    <t>Diverse Funktionen</t>
  </si>
  <si>
    <t>Personalbestand</t>
  </si>
  <si>
    <t>1) ohne Lernpersonal</t>
  </si>
  <si>
    <t>2) Eine Personaleinheit entspricht einer Vollzeitstelle.</t>
  </si>
  <si>
    <t>102-8</t>
  </si>
  <si>
    <t>Bundespersonalgesetz</t>
  </si>
  <si>
    <t>GAV Post</t>
  </si>
  <si>
    <t>Obligationenrecht</t>
  </si>
  <si>
    <t>GAV Aushilfen</t>
  </si>
  <si>
    <t>1, 5</t>
  </si>
  <si>
    <t>GAV Konzerngesellschaften</t>
  </si>
  <si>
    <t>Post CH AG</t>
  </si>
  <si>
    <t>PostFinance AG</t>
  </si>
  <si>
    <t>Konzerngesellschaften Schweiz</t>
  </si>
  <si>
    <t>Ausländisches Arbeitsrecht</t>
  </si>
  <si>
    <t>1) Eine Personaleinheit entspricht einer Vollzeitstelle.</t>
  </si>
  <si>
    <t>102-8, 102-41</t>
  </si>
  <si>
    <t>1, 3</t>
  </si>
  <si>
    <t>2) Gesamtaustrittsrate = Personen im Monatslohn, die die Post innerhalb eines Kalenderjahres insgesamt verlassen haben, ausgedrückt in % des durchschnittlichen Personalbestandes</t>
  </si>
  <si>
    <t>Anzahl Personen im Monatslohn</t>
  </si>
  <si>
    <t>Pensionierungen</t>
  </si>
  <si>
    <t>auslaufende Verträge</t>
  </si>
  <si>
    <t>Austritt vereinbart</t>
  </si>
  <si>
    <t>Kündigung durch Arbeitgeber</t>
  </si>
  <si>
    <t>aus wirtschaftlichen Gründen</t>
  </si>
  <si>
    <t>aus persönlichen Gründen</t>
  </si>
  <si>
    <t>Tod</t>
  </si>
  <si>
    <t>Gesamtaustrittsrate</t>
  </si>
  <si>
    <t>Fluktuationsrate (freiwillige Austritte)</t>
  </si>
  <si>
    <t>Eintritte</t>
  </si>
  <si>
    <t>weiblich</t>
  </si>
  <si>
    <t>20–29</t>
  </si>
  <si>
    <t>30-49</t>
  </si>
  <si>
    <t>50 und älter</t>
  </si>
  <si>
    <t>männlich</t>
  </si>
  <si>
    <t>401-1</t>
  </si>
  <si>
    <t>Gesundheitsmanagement</t>
  </si>
  <si>
    <t>3) Der Konzernbereich Swiss Post Solutions existiert erst seit dem 1. Oktober 2007, weshalb für die Vorjahre keine Werte ausgewiesen werden können.</t>
  </si>
  <si>
    <t>4) Ab dem Jahr 2012 besteht Swiss Post International nicht mehr als eigenständiges Segment. Die Werte wurden ab dem 1. Januar 2012 auf die Geschäftsbereiche PostMail und PostLogistics überführt.</t>
  </si>
  <si>
    <t>Unfälle</t>
  </si>
  <si>
    <t>Berufsunfälle</t>
  </si>
  <si>
    <t>Anzahl pro 100 Personaleinheiten</t>
  </si>
  <si>
    <t>Berufsunfälle PostMail</t>
  </si>
  <si>
    <t xml:space="preserve">Berufsunfälle PostLogistics </t>
  </si>
  <si>
    <t>Berufsunfälle PostFinance</t>
  </si>
  <si>
    <t>Berufsunfälle PostAuto</t>
  </si>
  <si>
    <t>Berufsunfälle Swiss Post International</t>
  </si>
  <si>
    <t>Berufsunfälle Swiss Post Solutions</t>
  </si>
  <si>
    <t>Berufsunfälle mit Todesfolgen</t>
  </si>
  <si>
    <t>Anzahl</t>
  </si>
  <si>
    <t xml:space="preserve">Nichtberufsunfälle   </t>
  </si>
  <si>
    <t>Verursachte Unfallkosten</t>
  </si>
  <si>
    <t>Nichtberufsunfälle</t>
  </si>
  <si>
    <t>Berufs- und Nichtberufsunfälle</t>
  </si>
  <si>
    <t>Krankheits- und unfallbedingte Aussetztage</t>
  </si>
  <si>
    <t>Medizinisch bedingte Aussetztage</t>
  </si>
  <si>
    <t>Aussetztage pro Person</t>
  </si>
  <si>
    <t>Kurzabsenz</t>
  </si>
  <si>
    <t>Krankheit</t>
  </si>
  <si>
    <t>Berufsunfall</t>
  </si>
  <si>
    <t>Nichtberufsunfall</t>
  </si>
  <si>
    <t>Aussetztage</t>
  </si>
  <si>
    <t>Tage pro Jahr</t>
  </si>
  <si>
    <t>Ausfalllohnkosten</t>
  </si>
  <si>
    <t>Vertretung Personalkommission zur Überwachung Gesundheitsschutz / Arbeitssicherheit</t>
  </si>
  <si>
    <t>Vertretungen in Personalkommission</t>
  </si>
  <si>
    <t>403-1</t>
  </si>
  <si>
    <t>403-2</t>
  </si>
  <si>
    <t>Teilzeit</t>
  </si>
  <si>
    <t>Beschäftigungsgrad</t>
  </si>
  <si>
    <t>Beschäftigungsgrad unter 50%, gesamt</t>
  </si>
  <si>
    <t>Beschäftigungsgrad 50% bis 89%, gesamt</t>
  </si>
  <si>
    <t>Beschäftigungsgrad ab 90% (Vollzeit), gesamt</t>
  </si>
  <si>
    <t>Beschäftigungsgrad Männer</t>
  </si>
  <si>
    <t>Beschäftigungsgrad unter 50%, Männer</t>
  </si>
  <si>
    <t>Beschäftigungsgrad 50% bis 89%, Männer</t>
  </si>
  <si>
    <t>Beschäftigungsgrad ab 90% (Vollzeit), Männer</t>
  </si>
  <si>
    <t>Beschäftigungsgrad Frauen</t>
  </si>
  <si>
    <t>Beschäftigungsgrad unter 50%, Frauen</t>
  </si>
  <si>
    <t>Beschäftigungsgrad 50% bis 89%, Frauen</t>
  </si>
  <si>
    <t>Beschäftigungsgrad ab 90% (Vollzeit), Frauen</t>
  </si>
  <si>
    <t>Geschlechterverteilung</t>
  </si>
  <si>
    <t>Frauen im Management</t>
  </si>
  <si>
    <t>Männer</t>
  </si>
  <si>
    <t>Frauen</t>
  </si>
  <si>
    <t>Anteil Frauen im Kader</t>
  </si>
  <si>
    <t>Anteil Frauen in höchster Kaderfunktion</t>
  </si>
  <si>
    <t>Anteil Frauen im mittleren/unteren Kader</t>
  </si>
  <si>
    <t>405-1</t>
  </si>
  <si>
    <t>Muttersprache Deutsch</t>
  </si>
  <si>
    <t>Muttersprache Französisch</t>
  </si>
  <si>
    <t>Muttersprache Italienisch</t>
  </si>
  <si>
    <t>Muttersprache Rätoromanisch</t>
  </si>
  <si>
    <t>andere Muttersprache</t>
  </si>
  <si>
    <t>Sprachenvielfalt</t>
  </si>
  <si>
    <t>Schweiz</t>
  </si>
  <si>
    <t>Portugal</t>
  </si>
  <si>
    <t>Vertretene Nationen</t>
  </si>
  <si>
    <t>Demographie (Altersverteilung)</t>
  </si>
  <si>
    <t>unter 20</t>
  </si>
  <si>
    <t>30–39</t>
  </si>
  <si>
    <t>40–49</t>
  </si>
  <si>
    <t>50–59</t>
  </si>
  <si>
    <t>60 und älter</t>
  </si>
  <si>
    <t>Durchschnittsalter</t>
  </si>
  <si>
    <t>Elternzeit</t>
  </si>
  <si>
    <t>401-3</t>
  </si>
  <si>
    <t>Elternzeitbezüger/-innen</t>
  </si>
  <si>
    <t>Ó</t>
  </si>
  <si>
    <t>Headcount</t>
  </si>
  <si>
    <t>Organico</t>
  </si>
  <si>
    <t>Effectif</t>
  </si>
  <si>
    <t>Unités de personnel</t>
  </si>
  <si>
    <t>Personnes</t>
  </si>
  <si>
    <t>unità di personale</t>
  </si>
  <si>
    <t>persone</t>
  </si>
  <si>
    <t>Full-time equivalents</t>
  </si>
  <si>
    <t>Distribution</t>
  </si>
  <si>
    <t>Tri</t>
  </si>
  <si>
    <t>Fourniture de services financiers</t>
  </si>
  <si>
    <t>Vente</t>
  </si>
  <si>
    <t>Vente opérationnelle</t>
  </si>
  <si>
    <t>Informatique</t>
  </si>
  <si>
    <t>Infrastructure et sécurité</t>
  </si>
  <si>
    <t>Exploitation et entretien, service domestique</t>
  </si>
  <si>
    <t>Fonctions de gestion et fonctions Groupe</t>
  </si>
  <si>
    <t>Autres fonctions</t>
  </si>
  <si>
    <t>Etranger</t>
  </si>
  <si>
    <t>1) Sans les apprentis</t>
  </si>
  <si>
    <t>2) Une unité de personnel correspond à un poste à plein temps.</t>
  </si>
  <si>
    <t>Estero</t>
  </si>
  <si>
    <t>Logistica e produzione</t>
  </si>
  <si>
    <t>Recapito</t>
  </si>
  <si>
    <t>Spartizione</t>
  </si>
  <si>
    <t>Esecuzione servizi finanziari</t>
  </si>
  <si>
    <t>Trasporto persone</t>
  </si>
  <si>
    <t>Trasporto merci</t>
  </si>
  <si>
    <t>altri</t>
  </si>
  <si>
    <t>Vendita</t>
  </si>
  <si>
    <t>Vendite (livello operativo)</t>
  </si>
  <si>
    <t>Informatica</t>
  </si>
  <si>
    <t>Infrastruttura e sicurezza</t>
  </si>
  <si>
    <t>Esercizio e manutenzione, servizio di manutenzione</t>
  </si>
  <si>
    <t>Funzioni direttive e Funzioni Gruppo</t>
  </si>
  <si>
    <t>Varie funzioni</t>
  </si>
  <si>
    <t>1) Escluso il personale in formazione.</t>
  </si>
  <si>
    <t>Abroad</t>
  </si>
  <si>
    <t>Delivery</t>
  </si>
  <si>
    <t>Sorting</t>
  </si>
  <si>
    <t>Handling of financial services</t>
  </si>
  <si>
    <t>Transport of goods</t>
  </si>
  <si>
    <t>Sales</t>
  </si>
  <si>
    <t>Sales operations</t>
  </si>
  <si>
    <t>Information Technology</t>
  </si>
  <si>
    <t>Operation and maintenance, facility services</t>
  </si>
  <si>
    <t>Management and Group functions</t>
  </si>
  <si>
    <t>Miscellaneous functions</t>
  </si>
  <si>
    <t>1) Excluding trainees</t>
  </si>
  <si>
    <t>2) A full-time equivalent equates to one full-time position.</t>
  </si>
  <si>
    <t>Logistik und Produktion</t>
  </si>
  <si>
    <t>Logistique et Production</t>
  </si>
  <si>
    <t>Logistics and production</t>
  </si>
  <si>
    <t>Infrastruktur und Sicherheit</t>
  </si>
  <si>
    <t>Infrastructure and security</t>
  </si>
  <si>
    <t>Répartition des sexes</t>
  </si>
  <si>
    <t>Distribuzione per genere</t>
  </si>
  <si>
    <t>Gender distribution</t>
  </si>
  <si>
    <t>Men</t>
  </si>
  <si>
    <t>Women</t>
  </si>
  <si>
    <t>% of full-time equivalents</t>
  </si>
  <si>
    <t>% of headcount</t>
  </si>
  <si>
    <t>% dell'unità di personale</t>
  </si>
  <si>
    <t>% delle persone</t>
  </si>
  <si>
    <t>% des personnes</t>
  </si>
  <si>
    <t>% des unités de personnel</t>
  </si>
  <si>
    <t>% der Personaleinheiten</t>
  </si>
  <si>
    <t>% der Personen</t>
  </si>
  <si>
    <t>Hommes</t>
  </si>
  <si>
    <t>Femmes</t>
  </si>
  <si>
    <t>Uomini</t>
  </si>
  <si>
    <t>Donne</t>
  </si>
  <si>
    <t>Grado di occupazione</t>
  </si>
  <si>
    <t>Grado di occupazione inferiore al 50%, complessivo</t>
  </si>
  <si>
    <t>Grado di occupazione dal 90% (tempo pieno), complessivo</t>
  </si>
  <si>
    <t>Grado di occupazione, uomini</t>
  </si>
  <si>
    <t>Grado di occupazione inferiore al 50%, uomini</t>
  </si>
  <si>
    <t>Grado di occupazione dal 90% (tempo pieno), uomini</t>
  </si>
  <si>
    <t>Grado di occupazione, donne</t>
  </si>
  <si>
    <t>Grado di occupazione inferiore al 50%, donne</t>
  </si>
  <si>
    <t>Grado di occupazione dal 90% (tempo pieno), donne</t>
  </si>
  <si>
    <t>Grado di occupazione, quadri</t>
  </si>
  <si>
    <t>Grado di occupazione inferiore al 90% (tempo parziale), quadri</t>
  </si>
  <si>
    <t>Tempo parziale</t>
  </si>
  <si>
    <t>Beschäftigungsgrad Kader</t>
  </si>
  <si>
    <t>Beschäftigungsgrad unter 90% (Teilzeit), Kader</t>
  </si>
  <si>
    <t>Beschäftigungsgrad unter 90% (Teilzeit), Kader, Männer</t>
  </si>
  <si>
    <t>Beschäftigungsgrad unter 90% (Teilzeit), Kader, Frauen</t>
  </si>
  <si>
    <t>Temps partiel</t>
  </si>
  <si>
    <t>Taux d'occupation</t>
  </si>
  <si>
    <t>Taux d'occupation inférieur à 50%, total</t>
  </si>
  <si>
    <t>Taux d'occupation entre 50% et 89%, total</t>
  </si>
  <si>
    <t>Taux d'occupation égal ou supérieur à 90% (plein temps), total</t>
  </si>
  <si>
    <t>Taux d'occupation des hommes</t>
  </si>
  <si>
    <t>Taux d'occupation inférieur à 50%, hommes</t>
  </si>
  <si>
    <t>Taux d'occupation entre 50% et 89%, hommes</t>
  </si>
  <si>
    <t>Taux d'occupation égal ou supérieur à 90% (plein temps), hommes</t>
  </si>
  <si>
    <t>Taux d'occupation des femmes</t>
  </si>
  <si>
    <t>Taux d'occupation inférieur à 50%, femmes</t>
  </si>
  <si>
    <t>Taux d'occupation entre 50% et 89%, femmes</t>
  </si>
  <si>
    <t>Taux d'occupation égal ou supérieur à 90% (plein temps), femmes</t>
  </si>
  <si>
    <t>Taux d'occupation des cadres</t>
  </si>
  <si>
    <t>Taux d'occupation inférieur à 90% (temps partiel), cadres</t>
  </si>
  <si>
    <t>Taux d'occupation inférieur à 90% (temps partiel), cadres, hommes</t>
  </si>
  <si>
    <t>Taux d'occupation inférieur à 90% (temps partiel), cadres, femmes</t>
  </si>
  <si>
    <t>Grado di occupazione inferiore al 90% (tempo parziale), quadri, uomini</t>
  </si>
  <si>
    <t>Grado di occupazione inferiore al 90% (tempo parziale), quadri, donne</t>
  </si>
  <si>
    <t>Part-time</t>
  </si>
  <si>
    <t>Level of employment</t>
  </si>
  <si>
    <t>Less than 50% of regular working hours, total</t>
  </si>
  <si>
    <t>50% to 89% of regular working hours, total</t>
  </si>
  <si>
    <t>90% of regular working hours and over (full time), total</t>
  </si>
  <si>
    <t>Level of employment, men</t>
  </si>
  <si>
    <t>Less than 50% of regular working hours, men</t>
  </si>
  <si>
    <t>50% to 89% of regular working hours, men</t>
  </si>
  <si>
    <t>90% of regular working hours and over (full time), men</t>
  </si>
  <si>
    <t>Level of employment, women</t>
  </si>
  <si>
    <t>Less than 50% of regular working hours, women</t>
  </si>
  <si>
    <t>50% to 89% of regular working hours, women</t>
  </si>
  <si>
    <t>90% of regular working hours and over (full time), women</t>
  </si>
  <si>
    <t>Level of employment, management</t>
  </si>
  <si>
    <t>Less than 90% of regular working hours (part-time), management</t>
  </si>
  <si>
    <t>Less than 90% of regular working hours (part-time), management, men</t>
  </si>
  <si>
    <t>Less than 90% of regular working hours (part-time), management, women</t>
  </si>
  <si>
    <t>Employment conditions</t>
  </si>
  <si>
    <t>Public Officials Act</t>
  </si>
  <si>
    <t>Swiss Post collective employment contract (CEC)</t>
  </si>
  <si>
    <t>Swiss Code of Obligations</t>
  </si>
  <si>
    <t>CEC, auxiliary staff</t>
  </si>
  <si>
    <t>CEC, subsidiaries</t>
  </si>
  <si>
    <t>Post CH Ltd</t>
  </si>
  <si>
    <t>PostFinance Ltd</t>
  </si>
  <si>
    <t>Swiss subsidiaries</t>
  </si>
  <si>
    <t>Foreign labour law</t>
  </si>
  <si>
    <t>1) A full-time equivalent equates to one full-time position.</t>
  </si>
  <si>
    <t>Anstellungsverhältnisse</t>
  </si>
  <si>
    <t>Rapports de travail</t>
  </si>
  <si>
    <t>Loi sur le personnel de la Confédération</t>
  </si>
  <si>
    <t>CCT Poste</t>
  </si>
  <si>
    <t>Code des obligations</t>
  </si>
  <si>
    <t>CCT Auxiliaires</t>
  </si>
  <si>
    <t>CCT sociétés du groupe</t>
  </si>
  <si>
    <t>Poste CH SA</t>
  </si>
  <si>
    <t>PostFinance SA</t>
  </si>
  <si>
    <t>Sociétés du groupe en Suisse</t>
  </si>
  <si>
    <t>Droit du travail étranger</t>
  </si>
  <si>
    <t>1) Une unité de personnel correspond à un poste à plein temps.</t>
  </si>
  <si>
    <t>Legge sul personale federale</t>
  </si>
  <si>
    <t>CCL Posta</t>
  </si>
  <si>
    <t>Codice delle obbligazioni</t>
  </si>
  <si>
    <t>CCL per il personale ausiliario</t>
  </si>
  <si>
    <t>CCL società del gruppo</t>
  </si>
  <si>
    <t>Posta CH SA</t>
  </si>
  <si>
    <t>società del gruppo Svizzera</t>
  </si>
  <si>
    <t>Diritto del lavoro estero</t>
  </si>
  <si>
    <t>Luftschadstoffemissionen</t>
  </si>
  <si>
    <t>Emissioni di inquinanti atmosferici</t>
  </si>
  <si>
    <t>Air pollution emissions</t>
  </si>
  <si>
    <t>Emissions de polluants atmosphériques</t>
  </si>
  <si>
    <t>kg</t>
  </si>
  <si>
    <t>Kilos</t>
  </si>
  <si>
    <t>Ossidi di azoto (NOx)</t>
  </si>
  <si>
    <t>Idrocarburi non metanici (NMHC)</t>
  </si>
  <si>
    <t>Particolato (PM10)</t>
  </si>
  <si>
    <t>Equivalenti fluoro-cloro-idrocarburi (HCFC-11 equiv.)</t>
  </si>
  <si>
    <t xml:space="preserve">2) Standard, metodi e fattori di emissione: i fattori di emissione provengono da HBEFA 3.1, Mobitool Version 2010, ecoinvent 2.2 e altre fonti statistiche. </t>
  </si>
  <si>
    <t>Non-methane hydrocarbons (NMVOC)</t>
  </si>
  <si>
    <t>Particulate matter (PM10)</t>
  </si>
  <si>
    <t>Chlorofluorocarbon hydrogen equivalents (CFC-11 equivalents)</t>
  </si>
  <si>
    <t>1) The emissions figures are calculated using emissions factors from transport services and energy consumption. They also include the upstream stages of the energy provision process</t>
  </si>
  <si>
    <t xml:space="preserve">2) Standards, methods and emission factors: Emission factors are taken from HBEFA 3.1, Mobitool version 2010, ecoinvent 2.2 and other statistical sources. </t>
  </si>
  <si>
    <t>Stickoxide (NOx)</t>
  </si>
  <si>
    <t>Nicht-Methan Kohlenwasserstoffe (NMVOC)</t>
  </si>
  <si>
    <t>Feinstaub (PM10)</t>
  </si>
  <si>
    <t>Matières particulaires (PM10)</t>
  </si>
  <si>
    <t>Hydrocarbures non méthaniques (HCNM)</t>
  </si>
  <si>
    <t>Equivalents chlorofluorocarbones (équivalent CFC 11)</t>
  </si>
  <si>
    <t>Fluorchlorkohlenwasserstoffäquivalente (FCKW-11-Äquivalente)</t>
  </si>
  <si>
    <t>1) Die Emissionszahlen sind mittels Emissionsfaktoren aus der Transportleistung bzw. dem Energieträgerverbrauch berechnet. Sie umfassen auch die Vorstufen der Energiebereitstellung.</t>
  </si>
  <si>
    <t xml:space="preserve">2) Standards, Methoden und Emissionsfaktoren: Emissionsfaktoren stammen aus HBEFA 3.1, Mobitool Version 2010, ecoinvent 2.2 und weiteren statistischen Quellen. </t>
  </si>
  <si>
    <t>305-6</t>
  </si>
  <si>
    <t>305-7</t>
  </si>
  <si>
    <t>Personalfluktuation und Austritte</t>
  </si>
  <si>
    <t>Freiwillige Austritte</t>
  </si>
  <si>
    <t>Austritte von Mitarbeitenden</t>
  </si>
  <si>
    <t>Congé parental</t>
  </si>
  <si>
    <t>Congedo parentale</t>
  </si>
  <si>
    <t>Parental leave</t>
  </si>
  <si>
    <t>Fluctuation du personnel et départs</t>
  </si>
  <si>
    <t>Nombre de personnes à salaire mensuel</t>
  </si>
  <si>
    <t>Arrivées</t>
  </si>
  <si>
    <t>50 ans et plus</t>
  </si>
  <si>
    <t>Départs de collaborateurs</t>
  </si>
  <si>
    <t>Retraites</t>
  </si>
  <si>
    <t>Contrats arrivant à échéance</t>
  </si>
  <si>
    <t>Départs négociés</t>
  </si>
  <si>
    <t>pour raisons économiques</t>
  </si>
  <si>
    <t>pour raisons personnelles</t>
  </si>
  <si>
    <t>Décès</t>
  </si>
  <si>
    <t>Départs volontaires</t>
  </si>
  <si>
    <t>Taux de départ global</t>
  </si>
  <si>
    <t>Taux de fluctuation (départs volontaires)</t>
  </si>
  <si>
    <t>Fluttuazione del personale e partenze</t>
  </si>
  <si>
    <t>numero di collaboratori con salario mensile</t>
  </si>
  <si>
    <t>Arrivi</t>
  </si>
  <si>
    <t>donne</t>
  </si>
  <si>
    <t>20-29</t>
  </si>
  <si>
    <t>dai 50 anni in su</t>
  </si>
  <si>
    <t>uomini</t>
  </si>
  <si>
    <t>Partenze di collaboratori</t>
  </si>
  <si>
    <t>pensionamenti</t>
  </si>
  <si>
    <t>contratti in scadenza</t>
  </si>
  <si>
    <t>partenze convenute</t>
  </si>
  <si>
    <t>licenziamenti da parte del datore di lavoro</t>
  </si>
  <si>
    <t>per motivi economici</t>
  </si>
  <si>
    <t>per motivi personali</t>
  </si>
  <si>
    <t>decessi</t>
  </si>
  <si>
    <t>Partenze volontarie</t>
  </si>
  <si>
    <t>Tasso complessivo di partenze</t>
  </si>
  <si>
    <t>Tasso di fluttuazione (partenze volontarie)</t>
  </si>
  <si>
    <t>1) Escluso il personale in formazione</t>
  </si>
  <si>
    <t>Staff turnover and departures</t>
  </si>
  <si>
    <t>Number of persons on monthly salary</t>
  </si>
  <si>
    <t>% of average monthly salary headcount</t>
  </si>
  <si>
    <t>New employees</t>
  </si>
  <si>
    <t>30–49</t>
  </si>
  <si>
    <t>50 and older</t>
  </si>
  <si>
    <t>Employee departures</t>
  </si>
  <si>
    <t>Due to retirement</t>
  </si>
  <si>
    <t>Expiring contracts</t>
  </si>
  <si>
    <t>Departure agreed</t>
  </si>
  <si>
    <t>Notice given by employer</t>
  </si>
  <si>
    <t>For business-related reasons</t>
  </si>
  <si>
    <t>For personal reasons</t>
  </si>
  <si>
    <t>Death</t>
  </si>
  <si>
    <t>Voluntary departures</t>
  </si>
  <si>
    <t>Overall departure rate</t>
  </si>
  <si>
    <t>Turnover rate (voluntary departures)</t>
  </si>
  <si>
    <t>2) Overall departure rate = total number of persons on a monthly salary who leave Swiss Post within a period of one calendar year, expressed as % of average headcount.</t>
  </si>
  <si>
    <t>Gestion de la santé</t>
  </si>
  <si>
    <t>Nombre pour 100 unités de personnel</t>
  </si>
  <si>
    <t>Nombre</t>
  </si>
  <si>
    <t>Jours par an</t>
  </si>
  <si>
    <t>Accidents</t>
  </si>
  <si>
    <t>Accidents professionnels</t>
  </si>
  <si>
    <t>Accidents professionnels PostMail</t>
  </si>
  <si>
    <t xml:space="preserve">Accidents professionnels PostLogistics </t>
  </si>
  <si>
    <t>Accidents professionnels PostFinance</t>
  </si>
  <si>
    <t>Accidents professionnels CarPostal</t>
  </si>
  <si>
    <t>Accidents professionnels Swiss Post International</t>
  </si>
  <si>
    <t>Accidents professionnels Swiss Post Solutions</t>
  </si>
  <si>
    <t>Accidents professionnels mortels</t>
  </si>
  <si>
    <t xml:space="preserve">Accidents non professionnels   </t>
  </si>
  <si>
    <t>Coûts occasionnés par les accidents</t>
  </si>
  <si>
    <t>Accidents non professionnels</t>
  </si>
  <si>
    <t>Accidents professionnels et non professionnels</t>
  </si>
  <si>
    <t>Absences pour raisons médicales</t>
  </si>
  <si>
    <t>Absences de courte durée</t>
  </si>
  <si>
    <t>Maladie</t>
  </si>
  <si>
    <t>Absences</t>
  </si>
  <si>
    <t>Coûts salariaux occasionnés par les absences</t>
  </si>
  <si>
    <t>Représentation au sein de la commission du personnel pour la surveillance de la protection de la santé / sécurité au travail</t>
  </si>
  <si>
    <t>Représentations au sein de la commission du personnel</t>
  </si>
  <si>
    <t>4) Depuis 2012, Swiss Post International ne constitue plus un segment autonome. Les valeurs la concernant ont été répercutées sur les unités d'affaires PostMail et PostLogistics à partir du 1er janvier 2012.</t>
  </si>
  <si>
    <t>Health management</t>
  </si>
  <si>
    <t>Number per 100 FTEs</t>
  </si>
  <si>
    <t>Number</t>
  </si>
  <si>
    <t>Absentee days per person</t>
  </si>
  <si>
    <t>Days per annum</t>
  </si>
  <si>
    <t>Occupational accidents</t>
  </si>
  <si>
    <t>Occupational accidents, PostMail</t>
  </si>
  <si>
    <t xml:space="preserve">Occupational accidents, PostLogistics </t>
  </si>
  <si>
    <t>Occupational accidents, PostFinance</t>
  </si>
  <si>
    <t>Occupational accidents, PostBus</t>
  </si>
  <si>
    <t>Occupational accidents, Swiss Post International</t>
  </si>
  <si>
    <t>Occupational accidents, Swiss Post Solutions</t>
  </si>
  <si>
    <t>Occupational accidents with fatalities</t>
  </si>
  <si>
    <t xml:space="preserve">Non-occupational accidents   </t>
  </si>
  <si>
    <t>Costs incurred as a result of accidents</t>
  </si>
  <si>
    <t>Non-occupational accidents</t>
  </si>
  <si>
    <t>Occupational and non-occupational accidents</t>
  </si>
  <si>
    <t>Days lost to illness and accidents</t>
  </si>
  <si>
    <t>Absentee days for medical reasons</t>
  </si>
  <si>
    <t>Short absences</t>
  </si>
  <si>
    <t>Sickness</t>
  </si>
  <si>
    <t>Absentee days</t>
  </si>
  <si>
    <t>Absentee wage costs</t>
  </si>
  <si>
    <t>Representation on the staff committee for the monitoring of health protection / occupational safety</t>
  </si>
  <si>
    <t>Representation on staff committee</t>
  </si>
  <si>
    <t>3) The Swiss Post Solutions Group unit has only existed since 1 October 2007, which is why no figures are reported for the preceding years.</t>
  </si>
  <si>
    <t>4) As of 2012, Swiss Post International no longer exists as an independent segment. The figures were transferred to the Group units PostMail and PostLogistics on 1 January 2012.</t>
  </si>
  <si>
    <t>Gestione della salute</t>
  </si>
  <si>
    <t>numero ogni 100 unità di personale</t>
  </si>
  <si>
    <t>Quantità</t>
  </si>
  <si>
    <t>giorni di assenza per persona</t>
  </si>
  <si>
    <t>Infortuni</t>
  </si>
  <si>
    <t>Infortuni professionali</t>
  </si>
  <si>
    <t>infortuni professionali PostMail</t>
  </si>
  <si>
    <t xml:space="preserve">infortuni professionali PostLogistics </t>
  </si>
  <si>
    <t>infortuni professionali PostFinance</t>
  </si>
  <si>
    <t>infortuni professionali AutoPostale</t>
  </si>
  <si>
    <t>infortuni professionali Swiss Post International</t>
  </si>
  <si>
    <t>infortuni professionali Swiss Post Solutions</t>
  </si>
  <si>
    <t>infortuni professionali mortali</t>
  </si>
  <si>
    <t xml:space="preserve">Infortuni non professionali   </t>
  </si>
  <si>
    <t>Costi legati agli infortuni</t>
  </si>
  <si>
    <t>Infortuni non professionali</t>
  </si>
  <si>
    <t>Infortuni professionali e non professionali</t>
  </si>
  <si>
    <t>Giorni di assenza dovuti a malattie e infortuni</t>
  </si>
  <si>
    <t>Giorni di assenza per ragioni mediche</t>
  </si>
  <si>
    <t>assenza breve</t>
  </si>
  <si>
    <t>malattia</t>
  </si>
  <si>
    <t>infortunio professionale</t>
  </si>
  <si>
    <t>infortunio non professionale</t>
  </si>
  <si>
    <t>Giorni di assenza</t>
  </si>
  <si>
    <t>costi salariali dovuti alle assenze</t>
  </si>
  <si>
    <t>Rappresentanti nella commissione del personale per il controllo della sicurezza sul lavoro e protezione della salute</t>
  </si>
  <si>
    <t>Rappresentanti nella commissione del personale</t>
  </si>
  <si>
    <t>Nationalität</t>
  </si>
  <si>
    <t>Altersgruppe</t>
  </si>
  <si>
    <t>Part de femmes cadres</t>
  </si>
  <si>
    <t>Part de femmes cadres échelon supérieur</t>
  </si>
  <si>
    <t>Part de femmes cadres échelons moyen et inférieur</t>
  </si>
  <si>
    <t>Part de femmes au Conseil d'administration (CA) de La Poste Suisse SA</t>
  </si>
  <si>
    <t>Diversité linguistique</t>
  </si>
  <si>
    <t>Langue maternelle allemande</t>
  </si>
  <si>
    <t>Langue maternelle française</t>
  </si>
  <si>
    <t>Langue maternelle italienne</t>
  </si>
  <si>
    <t>Langue maternelle romanche</t>
  </si>
  <si>
    <t>Autre langue maternelle</t>
  </si>
  <si>
    <t>Nationalité</t>
  </si>
  <si>
    <t>Suisse</t>
  </si>
  <si>
    <t>Nationalités représentées</t>
  </si>
  <si>
    <t>Démographie (pyramide des âges)</t>
  </si>
  <si>
    <t>Moins de 20 ans</t>
  </si>
  <si>
    <t>60 ans et plus</t>
  </si>
  <si>
    <t>Age moyen</t>
  </si>
  <si>
    <t>Années</t>
  </si>
  <si>
    <t>Italien</t>
  </si>
  <si>
    <t>Deutschland</t>
  </si>
  <si>
    <t>Spanien</t>
  </si>
  <si>
    <t>Türkei</t>
  </si>
  <si>
    <t>Frankreich</t>
  </si>
  <si>
    <t>übrige Länder</t>
  </si>
  <si>
    <t>Italie</t>
  </si>
  <si>
    <t>Allemagne</t>
  </si>
  <si>
    <t>Espagne</t>
  </si>
  <si>
    <t>Turquie</t>
  </si>
  <si>
    <t>France</t>
  </si>
  <si>
    <t>Autres pays</t>
  </si>
  <si>
    <t>Percentuale di donne nei quadri</t>
  </si>
  <si>
    <t>Percentuale di donne con mansioni direttive di livello superiore</t>
  </si>
  <si>
    <t>Percentuale di donne nei quadri inferiori e medi</t>
  </si>
  <si>
    <t>Plurilinguismo</t>
  </si>
  <si>
    <t>Madrelingua tedesca</t>
  </si>
  <si>
    <t>Madrelingua francese</t>
  </si>
  <si>
    <t>Madrelingua italiana</t>
  </si>
  <si>
    <t>Madrelingua romancia</t>
  </si>
  <si>
    <t>Altre madrelingue</t>
  </si>
  <si>
    <t>Nazionalità</t>
  </si>
  <si>
    <t>Svizzera</t>
  </si>
  <si>
    <t>Portogallo</t>
  </si>
  <si>
    <t>Nazioni rappresentate</t>
  </si>
  <si>
    <t>Italia</t>
  </si>
  <si>
    <t>Germania</t>
  </si>
  <si>
    <t>Spagna</t>
  </si>
  <si>
    <t>Turchia</t>
  </si>
  <si>
    <t>Francia</t>
  </si>
  <si>
    <t>Altri paesi</t>
  </si>
  <si>
    <t>Fascia di età</t>
  </si>
  <si>
    <t>Meno di 20</t>
  </si>
  <si>
    <t>30-39</t>
  </si>
  <si>
    <t>40-49</t>
  </si>
  <si>
    <t>50-59</t>
  </si>
  <si>
    <t>dai 60 anni in su</t>
  </si>
  <si>
    <t>Età media</t>
  </si>
  <si>
    <t>Anni</t>
  </si>
  <si>
    <t>Women in management</t>
  </si>
  <si>
    <t>Percentage of women in management roles</t>
  </si>
  <si>
    <t>Percentage of women in senior management posts</t>
  </si>
  <si>
    <t>Percentage of women in middle and junior management roles</t>
  </si>
  <si>
    <t>Femmes au sein du management</t>
  </si>
  <si>
    <t>Donne nel management</t>
  </si>
  <si>
    <t>Language diversity</t>
  </si>
  <si>
    <t>German native speakers</t>
  </si>
  <si>
    <t>French native speakers</t>
  </si>
  <si>
    <t>Italian native speakers</t>
  </si>
  <si>
    <t>Romansh native speakers</t>
  </si>
  <si>
    <t>Other native speakers</t>
  </si>
  <si>
    <t>Switzerland</t>
  </si>
  <si>
    <t>Nationalities represented</t>
  </si>
  <si>
    <t>Italy</t>
  </si>
  <si>
    <t>Germany</t>
  </si>
  <si>
    <t>Spain</t>
  </si>
  <si>
    <t>Turkey</t>
  </si>
  <si>
    <t>Other countries</t>
  </si>
  <si>
    <t>Demographics (age distribution)</t>
  </si>
  <si>
    <t>Age group</t>
  </si>
  <si>
    <t>Under 20</t>
  </si>
  <si>
    <t>60 and older</t>
  </si>
  <si>
    <t>Average age</t>
  </si>
  <si>
    <t>Nationality</t>
  </si>
  <si>
    <t>Years</t>
  </si>
  <si>
    <t>Jahre</t>
  </si>
  <si>
    <t>Anteil Frauen im Verwaltungsrat (VR) der Schweizerischen Post AG</t>
  </si>
  <si>
    <t>Anteil Frauen in der Konzernleitung (KL) der Schweizerischen Post AG</t>
  </si>
  <si>
    <t>Part de femmes à la Direction du groupe (DG) La Poste Suisse SA</t>
  </si>
  <si>
    <t>Part de femmes aux CA, à la DG et dans les organes de direction du groupe</t>
  </si>
  <si>
    <t>Anteil Frauen im VR, der KL und den Geschäftsleitungen des Konzerns</t>
  </si>
  <si>
    <t>Percentuale di donne nel CdA, nella DG e nel comitato di direzione del gruppo</t>
  </si>
  <si>
    <t>Percentuale di donne nella Direzione del gruppo (DG) de La Posta Svizzera SA</t>
  </si>
  <si>
    <t>Percentage of women in Swiss Post Ltd Executive Management (EM)</t>
  </si>
  <si>
    <t>Percentage of women on BoD, EM and Executive Boards of the group</t>
  </si>
  <si>
    <t>Percentage of women on Swiss Post Ltd Board of Directors (BoD)</t>
  </si>
  <si>
    <t>Percentuale di donne nel Consiglio di amministrazione (CdA) de La Posta Svizzera SA</t>
  </si>
  <si>
    <t>Verteilung der Wertschöpfung</t>
  </si>
  <si>
    <t>Erarbeitete Wertschöpfung</t>
  </si>
  <si>
    <t>davon an: Mitarbeitende</t>
  </si>
  <si>
    <t>davon an: Fremdkapitalgeber</t>
  </si>
  <si>
    <t>davon an: öffentliche Hand</t>
  </si>
  <si>
    <t>davon an: Eigentümer</t>
  </si>
  <si>
    <t>davon an: Unternehmen</t>
  </si>
  <si>
    <t>davon für: Abschreibungen</t>
  </si>
  <si>
    <t>davon für: Stärkung der Pensionskasse Post</t>
  </si>
  <si>
    <t>davon für: Aufbau Eigenkapital</t>
  </si>
  <si>
    <t>davon für: Übrige</t>
  </si>
  <si>
    <t>1) Wertschöpfung = Betriebsergebnis + Personalaufwand + Abschreibungen – Ergebnis aus Verkauf von Sachanlagen, immatriellen Anlagen und Beteiligungen</t>
  </si>
  <si>
    <t>2) Löhne, Gehälter, gesetzliche und freiwillige Sozialabgabe, Personalvorsorgeleistungen, Aus- und Weiterbildung</t>
  </si>
  <si>
    <t>3) Zinsen und ähnliche Aufwendungen</t>
  </si>
  <si>
    <t>4) Ertragssteuern</t>
  </si>
  <si>
    <t>5) Gewinnabführung an den Bund</t>
  </si>
  <si>
    <t>Répartition de la valeur ajoutée</t>
  </si>
  <si>
    <t>Valeur ajoutée</t>
  </si>
  <si>
    <t>dont aux collaborateurs</t>
  </si>
  <si>
    <t>dont aux bailleurs de fonds externes</t>
  </si>
  <si>
    <t>dont aux pouvoirs publics</t>
  </si>
  <si>
    <t>dont au propriétaire</t>
  </si>
  <si>
    <t>dont pour amortissements</t>
  </si>
  <si>
    <t>dont pour renforcement de la Caisse de pensions Poste</t>
  </si>
  <si>
    <t>dont pour constitution de fonds propres</t>
  </si>
  <si>
    <t>dont pour Autres</t>
  </si>
  <si>
    <t>2) Salaires, appointements, charges sociales légales et volontaires, prestations de prévoyance en faveur du personnel, formation et perfectionnement</t>
  </si>
  <si>
    <t>3) Intérêts et charges similaires</t>
  </si>
  <si>
    <t>4) Impôts sur le bénéfice</t>
  </si>
  <si>
    <t>5) Versement du bénéfice à la Confédération</t>
  </si>
  <si>
    <t>Distribuzione del valore aggiunto</t>
  </si>
  <si>
    <t>Creazione di valore aggiunto</t>
  </si>
  <si>
    <t>di cui a: Collaboratori</t>
  </si>
  <si>
    <t>di cui a: investitori esterni</t>
  </si>
  <si>
    <t>di cui per: amministrazione pubblica</t>
  </si>
  <si>
    <t>di cui a: proprietaria</t>
  </si>
  <si>
    <t>di cui a: aziende</t>
  </si>
  <si>
    <t>di cui per: ammortamenti</t>
  </si>
  <si>
    <t>di cui per: consolidamento della Cassa pensioni Posta</t>
  </si>
  <si>
    <t>di cui per: costituzione capitale proprio</t>
  </si>
  <si>
    <t>di cui per: Altri</t>
  </si>
  <si>
    <t>2) Salari, stipendi, oneri sociali legali e facoltativi, prestazioni previdenziali, formazione e perfezionamento.</t>
  </si>
  <si>
    <t>3) Interessi e altri oneri.</t>
  </si>
  <si>
    <t>Distribution of added value</t>
  </si>
  <si>
    <t>Added value generated</t>
  </si>
  <si>
    <t>Of which paid to: Employees</t>
  </si>
  <si>
    <t>Of which paid to: creditors</t>
  </si>
  <si>
    <t>OF which paid to: public sector</t>
  </si>
  <si>
    <t>Of which paid to: owner</t>
  </si>
  <si>
    <t>Of which paid to: company</t>
  </si>
  <si>
    <t>Of which for: Amortization</t>
  </si>
  <si>
    <t>Of which for: bolstering the Swiss Post pension fund</t>
  </si>
  <si>
    <t>Of which for: building up equity</t>
  </si>
  <si>
    <t>Of which for: Other</t>
  </si>
  <si>
    <t>1) Value added = operating profit + personnel expenses + depreciation – gain/loss on the sale of tangible fixed assets, intangible assets and participations.</t>
  </si>
  <si>
    <t>2) Wages, salaries, statutory and voluntary social security contributions, employee benefit payments, basic and advanced training.</t>
  </si>
  <si>
    <t>3) Interest and similar expenses.</t>
  </si>
  <si>
    <t>4) Income taxes.</t>
  </si>
  <si>
    <t>5) Profit transferred to the Confederation.</t>
  </si>
  <si>
    <t>zurück zum Inhaltsverzeichnis</t>
  </si>
  <si>
    <t>Equivalent de tonnes de CO2 par million de CHF</t>
  </si>
  <si>
    <t>t di CO2 equivalenti per mln di CHF</t>
  </si>
  <si>
    <t>t CO2 equivalent per CHF million</t>
  </si>
  <si>
    <t>back to the table of contents</t>
  </si>
  <si>
    <t>retour à la table des matières</t>
  </si>
  <si>
    <t>torna alla tabella dei contenuti</t>
  </si>
  <si>
    <t>Hausservice</t>
  </si>
  <si>
    <t>Orte</t>
  </si>
  <si>
    <t>Lernpersonal</t>
  </si>
  <si>
    <t>Nachwuchskräfte</t>
  </si>
  <si>
    <t>Detailhandelsfachfrau/-mann</t>
  </si>
  <si>
    <t>Fachfrau/ -mann Kundendialog</t>
  </si>
  <si>
    <t>Kaufleute</t>
  </si>
  <si>
    <t>Kaufm. Praktikum</t>
  </si>
  <si>
    <t>Logistiker/-in EFZ Distribution</t>
  </si>
  <si>
    <t>Logistiker/-in EBA Distribution</t>
  </si>
  <si>
    <t>Logistiker/-in EFZ Lager</t>
  </si>
  <si>
    <t>Strassentransportfachmann/-frau EFZ</t>
  </si>
  <si>
    <t>Informatiker/-in</t>
  </si>
  <si>
    <t>Mediamatiker/-in</t>
  </si>
  <si>
    <t>Automatiker/-in</t>
  </si>
  <si>
    <t>Fachmann/-frau Betriebsunterhalt EFZ</t>
  </si>
  <si>
    <t>Kinderbetreuer/-in</t>
  </si>
  <si>
    <t>Ausbildungsquote</t>
  </si>
  <si>
    <t>Neueinstellung von Lernpersonal</t>
  </si>
  <si>
    <t>Anteil übernommener Lernpersonen</t>
  </si>
  <si>
    <t>404-2</t>
  </si>
  <si>
    <t>-</t>
  </si>
  <si>
    <t>Trainee-Programm</t>
  </si>
  <si>
    <t>Praktikanten</t>
  </si>
  <si>
    <t>Lieferkette</t>
  </si>
  <si>
    <t>Anzahl Lieferanten Schweiz</t>
  </si>
  <si>
    <t>Anzahl Lieferanten Ausland</t>
  </si>
  <si>
    <t>Beschaffungsvolumen Konzern</t>
  </si>
  <si>
    <t>102-9</t>
  </si>
  <si>
    <t>Bilanzsumme</t>
  </si>
  <si>
    <t>102-7</t>
  </si>
  <si>
    <t>Eigenkapital</t>
  </si>
  <si>
    <t>Finanzierung</t>
  </si>
  <si>
    <t>Cashflow und Investitionen</t>
  </si>
  <si>
    <t>Investitionen</t>
  </si>
  <si>
    <t>als Finanzinvestition gehaltene Immobilien</t>
  </si>
  <si>
    <t>Grad der eigenfinanzierten Investitionen</t>
  </si>
  <si>
    <t>Volumen Zahlungsverkehr</t>
  </si>
  <si>
    <t>Kundenzufriedenheit</t>
  </si>
  <si>
    <t>Adressierte Briefe</t>
  </si>
  <si>
    <t>Mio. Sendungen</t>
  </si>
  <si>
    <t>prioritäre Sendungen</t>
  </si>
  <si>
    <t>nicht prioritäre Sendungen</t>
  </si>
  <si>
    <t>Sendungen ohne Adresse</t>
  </si>
  <si>
    <t>Zeitungen</t>
  </si>
  <si>
    <t>Briefe Export</t>
  </si>
  <si>
    <t>Briefe Import</t>
  </si>
  <si>
    <t>Zeitungen Export</t>
  </si>
  <si>
    <t>Zeitungen Import</t>
  </si>
  <si>
    <t>Pakete</t>
  </si>
  <si>
    <t>Export</t>
  </si>
  <si>
    <t>Import</t>
  </si>
  <si>
    <t>Swiss Express Geschäftskunden</t>
  </si>
  <si>
    <t>Gescannte Seiten (Document Solutions)</t>
  </si>
  <si>
    <t>Personalisierter Karten (Cards)</t>
  </si>
  <si>
    <t>Unpersonalisierter Karten (Cards)</t>
  </si>
  <si>
    <t>Produzierte Sendungen (Document Output)</t>
  </si>
  <si>
    <t>Annahme Einzahlungen</t>
  </si>
  <si>
    <t>Anzahl Kundenkonten</t>
  </si>
  <si>
    <t>Anzahl Transaktionen</t>
  </si>
  <si>
    <t>E-Finance-Teilnehmer</t>
  </si>
  <si>
    <t>Kunden</t>
  </si>
  <si>
    <t>Fondsvolumen (PostFinance-Fonds ohne Drittfonds)</t>
  </si>
  <si>
    <t>Fondsvolumen (PostFinance-Fonds und Drittfonds)</t>
  </si>
  <si>
    <t>Volumen Ausleihungen Geschäftskunden</t>
  </si>
  <si>
    <t>Volumen Hypotheken Privatkunden</t>
  </si>
  <si>
    <t>Anzahl Reisende</t>
  </si>
  <si>
    <t>Jahresleistung</t>
  </si>
  <si>
    <t>Mio. km</t>
  </si>
  <si>
    <t>Fahrzeuge</t>
  </si>
  <si>
    <t>1, 6</t>
  </si>
  <si>
    <t>PostAuto-Netz</t>
  </si>
  <si>
    <t>km</t>
  </si>
  <si>
    <t>Immobilien</t>
  </si>
  <si>
    <t>Liegenschaften</t>
  </si>
  <si>
    <t>Bewirtschaftete Fläche</t>
  </si>
  <si>
    <t>Mio. m²</t>
  </si>
  <si>
    <t>Anlagewert</t>
  </si>
  <si>
    <t>Mietertrag intern</t>
  </si>
  <si>
    <t>Mietertrag extern</t>
  </si>
  <si>
    <t>Investitionsvolumen</t>
  </si>
  <si>
    <t>Unterhaltsvolumen</t>
  </si>
  <si>
    <t>Laufende Projekte</t>
  </si>
  <si>
    <t xml:space="preserve">Kontakte User Help Desk </t>
  </si>
  <si>
    <t>Betreute Geräte</t>
  </si>
  <si>
    <t>Anzahl verschiedene Anwendungen</t>
  </si>
  <si>
    <t>Datensicherungsmenge pro Jahr</t>
  </si>
  <si>
    <t>Gigabyte</t>
  </si>
  <si>
    <t>Erstlösungsrate</t>
  </si>
  <si>
    <t>Supporteinsätze</t>
  </si>
  <si>
    <t>Anzahl pro Jahr</t>
  </si>
  <si>
    <t>Informationstechnologie</t>
  </si>
  <si>
    <t>über 600</t>
  </si>
  <si>
    <t>über 500</t>
  </si>
  <si>
    <t>rund 500</t>
  </si>
  <si>
    <t>rund 550</t>
  </si>
  <si>
    <t>rund 650</t>
  </si>
  <si>
    <t>rund 750</t>
  </si>
  <si>
    <t>rund 700</t>
  </si>
  <si>
    <t>Überweisungen E-Finance (elektronischer Kanal)</t>
  </si>
  <si>
    <t>Überweisungen EFT/POS (Handel, PST, Agenturen)</t>
  </si>
  <si>
    <t>Überweisungen Papier</t>
  </si>
  <si>
    <t>Überweisungen Diverse</t>
  </si>
  <si>
    <t>Einzahlungen</t>
  </si>
  <si>
    <t>Summe</t>
  </si>
  <si>
    <t>Bezüge am Postomat (ohne Bancomat)</t>
  </si>
  <si>
    <t>Auszahlungen in Poststellen/Agenturen</t>
  </si>
  <si>
    <t>ASR, ASR+, AS</t>
  </si>
  <si>
    <t>Zahlungsanweisung</t>
  </si>
  <si>
    <t>Check</t>
  </si>
  <si>
    <t>Baranweisung</t>
  </si>
  <si>
    <t>Index</t>
  </si>
  <si>
    <t>Geschäftskunden</t>
  </si>
  <si>
    <t>1, 4</t>
  </si>
  <si>
    <t>102-43</t>
  </si>
  <si>
    <t>Marktanteile</t>
  </si>
  <si>
    <t>102-6</t>
  </si>
  <si>
    <t>Passivgeschäft</t>
  </si>
  <si>
    <t>1) Ab dem Jahr 2012 besteht Swiss Post International nicht mehr als eigenständiges Segment. Die Werte wurden ab dem 1. Januar 2012 auf die Geschäftsbereiche PostMail und PostLogistics überführt.</t>
  </si>
  <si>
    <t>2) Vorjahreswerte angepasst</t>
  </si>
  <si>
    <t>3) Das Passivgeschäft umfasst die Entgegennahme von Kundengeldern.</t>
  </si>
  <si>
    <t>4) 2013 provisorischer Ist-Wert (Nov. 2013), Vorjahre angepasst infolge Überführung in PostFinance AG Ende Juni 2013.</t>
  </si>
  <si>
    <t>8) Die Erhebung des Marktanteils Passivgeschäft von PostFinance wurde ab 1.1.2016 eingestellt.</t>
  </si>
  <si>
    <t>Seminare des Arbeitmarktzentrums</t>
  </si>
  <si>
    <t>Teilnehmende</t>
  </si>
  <si>
    <t>Personalzufriedenheit</t>
  </si>
  <si>
    <t>Arbeitsplätze in den Regionen</t>
  </si>
  <si>
    <t>Arbeitsplätze nach Kantonen</t>
  </si>
  <si>
    <t>Aargau</t>
  </si>
  <si>
    <t>Bern</t>
  </si>
  <si>
    <t>Basel-Landschaft</t>
  </si>
  <si>
    <t>Basel-Stadt</t>
  </si>
  <si>
    <t>Freiburg</t>
  </si>
  <si>
    <t>Genf</t>
  </si>
  <si>
    <t>Glarus</t>
  </si>
  <si>
    <t>Graubünden</t>
  </si>
  <si>
    <t>Jura</t>
  </si>
  <si>
    <t>Luzern</t>
  </si>
  <si>
    <t>Neuenburg</t>
  </si>
  <si>
    <t>Nidwalden</t>
  </si>
  <si>
    <t>Obwalden</t>
  </si>
  <si>
    <t>St. Gallen</t>
  </si>
  <si>
    <t>Schaffhausen</t>
  </si>
  <si>
    <t>Solothurn</t>
  </si>
  <si>
    <t>Schwyz</t>
  </si>
  <si>
    <t>Thurgau</t>
  </si>
  <si>
    <t>Tessin</t>
  </si>
  <si>
    <t>Uri</t>
  </si>
  <si>
    <t>Waadt</t>
  </si>
  <si>
    <t>Wallis</t>
  </si>
  <si>
    <t>Zug</t>
  </si>
  <si>
    <t>Zürich</t>
  </si>
  <si>
    <t>1, 6, 7</t>
  </si>
  <si>
    <t>6) Zwischen 2010 bis und mit 2013: inkl. Privatkunden unter Hoheit PostNetz</t>
  </si>
  <si>
    <t>3, 4, 8</t>
  </si>
  <si>
    <t>2, 5, 9</t>
  </si>
  <si>
    <t>429‘705‘810</t>
  </si>
  <si>
    <t>170‘345‘986</t>
  </si>
  <si>
    <t>25‘160‘127</t>
  </si>
  <si>
    <t>22‘603‘811</t>
  </si>
  <si>
    <t>177‘891‘042</t>
  </si>
  <si>
    <t>825‘706‘776</t>
  </si>
  <si>
    <t>61‘474‘959</t>
  </si>
  <si>
    <t>20‘806‘490</t>
  </si>
  <si>
    <t>992‘040</t>
  </si>
  <si>
    <t>708‘088</t>
  </si>
  <si>
    <t>174‘951</t>
  </si>
  <si>
    <t>2‘537</t>
  </si>
  <si>
    <t>84‘159‘065</t>
  </si>
  <si>
    <t>3) Jahresdurchschnittswerte</t>
  </si>
  <si>
    <t>Nettorücklauf der Umfrage</t>
  </si>
  <si>
    <t>Engagement</t>
  </si>
  <si>
    <t>Bereichsfitness</t>
  </si>
  <si>
    <t>Arbeitssituation</t>
  </si>
  <si>
    <t>1) Die Personalumfrage wurde per 2009 neu konzipiert. Die Resultate lassen sich mit den Vorjahren nicht vergleichen.</t>
  </si>
  <si>
    <t>Anteil Ausland</t>
  </si>
  <si>
    <t>Share abroad</t>
  </si>
  <si>
    <t>Part à l'étranger</t>
  </si>
  <si>
    <t>Quota all' estero</t>
  </si>
  <si>
    <t>unbefristet</t>
  </si>
  <si>
    <t>befristet</t>
  </si>
  <si>
    <t>—</t>
  </si>
  <si>
    <t>Mengenentwicklung</t>
  </si>
  <si>
    <t>Zugangspunkte</t>
  </si>
  <si>
    <t>Points d'accès</t>
  </si>
  <si>
    <t>Punti di accesso</t>
  </si>
  <si>
    <t>Access points</t>
  </si>
  <si>
    <t>Lieux</t>
  </si>
  <si>
    <t>Località</t>
  </si>
  <si>
    <t>Localities</t>
  </si>
  <si>
    <t>Filialen</t>
  </si>
  <si>
    <t>Filialen mit Partner</t>
  </si>
  <si>
    <t>Aufgabe- und Abholstellen</t>
  </si>
  <si>
    <t>My Post 24-Automaten</t>
  </si>
  <si>
    <t>PostFinance-Filialen</t>
  </si>
  <si>
    <t>Postomaten</t>
  </si>
  <si>
    <t>Branches with partner</t>
  </si>
  <si>
    <t>Branches</t>
  </si>
  <si>
    <t>Home delivery service</t>
  </si>
  <si>
    <t>Acceptance and collection points</t>
  </si>
  <si>
    <t>My Post 24 terminals</t>
  </si>
  <si>
    <t>PostFinance branches</t>
  </si>
  <si>
    <t>Postomats</t>
  </si>
  <si>
    <t>Filiales en partenariat</t>
  </si>
  <si>
    <t>Filiales</t>
  </si>
  <si>
    <t>Service à domicile</t>
  </si>
  <si>
    <t>Points de dépôt et de retrait</t>
  </si>
  <si>
    <t>Automates My Post 24</t>
  </si>
  <si>
    <t>Filiales PostFinance</t>
  </si>
  <si>
    <t>Postomat</t>
  </si>
  <si>
    <t>Filiali in partenariato</t>
  </si>
  <si>
    <t>Filiali</t>
  </si>
  <si>
    <t>Servizio a domicil</t>
  </si>
  <si>
    <t>Uffici di impostazione e di ritiro</t>
  </si>
  <si>
    <t>Sportelli automatici My Post 24</t>
  </si>
  <si>
    <t>Filiali PostFinance</t>
  </si>
  <si>
    <t>Geschäftskundenstellen</t>
  </si>
  <si>
    <t>Points clientèle commerciale</t>
  </si>
  <si>
    <t>Punit clienti commerciali</t>
  </si>
  <si>
    <t>Business customer points</t>
  </si>
  <si>
    <t>Posti di lavoro nelle regioni</t>
  </si>
  <si>
    <t>Emplois dans les régions</t>
  </si>
  <si>
    <t>Jobs in the regions</t>
  </si>
  <si>
    <t>Mitarbeitende Post auf 100 Beschäftigte nach Kantonen</t>
  </si>
  <si>
    <t>Argovie</t>
  </si>
  <si>
    <t>Berne</t>
  </si>
  <si>
    <t>Bâle-Campagne</t>
  </si>
  <si>
    <t>Bâle-Ville</t>
  </si>
  <si>
    <t>Fribourg</t>
  </si>
  <si>
    <t>Genève</t>
  </si>
  <si>
    <t>Glaris</t>
  </si>
  <si>
    <t>Grisons</t>
  </si>
  <si>
    <t>Lucerne</t>
  </si>
  <si>
    <t>Neuchâtel</t>
  </si>
  <si>
    <t>Nidwald</t>
  </si>
  <si>
    <t>Obwald</t>
  </si>
  <si>
    <t>Saint-Gall</t>
  </si>
  <si>
    <t>Schaffhouse</t>
  </si>
  <si>
    <t>Soleure</t>
  </si>
  <si>
    <t>Thurgovie</t>
  </si>
  <si>
    <t>Vaud</t>
  </si>
  <si>
    <t>Valais</t>
  </si>
  <si>
    <t>Zoug</t>
  </si>
  <si>
    <t>Zurich</t>
  </si>
  <si>
    <t>Emplois par canton</t>
  </si>
  <si>
    <t>Personnel Poste sur 100 employés par canton</t>
  </si>
  <si>
    <t>Appenzell Ausserrhoden</t>
  </si>
  <si>
    <t>Appenzell Innerrhoden</t>
  </si>
  <si>
    <t>Argovia</t>
  </si>
  <si>
    <t>Appenzello interno</t>
  </si>
  <si>
    <t>Appenzello esterno</t>
  </si>
  <si>
    <t>Berna</t>
  </si>
  <si>
    <t>Basilea Campagna</t>
  </si>
  <si>
    <t>Basilea Città</t>
  </si>
  <si>
    <t>Friburgo</t>
  </si>
  <si>
    <t>Ginevra</t>
  </si>
  <si>
    <t>Glarona</t>
  </si>
  <si>
    <t>Grigioni</t>
  </si>
  <si>
    <t>Giura</t>
  </si>
  <si>
    <t>Lucerna</t>
  </si>
  <si>
    <t>Nidvaldo</t>
  </si>
  <si>
    <t>Obvaldo</t>
  </si>
  <si>
    <t>San Gallo</t>
  </si>
  <si>
    <t>Sciaffusa</t>
  </si>
  <si>
    <t>Soletta</t>
  </si>
  <si>
    <t>Svitto</t>
  </si>
  <si>
    <t>Turgovia</t>
  </si>
  <si>
    <t>Ticino</t>
  </si>
  <si>
    <t>Vallese</t>
  </si>
  <si>
    <t>Zugo</t>
  </si>
  <si>
    <t>Zurigo</t>
  </si>
  <si>
    <t>Appenzell Rhodes-Extérieures</t>
  </si>
  <si>
    <t>Appenzell Rhodes-Intérieures</t>
  </si>
  <si>
    <t>Posti di lavoro per Cantone</t>
  </si>
  <si>
    <t>Collaboratori della Posta ogni 100 lavoratori per Cantone</t>
  </si>
  <si>
    <t>Basel-Land</t>
  </si>
  <si>
    <t>Geneva</t>
  </si>
  <si>
    <t>Jobs by canton</t>
  </si>
  <si>
    <t>Swiss Post employees per 100 employees by canton</t>
  </si>
  <si>
    <t>Arbeitsplätze in ländlichen Gemeinden</t>
  </si>
  <si>
    <t>Jobs in rural communities</t>
  </si>
  <si>
    <t>Emplois dans les communes rurales</t>
  </si>
  <si>
    <t>Posti di lavoro nei comuni rurali</t>
  </si>
  <si>
    <t>Anteil aller Arbeitsplätze</t>
  </si>
  <si>
    <t>Quota di tutti i posti di lavoro</t>
  </si>
  <si>
    <t>Part de tous les emplois</t>
  </si>
  <si>
    <t>Share of all jobs</t>
  </si>
  <si>
    <t>3) Valeurs annuelles moyennes</t>
  </si>
  <si>
    <t>1, 2, 3, 5, 6</t>
  </si>
  <si>
    <t>5) Die Definition der ländlichen Gemeinden stützt sich auf die Räumlichen Typologien des Bundesamt für Statistik BFS.</t>
  </si>
  <si>
    <t>5) La définition des communautés rurales est basée sur les typologies territoriales de l'Office fédéral de la statistique (OFS)</t>
  </si>
  <si>
    <t>5) La definizione delle comunità rurali si basa sulle tipologie territoriali dell' Ufficio federale di statistica (UST)</t>
  </si>
  <si>
    <t>5) The definition of rural communities is based on the territorial typologies of the Federal Statistical Office (FSO)</t>
  </si>
  <si>
    <t>3) Valori medi annuali.</t>
  </si>
  <si>
    <t>1) Excluding trainees.</t>
  </si>
  <si>
    <t>3) Annual averages.</t>
  </si>
  <si>
    <t>2, 4</t>
  </si>
  <si>
    <t>1, 3, 4</t>
  </si>
  <si>
    <t>Beneficiaries of parental leave</t>
  </si>
  <si>
    <t>Bénéficiaires du congé parental</t>
  </si>
  <si>
    <t>Beneficiari del congedo parentale</t>
  </si>
  <si>
    <t>% des Durchschnittsbestandes an Personen im Monatslohn</t>
  </si>
  <si>
    <t>1) Comprend les personnes en congé de maternité, en congé parental, en congé d'accouchement, en congé de maternité et en adoption.</t>
  </si>
  <si>
    <t>1) Comprende le persone in congedo di maternità, congedo parentale, congedo per parto, congedo di maternità e adozione.</t>
  </si>
  <si>
    <t>1) Includes persons on maternity leave, parental leave, childbirth, maternity leave and adoption.</t>
  </si>
  <si>
    <t>1) Umfasst Personen in Elternschaft aufgrund von Mutterschutz, Elternurlaub, Geburt, Mutterschaftsurlaub und Adoption</t>
  </si>
  <si>
    <t>Personalzufriedenheit, Motivation und Engagement</t>
  </si>
  <si>
    <t>Satisfaction du personnel</t>
  </si>
  <si>
    <t>Satisfaction du personnel, motivation et engagement</t>
  </si>
  <si>
    <t>Indice</t>
  </si>
  <si>
    <t>Situation professionnelle</t>
  </si>
  <si>
    <t>Soddisfazione del personale</t>
  </si>
  <si>
    <t>Soddisfazione del personale, motivazione e impegno</t>
  </si>
  <si>
    <t>Impegno</t>
  </si>
  <si>
    <t>Situazione lavorativa</t>
  </si>
  <si>
    <t>Employee satisfaction</t>
  </si>
  <si>
    <t>Employee satisfaction, motivation and commitment</t>
  </si>
  <si>
    <t>Commitment</t>
  </si>
  <si>
    <t>Unit fitness</t>
  </si>
  <si>
    <t>Work situation</t>
  </si>
  <si>
    <t>Net response rate to survey</t>
  </si>
  <si>
    <t>Percentuale netta di questionari restituiti</t>
  </si>
  <si>
    <t>2) Die Dimension wurde erstmals in der Personalumfrage 2006 erfasst.</t>
  </si>
  <si>
    <t>1, 2, 3</t>
  </si>
  <si>
    <t>1) Poiché il sondaggio del personale è stato completamente rielaborato nel 2009, non è possibile confrontare i risultati con quelli ottenuti negli anni precedenti.</t>
  </si>
  <si>
    <t>2) Questo aspetto è stato rilevato per la prima volta in occasione del sondaggio del personale 2006.</t>
  </si>
  <si>
    <t>1) The employee survey was redesigned in 2009. The results cannot be compared with previous years.</t>
  </si>
  <si>
    <t>2) These aspects were covered for the first time in the employee survey 2006.</t>
  </si>
  <si>
    <t>Apprentis</t>
  </si>
  <si>
    <t>Gestionnaire de commerce de détail</t>
  </si>
  <si>
    <t>Agent(e) relation client</t>
  </si>
  <si>
    <t>Employé(e) de commerce</t>
  </si>
  <si>
    <t>Stagiaire commerce</t>
  </si>
  <si>
    <t>Logisticien/ne CFC distribution</t>
  </si>
  <si>
    <t>Logisticien/ne AFP distribution</t>
  </si>
  <si>
    <t>Logisticien/ne CFC stockage</t>
  </si>
  <si>
    <t>Conducteur/trice de véhicules lourds</t>
  </si>
  <si>
    <t>Informaticien/ne</t>
  </si>
  <si>
    <t>Médiamaticien/ne</t>
  </si>
  <si>
    <t>Automaticien/ne</t>
  </si>
  <si>
    <t>Spécialiste petite enfance</t>
  </si>
  <si>
    <t>Taux de formation</t>
  </si>
  <si>
    <t>Embauche de personnes en formation</t>
  </si>
  <si>
    <t>Part des personnes en formation embauchées</t>
  </si>
  <si>
    <t>Personale in formazione</t>
  </si>
  <si>
    <t>impiegati/e del commercio al dettaglio</t>
  </si>
  <si>
    <t>operatori/trici per la comunicazione con la clientela</t>
  </si>
  <si>
    <t>impiegati/e di commercio</t>
  </si>
  <si>
    <t>stagisti di commercio</t>
  </si>
  <si>
    <t>impiegati/e in logistica AFC Recapito</t>
  </si>
  <si>
    <t>addetti/e alla logistica CFP Recapito</t>
  </si>
  <si>
    <t>impiegati/e in logistica AFC Magazzino</t>
  </si>
  <si>
    <t>autisti di veicoli pesanti AFC</t>
  </si>
  <si>
    <t>informatici/che</t>
  </si>
  <si>
    <t>mediamatici/che</t>
  </si>
  <si>
    <t>operatori/trici in automatica</t>
  </si>
  <si>
    <t>operatori/trici di edifici e infrastrutture AFC</t>
  </si>
  <si>
    <t>Percentuale persone in formazione</t>
  </si>
  <si>
    <t>Assunzioni di persone in formazione</t>
  </si>
  <si>
    <t>Quota di persone in formazione assunte</t>
  </si>
  <si>
    <t>Retail employee</t>
  </si>
  <si>
    <t>Call center agent</t>
  </si>
  <si>
    <t>Commercial employee</t>
  </si>
  <si>
    <t>Commercial apprenticeship</t>
  </si>
  <si>
    <t>EFZ distribution logistics technician</t>
  </si>
  <si>
    <t>EBA distribution logistics technician</t>
  </si>
  <si>
    <t>EFZ warehouse logistics technician</t>
  </si>
  <si>
    <t>EFZ truck driver</t>
  </si>
  <si>
    <t>IT technician</t>
  </si>
  <si>
    <t>Mediamatics technician</t>
  </si>
  <si>
    <t>Automation technician</t>
  </si>
  <si>
    <t>Operation maintenance employee</t>
  </si>
  <si>
    <t>Child carer</t>
  </si>
  <si>
    <t>Ratio of trainees to employees</t>
  </si>
  <si>
    <t>Newly recruited trainees</t>
  </si>
  <si>
    <t>Percentage of trainees taken on</t>
  </si>
  <si>
    <t>Learning personnel</t>
  </si>
  <si>
    <t>Relève</t>
  </si>
  <si>
    <t>Programme Trainee</t>
  </si>
  <si>
    <t>Stagiaires</t>
  </si>
  <si>
    <t>Nuove leve</t>
  </si>
  <si>
    <t>Young talent</t>
  </si>
  <si>
    <t>Trainee programme</t>
  </si>
  <si>
    <t>Interns</t>
  </si>
  <si>
    <t>Participants</t>
  </si>
  <si>
    <t>Job center seminars</t>
  </si>
  <si>
    <t>Partecipanti</t>
  </si>
  <si>
    <t>Seminari del centro Mercato del lavoro</t>
  </si>
  <si>
    <t>Parts de marché</t>
  </si>
  <si>
    <t>Quote di mercato</t>
  </si>
  <si>
    <t>Market shares</t>
  </si>
  <si>
    <t>Import und Export von Mail</t>
  </si>
  <si>
    <t>Import und Export von Kurier, Express und Pakete</t>
  </si>
  <si>
    <t>Import and export of mail</t>
  </si>
  <si>
    <t>Import and export of courier, express and parcels</t>
  </si>
  <si>
    <t>Parcels</t>
  </si>
  <si>
    <t>Deposit-taking business</t>
  </si>
  <si>
    <t>Regional passenger transport in accordance with Swiss Passenger Transport Act (PBG)</t>
  </si>
  <si>
    <t>Regionaler Personenverkehr nach Personenbeförderungsgesetz (PBG)</t>
  </si>
  <si>
    <t>1) As of 2012, Swiss Post International no longer exists as an independent segment. The figures were transferred to the Group units PostMail and PostLogistics on 1 January 2012.</t>
  </si>
  <si>
    <t>2) Previous year figures adjusted</t>
  </si>
  <si>
    <t>3) Deposit-taking business comprises the receipt of customer deposits.</t>
  </si>
  <si>
    <t>4) 2013 provisional actual figure (Nov. 2013). Previous years adjusted following transfer to PostFinance Ltd at end of June 2013.</t>
  </si>
  <si>
    <t>7) From 2014 the TNT volumes are no longer included in the market share calculation, so that a match exists with the quantities shown. The year 2013 has additionally been presented for comparison purposes. The figures from 2005 to 2012 are not comparable.</t>
  </si>
  <si>
    <t>8) Market share figures for the deposit-taking business at PostFinance have no longer been recorded since 1 January 2016.</t>
  </si>
  <si>
    <t>5) Absoluter Marktanteil, d.h. Umsatzvolumen PostAuto am Marktvolumen (Umsatz)</t>
  </si>
  <si>
    <t>5) Absolute market share, i.e. PostBus sales volume as percentage of market volume (turnover).</t>
  </si>
  <si>
    <t>6) Between 2010 an 2013: including private customers under PostNet</t>
  </si>
  <si>
    <t>9) The value of the current reporting year is provisional.</t>
  </si>
  <si>
    <t>9) Wert des aktuellen Berichtsjahres gilt provisorisch.</t>
  </si>
  <si>
    <t>Importation et exportation de courrier</t>
  </si>
  <si>
    <t>Colis</t>
  </si>
  <si>
    <t>Importation et exportation de coursier, express et colis</t>
  </si>
  <si>
    <t>Opérations passives</t>
  </si>
  <si>
    <t>Transports régionaux de voyageurs en vertu de la loi sur le transport de voyageurs (LTV)</t>
  </si>
  <si>
    <t>1) Depuis 2012, Swiss Post International ne constitue plus un segment autonome. Les valeurs la concernant ont été répercutées sur les unités d'affaires PostMail et PostLogistics à partir du 1er janvier 2012.</t>
  </si>
  <si>
    <t>3) Les opérations passives comprennent la prise en charge des fonds des clients.</t>
  </si>
  <si>
    <t>4) Valeur effective 2013 provisoire (novembre 2013); exercices précédents ajustés après le changement de raison sociale en PostFinance SA fin juin 2013.</t>
  </si>
  <si>
    <t>6) Entre 2010 à et avec 2013: y compris les clients privés gérés par RéseauPostal.</t>
  </si>
  <si>
    <t>9) La valeur de l'année de référence actuelle est provisoire.</t>
  </si>
  <si>
    <t>Importazione ed esportazione di posta</t>
  </si>
  <si>
    <t>Pacchi</t>
  </si>
  <si>
    <t>Importazione ed esportazione di servici di corriere, espresso e pacchi</t>
  </si>
  <si>
    <t>Operazioni passive</t>
  </si>
  <si>
    <t>Traffico regionale viaggiatori conf. a legge federale sul trasporto di viaggiatori (LTV)</t>
  </si>
  <si>
    <t>4) Valore effettivo 2013 provvisorio (nov. 2013), anni precedenti adattati in seguito al cambiamento della ragione sociale in PostFinance SA a fine giugno 2013</t>
  </si>
  <si>
    <t>8) Il rilevamento della quota di mercato operazioni passive di PostFinance è stato soppresso a partire dal 1o gennaio 2016.</t>
  </si>
  <si>
    <t>6) Tra il 2010 e il 2013: incl. clienti privati sotto la responsabilità di RetePostale</t>
  </si>
  <si>
    <t>9) Il valore dell' anno base corrente è provvisorio.</t>
  </si>
  <si>
    <t>Finanziamento</t>
  </si>
  <si>
    <t>Totale di bilancio</t>
  </si>
  <si>
    <t>depositi dei clienti PostFinance</t>
  </si>
  <si>
    <t>percentuale del totale di bilancio</t>
  </si>
  <si>
    <t>Capitale proprio</t>
  </si>
  <si>
    <t>Financing</t>
  </si>
  <si>
    <t>Total assets</t>
  </si>
  <si>
    <t>PostFinance customer deposits</t>
  </si>
  <si>
    <t>Share of total assets</t>
  </si>
  <si>
    <t>Equity</t>
  </si>
  <si>
    <t>Financement</t>
  </si>
  <si>
    <t>Total du bilan</t>
  </si>
  <si>
    <t>Fonds des clients PostFinance</t>
  </si>
  <si>
    <t>Part au total du bilan</t>
  </si>
  <si>
    <t>Fonds propres</t>
  </si>
  <si>
    <t>Kundengelder PostFinance</t>
  </si>
  <si>
    <t>Anteil an Bilanzsumme</t>
  </si>
  <si>
    <t>Cash flow and investments</t>
  </si>
  <si>
    <t>Investments</t>
  </si>
  <si>
    <t>Investment property</t>
  </si>
  <si>
    <t>Degree of self-financed investment</t>
  </si>
  <si>
    <t>Other tangible fixed assets, intangible assets</t>
  </si>
  <si>
    <t>Operating property</t>
  </si>
  <si>
    <t>Participations</t>
  </si>
  <si>
    <t>übrige Sachanlagen, immatrielle Anlagen</t>
  </si>
  <si>
    <t>Betriebsliegenschaften</t>
  </si>
  <si>
    <t>Cash-flow et investissements</t>
  </si>
  <si>
    <t>Investissements</t>
  </si>
  <si>
    <t>Autres immobilisations corporelles, immobilisations incorporelles</t>
  </si>
  <si>
    <t>Immeubles de placement</t>
  </si>
  <si>
    <t>Ratio des investissements autofinancés</t>
  </si>
  <si>
    <t>Cash flow e investimenti</t>
  </si>
  <si>
    <t>Investimenti</t>
  </si>
  <si>
    <t>altre immobilizzazioni materiali e immateriali</t>
  </si>
  <si>
    <t>stabilimenti</t>
  </si>
  <si>
    <t>immobili mantenuti come immobilizzazioni finanziarie</t>
  </si>
  <si>
    <t>partecipazioni</t>
  </si>
  <si>
    <t>Quota di investimenti autofinanziati</t>
  </si>
  <si>
    <t>Beteiligungen</t>
  </si>
  <si>
    <t>Inland Priority</t>
  </si>
  <si>
    <t>Inland Economy</t>
  </si>
  <si>
    <t>Abgeschlossenes Auftragsvolumen</t>
  </si>
  <si>
    <t>eigene</t>
  </si>
  <si>
    <t>gemietete</t>
  </si>
  <si>
    <t>angemietete Fläche</t>
  </si>
  <si>
    <t>Evolution des volumes</t>
  </si>
  <si>
    <t>Lettres adressées</t>
  </si>
  <si>
    <t>Envois prioritaires</t>
  </si>
  <si>
    <t>Envois non prioritaires</t>
  </si>
  <si>
    <t>Envois non adressés</t>
  </si>
  <si>
    <t>Journaux</t>
  </si>
  <si>
    <t>Lettres, exportation</t>
  </si>
  <si>
    <t>Lettres, importation</t>
  </si>
  <si>
    <t>Journaux, exportation</t>
  </si>
  <si>
    <t>Journaux, importation</t>
  </si>
  <si>
    <t>domestiques Economy</t>
  </si>
  <si>
    <t>domestiques Priority</t>
  </si>
  <si>
    <t>Exportation</t>
  </si>
  <si>
    <t>Importation</t>
  </si>
  <si>
    <t>Swiss-Express clients commerciaux</t>
  </si>
  <si>
    <t>Pages scannées (Document Solutions)</t>
  </si>
  <si>
    <t>Cartes personnalisées (Cards)</t>
  </si>
  <si>
    <t>Cartes non personnalisées (Cards)</t>
  </si>
  <si>
    <t>Envois produits (Document Output)</t>
  </si>
  <si>
    <t>Volume des mandats clôturés</t>
  </si>
  <si>
    <t>Versements</t>
  </si>
  <si>
    <t>Nombres de comptes clients</t>
  </si>
  <si>
    <t>Nombre de transactions</t>
  </si>
  <si>
    <t>Adhérents e-finance</t>
  </si>
  <si>
    <t>Volume des fonds (fonds PostFinance sans fonds émis par des tiers)</t>
  </si>
  <si>
    <t>Volume des fonds (émis par PostFinance et par des tiers)</t>
  </si>
  <si>
    <t>Volume des prêts clients commerciaux</t>
  </si>
  <si>
    <t>Volume des hypothèques clients privés</t>
  </si>
  <si>
    <t>Nombre de voyageurs</t>
  </si>
  <si>
    <t>Prestation annuelle</t>
  </si>
  <si>
    <t>Véhicules</t>
  </si>
  <si>
    <t>Réseau CarPostal</t>
  </si>
  <si>
    <t>Immeubles</t>
  </si>
  <si>
    <t>propres</t>
  </si>
  <si>
    <t>loués</t>
  </si>
  <si>
    <t>Surface gérée</t>
  </si>
  <si>
    <t>Surface louée</t>
  </si>
  <si>
    <t>Produits locatifs internes</t>
  </si>
  <si>
    <t>Produits locatifs externes</t>
  </si>
  <si>
    <t>Projets en cours</t>
  </si>
  <si>
    <t xml:space="preserve">Contacts User Help Desk </t>
  </si>
  <si>
    <t>Appareils gérés</t>
  </si>
  <si>
    <t>Volume de données sauvegardées par année</t>
  </si>
  <si>
    <t>Taux de résolution à la 1re intervention</t>
  </si>
  <si>
    <t>Assistance</t>
  </si>
  <si>
    <t>Lettere indirizzate</t>
  </si>
  <si>
    <t>Invii prioritari</t>
  </si>
  <si>
    <t>Invii non prioritari</t>
  </si>
  <si>
    <t>Invii non indirizzati</t>
  </si>
  <si>
    <t>Giornali</t>
  </si>
  <si>
    <t>Lettere export</t>
  </si>
  <si>
    <t>Lettere import</t>
  </si>
  <si>
    <t>Giornali export</t>
  </si>
  <si>
    <t>Giornali import</t>
  </si>
  <si>
    <t>domestici Priority</t>
  </si>
  <si>
    <t>domestici Economy</t>
  </si>
  <si>
    <t>Swiss-Express clienti commerciali</t>
  </si>
  <si>
    <t>Pagine scansionate (Document Solutions)</t>
  </si>
  <si>
    <t>Carte personalizzate (Cards)</t>
  </si>
  <si>
    <t>Carte non personalizzate (Cards)</t>
  </si>
  <si>
    <t>Invii prodotti (Document Output)</t>
  </si>
  <si>
    <t>Volume di contratti conclusi</t>
  </si>
  <si>
    <t>Fatturato netto altri articoli di marca</t>
  </si>
  <si>
    <t>Accettazione versamenti</t>
  </si>
  <si>
    <t>Numero di conti dei clienti</t>
  </si>
  <si>
    <t>Transazioni</t>
  </si>
  <si>
    <t>Utenti e-finance</t>
  </si>
  <si>
    <t>Volume fondi (PostFinance Fonds senza fondi emessi da terzi)</t>
  </si>
  <si>
    <t>Volume fondi (PostFinance Fonds e fondi emessi da terzi)</t>
  </si>
  <si>
    <t>Volume prestiti alla clientela commerciale</t>
  </si>
  <si>
    <t>Volume ipoteche alla clientela privata</t>
  </si>
  <si>
    <t>Viaggiatori</t>
  </si>
  <si>
    <t>Prestazione annua</t>
  </si>
  <si>
    <t>Veicoli</t>
  </si>
  <si>
    <t>Rete di AutoPostale</t>
  </si>
  <si>
    <t>Immobili</t>
  </si>
  <si>
    <t>Superficie gestita</t>
  </si>
  <si>
    <t>Reddito da locazioni interno</t>
  </si>
  <si>
    <t>Reddito da locazioni esterno</t>
  </si>
  <si>
    <t>Volume investimenti</t>
  </si>
  <si>
    <t>Volume manutenzioni</t>
  </si>
  <si>
    <t>Progetti in corso</t>
  </si>
  <si>
    <t xml:space="preserve">Contatti User Help Desk </t>
  </si>
  <si>
    <t>Apparecchi sotto assistenza</t>
  </si>
  <si>
    <t>Quantità di applicazioni diverse</t>
  </si>
  <si>
    <t>Tasso di risoluzione immediata</t>
  </si>
  <si>
    <t>Missioni di supporto</t>
  </si>
  <si>
    <t>di proprietà</t>
  </si>
  <si>
    <t>in affitto</t>
  </si>
  <si>
    <t>Superficie in locazione</t>
  </si>
  <si>
    <t>Addressed letters</t>
  </si>
  <si>
    <t>Priority items</t>
  </si>
  <si>
    <t>Non-priority items</t>
  </si>
  <si>
    <t>Unaddressed items</t>
  </si>
  <si>
    <t>Newspapers</t>
  </si>
  <si>
    <t>Letter exports</t>
  </si>
  <si>
    <t>Letter imports</t>
  </si>
  <si>
    <t>Newspaper exports</t>
  </si>
  <si>
    <t>Newspaper imports</t>
  </si>
  <si>
    <t>Domestic Priority</t>
  </si>
  <si>
    <t>Domestic Economy</t>
  </si>
  <si>
    <t>Exports</t>
  </si>
  <si>
    <t>Imports</t>
  </si>
  <si>
    <t>Swiss Express, business customers</t>
  </si>
  <si>
    <t>Scanned pages (Document Solutions)</t>
  </si>
  <si>
    <t>Personalized cards (Cards)</t>
  </si>
  <si>
    <t>Non-personalized cards (Cards)</t>
  </si>
  <si>
    <t>Consignments produced (Document Output)</t>
  </si>
  <si>
    <t>Completed order volumes</t>
  </si>
  <si>
    <t>Inpayments accepted</t>
  </si>
  <si>
    <t>Number of customer accounts</t>
  </si>
  <si>
    <t>Number of transactions</t>
  </si>
  <si>
    <t>E-finance subscribers</t>
  </si>
  <si>
    <t>Fund volume (PostFinance Fonds excl. third-party funds)</t>
  </si>
  <si>
    <t>Fund volume (PostFinance Fonds and third-party funds)</t>
  </si>
  <si>
    <t>Volume of loans to business customers</t>
  </si>
  <si>
    <t>Volume of mortgages for private customers</t>
  </si>
  <si>
    <t>Number of passengers</t>
  </si>
  <si>
    <t>Vehicle kilometres</t>
  </si>
  <si>
    <t>Vehicles</t>
  </si>
  <si>
    <t>PostBus network</t>
  </si>
  <si>
    <t>Properties</t>
  </si>
  <si>
    <t>Managed space</t>
  </si>
  <si>
    <t>Investment value</t>
  </si>
  <si>
    <t>Rental income – internal</t>
  </si>
  <si>
    <t>Rental income – external</t>
  </si>
  <si>
    <t>Investment volume</t>
  </si>
  <si>
    <t>Maintenance volume</t>
  </si>
  <si>
    <t>Current projects</t>
  </si>
  <si>
    <t xml:space="preserve">Contacts on User Help Desk </t>
  </si>
  <si>
    <t>Monitored items of equipment</t>
  </si>
  <si>
    <t>Number of different applications</t>
  </si>
  <si>
    <t>Volume of data saved per year</t>
  </si>
  <si>
    <t>First-level resolution rate</t>
  </si>
  <si>
    <t>Support calls</t>
  </si>
  <si>
    <t>Owned</t>
  </si>
  <si>
    <t>Rented</t>
  </si>
  <si>
    <t>Rented space</t>
  </si>
  <si>
    <t>Volume trends</t>
  </si>
  <si>
    <t>Evoluzione dei volumi</t>
  </si>
  <si>
    <t>Courier Export (über TNT Swiss Post AG)</t>
  </si>
  <si>
    <t>Courrier rapide, exportation (via TNT Swiss Post SA)</t>
  </si>
  <si>
    <t>Corriere export (via TNT Swiss Post AG)</t>
  </si>
  <si>
    <t>Courier exports (via TNT Swiss Post AG)</t>
  </si>
  <si>
    <t>Immobilier</t>
  </si>
  <si>
    <t>Real Estate</t>
  </si>
  <si>
    <t>Anzahl in Tausend</t>
  </si>
  <si>
    <t>Anzahl pro Monat</t>
  </si>
  <si>
    <t>mln di invii</t>
  </si>
  <si>
    <t>numero in migliaia</t>
  </si>
  <si>
    <t>mln di m²</t>
  </si>
  <si>
    <t>numero per mese</t>
  </si>
  <si>
    <t>gigabyte</t>
  </si>
  <si>
    <t>numero per anno</t>
  </si>
  <si>
    <t>mln di km</t>
  </si>
  <si>
    <t>clienti</t>
  </si>
  <si>
    <t>Millions of items</t>
  </si>
  <si>
    <t>In millions</t>
  </si>
  <si>
    <t>In thousands</t>
  </si>
  <si>
    <t>Customers</t>
  </si>
  <si>
    <t>In millions of km</t>
  </si>
  <si>
    <t>In millions of m²</t>
  </si>
  <si>
    <t>Number per month</t>
  </si>
  <si>
    <t>Gigabytes</t>
  </si>
  <si>
    <t>Number per year</t>
  </si>
  <si>
    <t>Millions</t>
  </si>
  <si>
    <t>Gigaoctets</t>
  </si>
  <si>
    <t>Nombre par an</t>
  </si>
  <si>
    <t>Nombre par mois</t>
  </si>
  <si>
    <t>Millions de m2</t>
  </si>
  <si>
    <t>Millions de kilomètres</t>
  </si>
  <si>
    <t>Kilomètres</t>
  </si>
  <si>
    <t>clients</t>
  </si>
  <si>
    <t>Milliers</t>
  </si>
  <si>
    <t>Volume of payment transactions</t>
  </si>
  <si>
    <t>Inpayments and transfers</t>
  </si>
  <si>
    <t>E-finance transfers (electronic channel)</t>
  </si>
  <si>
    <t>EFT/POS transfers (retail, post offices, agencies)</t>
  </si>
  <si>
    <t>Paper transfers</t>
  </si>
  <si>
    <t>Miscellaneous transfers</t>
  </si>
  <si>
    <t>Inpayments</t>
  </si>
  <si>
    <t>Outpayments</t>
  </si>
  <si>
    <t>Withdrawals at Postomats (excl. Bancomats)</t>
  </si>
  <si>
    <t>Outpayments at post offices/agencies</t>
  </si>
  <si>
    <t>OSR, OSR+, OS</t>
  </si>
  <si>
    <t>Outpayment order</t>
  </si>
  <si>
    <t>Cheque</t>
  </si>
  <si>
    <t>Cash outpayment order</t>
  </si>
  <si>
    <t>Volume traffico dei pagamenti</t>
  </si>
  <si>
    <t>Volume di versamenti e bonifici</t>
  </si>
  <si>
    <t>Bonifici e-finance (canale elettronico)</t>
  </si>
  <si>
    <t>Bonifici EFT/POS (negozi, uffici postali e agenzie)</t>
  </si>
  <si>
    <t>Bonifici su carta</t>
  </si>
  <si>
    <t>Bonifici (altro)</t>
  </si>
  <si>
    <t>Versamenti</t>
  </si>
  <si>
    <t>Volume di pagamenti</t>
  </si>
  <si>
    <t>Prelievi al Postomat (Bancomat escluso)</t>
  </si>
  <si>
    <t>Pagamenti presso uffici postali / agenzie</t>
  </si>
  <si>
    <t>PPR, PPR+, PP</t>
  </si>
  <si>
    <t>Vaglia di pagamento</t>
  </si>
  <si>
    <t>Assegni</t>
  </si>
  <si>
    <t>Vaglia postale</t>
  </si>
  <si>
    <t>Volume trafic des paiements</t>
  </si>
  <si>
    <t>Volume des versements et des virements</t>
  </si>
  <si>
    <t>Virements e-finance (canal électronique)</t>
  </si>
  <si>
    <t>Virements EFT/POS (commerces, offices de poste, agences)</t>
  </si>
  <si>
    <t>Virements papier</t>
  </si>
  <si>
    <t>Virements divers</t>
  </si>
  <si>
    <t>Montant</t>
  </si>
  <si>
    <t>Volume des paiements</t>
  </si>
  <si>
    <t>Retraits au Postomat (sans Bancomat)</t>
  </si>
  <si>
    <t>Paiements dans les offices de poste/agences</t>
  </si>
  <si>
    <t>BPR, BPR+, BP</t>
  </si>
  <si>
    <t>Mandats de paiement</t>
  </si>
  <si>
    <t>Chèques</t>
  </si>
  <si>
    <t>Mandats en espèces</t>
  </si>
  <si>
    <t>Einzahlungs- und Überweisungsvolumen</t>
  </si>
  <si>
    <t>Auszahlungsvolumen</t>
  </si>
  <si>
    <t>Headcount at Swiss Post Group</t>
  </si>
  <si>
    <t>permanente</t>
  </si>
  <si>
    <t>temporaneo</t>
  </si>
  <si>
    <t xml:space="preserve">temporary </t>
  </si>
  <si>
    <t>permanent</t>
  </si>
  <si>
    <t>temporaire</t>
  </si>
  <si>
    <t>Catena di distribuzione</t>
  </si>
  <si>
    <t>Numero di fornitori (Svizzera)</t>
  </si>
  <si>
    <t>Numero di fornitori (estero)</t>
  </si>
  <si>
    <t>Nombre de fournisseurs Suisse</t>
  </si>
  <si>
    <t>Nombre de fournisseurs Etranger</t>
  </si>
  <si>
    <t>Volume d'achats du groupe</t>
  </si>
  <si>
    <t>Chaîne de livraison</t>
  </si>
  <si>
    <t>Supply chain</t>
  </si>
  <si>
    <t>Number of suppliers in Switzerland</t>
  </si>
  <si>
    <t>Number of suppliers abroad</t>
  </si>
  <si>
    <t>Group procurement volumes</t>
  </si>
  <si>
    <t>1</t>
  </si>
  <si>
    <t>Soddisfazione dei clienti</t>
  </si>
  <si>
    <t>Clienti privati</t>
  </si>
  <si>
    <t>Clienti commerciali</t>
  </si>
  <si>
    <t>Privatkunden</t>
  </si>
  <si>
    <t>Freizeitreisende</t>
  </si>
  <si>
    <t>Petites et moyennes entreprises</t>
  </si>
  <si>
    <t>Piccole e medie imprese</t>
  </si>
  <si>
    <t>Turisti</t>
  </si>
  <si>
    <t>Pendolari</t>
  </si>
  <si>
    <t>Satisfaction des clients</t>
  </si>
  <si>
    <t>Clients privés</t>
  </si>
  <si>
    <t>Voyageurs de loisirs</t>
  </si>
  <si>
    <t>Clients pendulaires</t>
  </si>
  <si>
    <t>Clients commerciaux</t>
  </si>
  <si>
    <t>Customer satisfaction</t>
  </si>
  <si>
    <t>Private customers</t>
  </si>
  <si>
    <t>Small and medium-sized enterprises</t>
  </si>
  <si>
    <t>Leisure travellers</t>
  </si>
  <si>
    <t>Commuters</t>
  </si>
  <si>
    <t>Business customers</t>
  </si>
  <si>
    <t>Kleine und mittlere Unternehmen</t>
  </si>
  <si>
    <t>102 – Allgemeine Standardangaben</t>
  </si>
  <si>
    <t>Consommation énergétique au sein et en dehors de l'organisation</t>
  </si>
  <si>
    <t>Altre cifre sull'energia</t>
  </si>
  <si>
    <t>202-1 – Ratios du salaire d'entrée de base par sexe par rapport au salaire minimum local sur les principaux sites opérationnels</t>
  </si>
  <si>
    <t>Demografia (distribuzione in base all'età)</t>
  </si>
  <si>
    <t>205-1 – Sites qui ont fait l'objet d'une évaluation des risques de corruption</t>
  </si>
  <si>
    <t>Rapporto d'impiego</t>
  </si>
  <si>
    <t>302-1 – Consommation énergétique au sein de l'organisation</t>
  </si>
  <si>
    <t>302-2 – Consommation énergétique en dehors de l'organisation</t>
  </si>
  <si>
    <t>% de l'effectif moyen avec salaire mensuel</t>
  </si>
  <si>
    <t>% dell'organico medio con salario mensile</t>
  </si>
  <si>
    <t>Jours d'absence par personne</t>
  </si>
  <si>
    <t>305-2 – Emissions indirectes de gaz à effet de serre (Scope 2) liées à l'énergie</t>
  </si>
  <si>
    <t>giorni all'anno</t>
  </si>
  <si>
    <t>305-6 – Emissions de substances appauvrissant la couche d'ozone (SAO)</t>
  </si>
  <si>
    <t>Millions d'unités</t>
  </si>
  <si>
    <t>Indemnités versées au président du Conseil d'administration</t>
  </si>
  <si>
    <t>Indennità a Presidenti di Consigli d'amministrazione</t>
  </si>
  <si>
    <t>Diesel (all'interno della Posta)</t>
  </si>
  <si>
    <t>Benzina (all'interno della Posta)</t>
  </si>
  <si>
    <t>Gas naturale (all'interno della Posta)</t>
  </si>
  <si>
    <t>quota biogas da fonti rinnovabili (all'interno della Posta)</t>
  </si>
  <si>
    <t>Energia elettrica come carburante (all'interno della Posta)</t>
  </si>
  <si>
    <t>Part d'électricité renouvelable comme carburant (au sein de la Poste)</t>
  </si>
  <si>
    <t>quota energia elettrica, carburante da fonti rinnovabili (all'interno della Posta)</t>
  </si>
  <si>
    <t>Sites d'entreprise</t>
  </si>
  <si>
    <t>Idrogeno (all'interno della Posta)</t>
  </si>
  <si>
    <t>Part d'hydrogène renouvelable (au sein de la Poste)</t>
  </si>
  <si>
    <t>Spécialiste de l'entretien CFC</t>
  </si>
  <si>
    <t>Licenciements par l'employeur</t>
  </si>
  <si>
    <t>operatori/trici d'infanzia</t>
  </si>
  <si>
    <t>Absences par suite de maladie ou d'accident</t>
  </si>
  <si>
    <t>Olio combustibile extra leggero (all'interno della Posta)</t>
  </si>
  <si>
    <t>Teleriscaldamento (all'interno della Posta)</t>
  </si>
  <si>
    <t>Level of cover under Swiss Post pension fund in accordance with the Swiss Federal Law on Occupational Old-age, Survivors' and Disability Pension Plans (BVG)</t>
  </si>
  <si>
    <t>Technologies de l'information</t>
  </si>
  <si>
    <t>Tecnologia dell'informazione</t>
  </si>
  <si>
    <t>Emissions indirectes de gaz à effet de serre liées à l'énergie (scope 2)</t>
  </si>
  <si>
    <t>Part d'énergie renouvelable dans les besoins énergétiques (au sein de la Poste)</t>
  </si>
  <si>
    <t>Immeubles d'exploitation</t>
  </si>
  <si>
    <t>dont à l'entreprise</t>
  </si>
  <si>
    <t>Déchets produits dans le cadre d'activités opérationnelles</t>
  </si>
  <si>
    <t>Incremento dell'efficienza energetica dal 2006</t>
  </si>
  <si>
    <t>Taux de réponse net de l'enquête</t>
  </si>
  <si>
    <t>Intensité en CO2 des produits d'exploitation</t>
  </si>
  <si>
    <t>Intensità di CO2 dei ricavi d'esercizio</t>
  </si>
  <si>
    <t>Séminaires de la Bourse de l'emploi</t>
  </si>
  <si>
    <t>Compétitivité de l'unité</t>
  </si>
  <si>
    <t>Salute dell'unità</t>
  </si>
  <si>
    <t>Classe d'âge</t>
  </si>
  <si>
    <t>Incremento dell'efficienza in termini di di CO2 dal 2010</t>
  </si>
  <si>
    <t>Oxydes d'azote (NOx)</t>
  </si>
  <si>
    <t>Valeur d'investissement</t>
  </si>
  <si>
    <t>Valore d'investimento</t>
  </si>
  <si>
    <t>Volume d'investissements</t>
  </si>
  <si>
    <t>Volume d'entretien</t>
  </si>
  <si>
    <t>Nombre d'applications différentes</t>
  </si>
  <si>
    <t>Quantità di dati salvati all'anno</t>
  </si>
  <si>
    <t>1) En adéquation avec le segment 2 dans le rapport financier: l'étranger inclut le trafic transfrontalier.</t>
  </si>
  <si>
    <t>1) Indemnités du Conseil d'administration = honoraires plus prestations accessoires; indemnités de la Direction du groupe = salaire de base plus part variable.</t>
  </si>
  <si>
    <t>1) Dal 1o gennaio 2015 lo sponsoring nel settore economico fa esplicitamente parte dell'attività di sponsoring della Posta.</t>
  </si>
  <si>
    <t>1) Normes, méthodes et coefficients de conversion: protocole GHG, Revised Edition (2004). Les coefficients de conversion sont tirés d'ecoinvent 2.2.</t>
  </si>
  <si>
    <t xml:space="preserve">1) L'électricité renouvelable est inscrite au bilan des émissions de gaz à effet de serre avec le mix énergétique acheté en Suisse. L'électricité certifiée «naturemade star» est inscrite au bilan sans impact sur le climat. </t>
  </si>
  <si>
    <t xml:space="preserve">1) L'energia elettrica rinnovabile è iscritta nel bilancio delle emissioni di gas serra con il mix energetico svizzero. L'energia elettrica certificata «naturemade star» viene iscritta a bilancio con impatto climatico zero. </t>
  </si>
  <si>
    <t>1) Un'unità di personale corrisponde a un impiego a tempo pieno.</t>
  </si>
  <si>
    <t>2) Normes, méthodes et coefficients d'émission: protocole GHG, Revised Edition (2004), ISO 14064–1. L'approche du contrôle financier (Financial Control Approach) a été choisie comme approche de consolidation. Les coefficients d'émission sont tirés d'ecoinvent 2.2.</t>
  </si>
  <si>
    <t>2) Taux de départ global = personnes rétribuées au mois qui ont quitté la Poste au cours d'une année civile, exprimé en pourcentage de l'effectif moyen.</t>
  </si>
  <si>
    <t>2) Tasso complessivo di partenze: complesso delle persone con salario mensile che nel corso di un anno civile hanno lasciato la Posta, espresso in % dell'organico medio</t>
  </si>
  <si>
    <t>3) La valeur ajoutée de l'entreprise (Post Value Added, PVA) s'exprime en valeur absolue (millions de francs) et rend compte de la plus-value dégagée par l'ensemble de l'entreprise ou par un segment. Il y a plus-value lorsque le résultat d'exploitation après impôt est supérieur à la rémunération exigée du capital investi.</t>
  </si>
  <si>
    <t>3) Il Post Value Added (PVA) è un'unità di misura assoluta (in mln di CHF) che indica quale valore aggiunto ha raggiunto l'intera azienda o un segmento. Viene generato del valore aggiunto quando il risultato aziendale adattato alle imposte supera la remunerazione degli interessi del capitale investito.</t>
  </si>
  <si>
    <t>3) L'unité du groupe Swiss Post Solutions n'existant que depuis le 1er octobre 2007, aucune valeur ne peut être présentée pour les années précédentes.</t>
  </si>
  <si>
    <t>3) Poiché l'unità del gruppo Swiss Post Solutions esiste solo dal 1o ottobre 2007, non è possibile indicare nessun valore per gli anni precedenti.</t>
  </si>
  <si>
    <t>4) L'électricité thermique est comprise dans l'électricité des bâtiments.</t>
  </si>
  <si>
    <t>4) Il flusso termico è contenuto nella corrente dell'edificio.</t>
  </si>
  <si>
    <t xml:space="preserve">1) La quantità di CO2 compensata varia a seconda del prezzo di mercato dei certificati d'emissione. I supplementi «pro clima» pagati dai clienti vengono interamente investiti in progetti di compensazione. </t>
  </si>
  <si>
    <t>4) Dall'anno 2012 Swiss Post International non è più un segmento a sé stante. Dal 1o gennaio 2012 i valori sono stati trasferiti alle unità PostMail e PostLogistics.</t>
  </si>
  <si>
    <t>1) L'amélioration de l'efficacité en matière de CO2 est mesurée en tant que variation des équivalents de CO2 par prestation de base au cours de l'exercice en comparaison avec l'année de référence.  La prestation de base est définie de manière différente selon les unités du groupe (envoi, transaction, kilomètre-voyageur/kilomètre, unité de personnel, etc.).</t>
  </si>
  <si>
    <t>1) L'incremento dell'efficienza in termini di CO2 è misurato come variazione degli equivalenti CO2 per ogni servizio di base nell'anno d'esercizio, rispetto all'anno di riferimento.  Il servizio di base è definito in modo diverso a seconda dell'unità (invio, transazione, passeggeri-chilometro/chilometri, unità di personale ecc.).</t>
  </si>
  <si>
    <t>1) Amélioration de l'efficacité énergétique selon le modèle énergétique de la Confédération: est mesurée en tant que variation des besoins énergétiques par prestation de base au cours de l'exercice en comparaison avec l'année de référence. La prestation de base est définie de manière différente selon les unités du groupe (envoi, transaction, kilomètre-voyageur/kilomètre, unité de personnel, etc.).</t>
  </si>
  <si>
    <t>1) Incremento dell'efficienza energetica in base al progetto «La Confederazione: energia esemplare»: è misurato come variazione del fabbisogno energetico per ogni servizio di base nell'anno d'esercizio, rispetto all'anno di riferimento. Il servizio di base è definito in modo diverso a seconda dell'unità (invio, transazione, passeggeri-chilometro/chilometri, unità di personale ecc.).</t>
  </si>
  <si>
    <t>1) Les chiffres des émissions sont calculés à l'aide de coefficients d'émission propres aux prestations de transport et aux différentes sources d'énergie. Ils englobent les étapes préalables de la production d'énergie.</t>
  </si>
  <si>
    <t>1) Le emissioni sono calcolate per mezzo di fattori di emissione derivanti dai trasporti o dal consumo energetico. Esse comprendono anche i livelli precedenti della preparazione dell'energia.</t>
  </si>
  <si>
    <t>2) Degré de couverture conformément à l'art. 44 de l'ordonnance sur la prévoyance professionnelle vieillesse, survivants et invalidité (OPP 2)</t>
  </si>
  <si>
    <t>2) Grado di copertura secondo l'art. 44 dell'Ordinanza sulla previdenza professionale per la vecchiaia, i superstiti e l'invalidità (OPP2)</t>
  </si>
  <si>
    <t>2) Level of cover in accordance with Art. 44 of the Ordinance on Occupational Retirement, Survivors' and Disability Pension Plans (BVV2).</t>
  </si>
  <si>
    <t>2) Un'unità di personale corrisponde a un impiego a tempo pieno.</t>
  </si>
  <si>
    <t xml:space="preserve">2) Normes, méthodes et coefficients d'émission: les coefficients d'émission sont tirés de HBEFA 3.1, Mobitool Version 2010, ecoinvent 2.2 et d'autres sources statistiques. </t>
  </si>
  <si>
    <t>1) Valeur ajoutée = résultat d'exploitation + charges de personnel + amortissements – résultat de la vente d'immobilisations corporelles, d'immobilisations incorporelles et de participations</t>
  </si>
  <si>
    <t>1) Creazione di valore aggiunto = risultato d'esercizio + costi per il personale + ammortamenti – risultato dalla vendita di immobilizzazioni materiali, immateriali e partecipazioni.</t>
  </si>
  <si>
    <t>1) L'enquête auprès du personnel a été remaniée en 2009. Les résultats ne peuvent donc pas être comparés avec ceux des années précédentes.</t>
  </si>
  <si>
    <t>2) Cette dimension a été relevée pour la première fois dans l'enquête auprès du personnel 2006.</t>
  </si>
  <si>
    <t>4) Imposte sull'utile.</t>
  </si>
  <si>
    <t>5) Versamento dell'utile alla Confederazione.</t>
  </si>
  <si>
    <t>Grado di occupazione dal 50% all'89%, complessivo</t>
  </si>
  <si>
    <t>Grado di occupazione dal 50% all'89%, uomini</t>
  </si>
  <si>
    <t>Grado di occupazione dal 50% all'89%, donne</t>
  </si>
  <si>
    <t>Volumi d'acquisto del gruppo</t>
  </si>
  <si>
    <t>1) Dall'anno 2012 Swiss Post International non è più un segmento a sé stante. Dal 1o gennaio 2012 i valori sono stati trasferiti alle unità PostMail e PostLogistics.</t>
  </si>
  <si>
    <t>2) Valeurs de l'exercice précédent ajustées.</t>
  </si>
  <si>
    <t>2) Valori dell'anno precedente adattati.</t>
  </si>
  <si>
    <t>3) Le operazioni passive comprendono l'accettazione di depositi della clientela.</t>
  </si>
  <si>
    <t>5) Transport régional de voyageurs selon la loi sur les chemins de fer; part de marché absolue: chiffre d'affaires de CarPostal par rapport au chiffre d'affaires du marché.</t>
  </si>
  <si>
    <t>5) Traffico regionale viaggiatori in base alla Legge sulle ferrovie, quota di mercato assoluta, ovvero volume d'affari di AutoPostale sul volume di mercato (fatturato)</t>
  </si>
  <si>
    <t>7) Depuis 2014, les volumes de TNT ne sont plus intégrés dans le calcul des parts de marché, de manière à assurer la concordance avec les volumes présentés. L'exercice 2013 est présenté en outre comme valeur de comparaison. Les valeurs de 2005 à 2012 ne peuvent pas être comparées.</t>
  </si>
  <si>
    <t>7) Dal 2014 i volumi TNT non sono più considerati nel calcolo della quota di mercato, in modo che quest'ultima coincida con i volumi presentati. Quale valore di confronto si presenta inoltra il 2013. I valori dal 2005 al 2012 non sono confrontabili.</t>
  </si>
  <si>
    <t>8) Depuis le 1er janvier 2016, la part de marché des opérations passives de PostFinance n'est plus relevée.</t>
  </si>
  <si>
    <t>Lohnspanne</t>
  </si>
  <si>
    <t>Ecart salarial</t>
  </si>
  <si>
    <t>Fascia salariale</t>
  </si>
  <si>
    <t>Salary range</t>
  </si>
  <si>
    <t>5, 6</t>
  </si>
  <si>
    <t>2) ohne VR-Präsident</t>
  </si>
  <si>
    <t>2) sans le président/la présidente</t>
  </si>
  <si>
    <t>2) Presidente escluso</t>
  </si>
  <si>
    <t>2) excluding Chairman</t>
  </si>
  <si>
    <t>4) ohne Konzernleiter/-in</t>
  </si>
  <si>
    <t>4) sans le directeur général/la directrice générale</t>
  </si>
  <si>
    <t>4) direttore/direttrice escluso/a</t>
  </si>
  <si>
    <t>4) excluding CEO</t>
  </si>
  <si>
    <t>3) 2012: Jürg Bucher 8 Monate, Susanne Ruoff 7 Monate, annualisiert CHF 847'581</t>
  </si>
  <si>
    <t>3) 2012: Jürg Bucher 8 mois, Susanne Ruoff 7 mois, annualisation CHF 847'581.</t>
  </si>
  <si>
    <t>3) 2012: Jürg Bucher otto mesi, Susanne Ruoff sette mesi, annualizzato CHF 847'581.</t>
  </si>
  <si>
    <t>3) 2012: Jürg Bucher 8 months, Susanne Ruoff 7 months, annualized CHF 847,581</t>
  </si>
  <si>
    <t>7) Minimallohn nach Gesamtarbeitsvertrag Post für einen 18 Jahre alten Mitarbeitenden ohne abgeschlossene Berufslehre</t>
  </si>
  <si>
    <t>7) Salaire minimal selon la CCT Poste pour un collaborateur de 18 ans n'ayant pas suivi d'apprentissage.</t>
  </si>
  <si>
    <t>7) Salario minimo secondo il Contratto collettivo di lavoro Posta per un collaboratore di 18 anni, senza apprendistato professionale concluso.</t>
  </si>
  <si>
    <t>7) Minimum salary under the Swiss Post collective employment contract for an 18-year-old employee who has not completed vocational training.</t>
  </si>
  <si>
    <t>8) Durchschnittliche Entschädigung Konzernleitungsmitglieder zu Durchschnittslohn Mitarbeitende.</t>
  </si>
  <si>
    <t>8) Indemnités moyennes des membres de la Direction du groupe par rapport au salaire moyen du personnel.</t>
  </si>
  <si>
    <t>8) Indennità medie dei membri della Direzione del gruppo rispetto al salario medio dei collaboratori.</t>
  </si>
  <si>
    <t>8) Average remuneration for members of Executive Management to average salary for employees.</t>
  </si>
  <si>
    <t>Durchschnittliche Entschädigung an Verwaltungsratsmitglieder</t>
  </si>
  <si>
    <t>Indemnités moyennes versées aux membres du Conseil d'administration</t>
  </si>
  <si>
    <t>Indemnités moyennes versées aux membres de la Direction du groupe</t>
  </si>
  <si>
    <t>Durchschnittliche Entschädigung an Konzernleitungsmitglieder</t>
  </si>
  <si>
    <t>Indennità media ai membri della Direzione del gruppo</t>
  </si>
  <si>
    <t>Average remuneration paid to members of Executive Management</t>
  </si>
  <si>
    <t>Average remuneration paid to members of the Board of Directors</t>
  </si>
  <si>
    <t>Indennità media ai membri del Consiglio d'amministrazione</t>
  </si>
  <si>
    <t>Part d'électricité renouvelable (au sein de la Poste)</t>
  </si>
  <si>
    <t>GWh</t>
  </si>
  <si>
    <t>Laufzeiten postalischer Dienstleistungen</t>
  </si>
  <si>
    <t>Verarbeitungszeiten von Finanzdienstleistungen</t>
  </si>
  <si>
    <t>Wartezeiten in Filialen</t>
  </si>
  <si>
    <t>Preisvergleich postalischer Dienstleistungen</t>
  </si>
  <si>
    <t>Briefpostindex wechselkursbereinigt</t>
  </si>
  <si>
    <t>Dänemark</t>
  </si>
  <si>
    <t>Norwegen</t>
  </si>
  <si>
    <t>Finnland</t>
  </si>
  <si>
    <t>Niederlande</t>
  </si>
  <si>
    <t>Belgien</t>
  </si>
  <si>
    <t>Österreich</t>
  </si>
  <si>
    <t>Schweden</t>
  </si>
  <si>
    <t>Irland</t>
  </si>
  <si>
    <t>Grossbritanien</t>
  </si>
  <si>
    <t>Briefpostindex kaufkraftbereinigt</t>
  </si>
  <si>
    <t>Paketpostindex wechselkursbereinigt</t>
  </si>
  <si>
    <t>Paketpostindex kaufkraftbereinigt</t>
  </si>
  <si>
    <t>3) Vorjahreswerte teilweise angepasst.</t>
  </si>
  <si>
    <t>Comparaison des prix des services postaux</t>
  </si>
  <si>
    <t>Temps d'attente dans les filiales</t>
  </si>
  <si>
    <t>Délais de traitement des services financiers</t>
  </si>
  <si>
    <t>Autriche</t>
  </si>
  <si>
    <t>Austria</t>
  </si>
  <si>
    <t>Belgique</t>
  </si>
  <si>
    <t>Belgio</t>
  </si>
  <si>
    <t>Belgium</t>
  </si>
  <si>
    <t>Danemark</t>
  </si>
  <si>
    <t>Danimarca</t>
  </si>
  <si>
    <t>Denmark</t>
  </si>
  <si>
    <t>Finlande</t>
  </si>
  <si>
    <t>Finlandia</t>
  </si>
  <si>
    <t>Finland</t>
  </si>
  <si>
    <t>Royaume-Uni</t>
  </si>
  <si>
    <t>Gran Bretagna</t>
  </si>
  <si>
    <t>United Kingdom</t>
  </si>
  <si>
    <t>Irlande</t>
  </si>
  <si>
    <t>Irlanda</t>
  </si>
  <si>
    <t>Ireland</t>
  </si>
  <si>
    <t>Pays-Bas</t>
  </si>
  <si>
    <t>Paesi Bassi</t>
  </si>
  <si>
    <t>Netherlands</t>
  </si>
  <si>
    <t>Norvège</t>
  </si>
  <si>
    <t>Norvegia</t>
  </si>
  <si>
    <t>Norway</t>
  </si>
  <si>
    <t>Suède</t>
  </si>
  <si>
    <t>Svezia</t>
  </si>
  <si>
    <t>Sweden</t>
  </si>
  <si>
    <t>Indice du prix des lettres corrigé du taux de change</t>
  </si>
  <si>
    <t>Indice du prix des colis corrigé du taux de change</t>
  </si>
  <si>
    <t>Indice della posta-lettere rettificato in base al corso di cambio</t>
  </si>
  <si>
    <t>Indice della posta-pacchi rettificato in base al corso del cambio</t>
  </si>
  <si>
    <t>Letter post index adjusted for exchange rate</t>
  </si>
  <si>
    <t>Letter post index adjusted for purchasing power</t>
  </si>
  <si>
    <t>Parcel post index adjusted for exchange rate</t>
  </si>
  <si>
    <t>Parcel post index adjusted for purchasing power</t>
  </si>
  <si>
    <t>Confronto dei prezzi dei servizi postali</t>
  </si>
  <si>
    <t>Tempi di consegna per i servizi postali</t>
  </si>
  <si>
    <t>Tempi di attesa nelle filiali</t>
  </si>
  <si>
    <t>Tempi di trattamento dei servizi finanziari</t>
  </si>
  <si>
    <t>Price comparison of postal services</t>
  </si>
  <si>
    <t>Delivery times of postal services</t>
  </si>
  <si>
    <t>Queuing times in branches</t>
  </si>
  <si>
    <t>Processing times of financial services</t>
  </si>
  <si>
    <t>3) Previous year figures partly adjusted.</t>
  </si>
  <si>
    <t>Posta A</t>
  </si>
  <si>
    <t>Posta B</t>
  </si>
  <si>
    <t>PostPac PRIORITY</t>
  </si>
  <si>
    <t>PostPac ECONOMY</t>
  </si>
  <si>
    <t>A-Post</t>
  </si>
  <si>
    <t>B-Post</t>
  </si>
  <si>
    <t>PostPac Priority</t>
  </si>
  <si>
    <t>PostPac Economy</t>
  </si>
  <si>
    <t>1) Rechtzeitig beim Empfänger bedeutet bei der A-Post (Priority) am Folgetag und bei der B-Post (Economy) spätestens am dritten Arbeitstag nach Aufgabe.</t>
  </si>
  <si>
    <t>1) Distribué dans les délais au destinataire signifie, pour le courrier A (Priority), le jour ouvrable suivant le dépôt et, pour le courrier B (Economy), au plus tard trois jours ouvrables après le dépôt.</t>
  </si>
  <si>
    <t>Courrier A</t>
  </si>
  <si>
    <t>Courrier B</t>
  </si>
  <si>
    <t>Colis domestiques distribués dans les délais au destinataire</t>
  </si>
  <si>
    <t>Lettres domestiques distribués dans les délais au destinataire</t>
  </si>
  <si>
    <t>Rechtzeitig beim Empfänger ankommende Briefe Inland</t>
  </si>
  <si>
    <t>Rechtzeitig beim Empfänger ankommende Pakete Inland</t>
  </si>
  <si>
    <t>Consegna puntuale dei pacchi domestici al destinatario</t>
  </si>
  <si>
    <t>Consegna puntuale dei lettere domestici al destinatario</t>
  </si>
  <si>
    <t>A Mail</t>
  </si>
  <si>
    <t>B Mail</t>
  </si>
  <si>
    <t>Domestic letters delivered punctually to the recipient</t>
  </si>
  <si>
    <t>Domestic parcels delivered punctually to the recipient</t>
  </si>
  <si>
    <t>1) Punctual delivery means the next day for A Mail (Priority) and no later than the third working day after mailing for B Mail (Economy).</t>
  </si>
  <si>
    <t>Waiting times at the counter until served</t>
  </si>
  <si>
    <t>Wartezeiten am Schalter bis zur Bedienung</t>
  </si>
  <si>
    <t>Part de clients qui attendent moins de 7 minutes</t>
  </si>
  <si>
    <t>Part de clients qui attendent moins de 10 minutes</t>
  </si>
  <si>
    <t>Tempi di attesa allo sportello prima di essere serviti</t>
  </si>
  <si>
    <t>Percentuale dei clienti che attendono fino a 7 minuti</t>
  </si>
  <si>
    <t>Percentuale dei clienti che attendono fino a 10 minuti</t>
  </si>
  <si>
    <t>Taggerechte Verarbeitung von Zahlungsbelegen aus Zahlungsaufträgen</t>
  </si>
  <si>
    <t>1) Taggerechte Verarbeitung: Schriftliche Zahlungsaufträge werden am gleichen Tag verarbeitet, an dem sie per Post in einem der Operations Center von PostFinance eintreffen. Zahlungen in den Filialen werden einen Arbeitstag, nachdem die Einzahlung in einer Filiale getätigt wurde, verarbeitet.</t>
  </si>
  <si>
    <t>Taggerechte Verarbeitung von Zahlungsbelegen von Filialen</t>
  </si>
  <si>
    <t>Taggerechte Verarbeitung von Zahlungsbelegen von Filialen (SCHAPO)</t>
  </si>
  <si>
    <t>Traitement des justificatifs des ordres de paiement le jour prévu</t>
  </si>
  <si>
    <t>Traitement des justificatifs des filiales le jour prévu</t>
  </si>
  <si>
    <t>Traitement des justificatifs des filiales (SCHAPO) le jour prévu</t>
  </si>
  <si>
    <t>1) Trattamento puntuale: gli ordini di pagamento scritti vengono elaborati lo stesso giorno in cui giungono per posta a un Operations Center di PostFinance. I pagamenti effettuati a una filiale vengono elaborati il giorno lavorativo consecutivo al versamento alla filiale.</t>
  </si>
  <si>
    <t>Trattamento puntuale di ricevute di pagamento di filiali</t>
  </si>
  <si>
    <t>Trattamento puntuale di ricevute di ordini di pagamento</t>
  </si>
  <si>
    <t>Trattamento puntuale di ricevute di pagamento di filiali (SCHAPO)</t>
  </si>
  <si>
    <t>Timely processing of payment slips from payment orders</t>
  </si>
  <si>
    <t>Timely processing of payment slips at branches</t>
  </si>
  <si>
    <t>Timely processing of payment slips at branches (SCHAPO)</t>
  </si>
  <si>
    <t>Délais d'acheminement des services postaux</t>
  </si>
  <si>
    <t>Indice du prix des lettres en parité de pouvoir d'achat</t>
  </si>
  <si>
    <t>Indice della posta-lettere rettificato in base al potere d'acquisto</t>
  </si>
  <si>
    <t>Indice du prix des colis en parité de pouvoir d'achat</t>
  </si>
  <si>
    <t>Indice della posta-pacchi rettificato in base al potere d'acquisto</t>
  </si>
  <si>
    <t>Temps d'attente au guichet</t>
  </si>
  <si>
    <t>3) Valeurs de l'exercice précédent partiellement adaptées.</t>
  </si>
  <si>
    <t>3) Valori dell'anno precedente in parte adattati.</t>
  </si>
  <si>
    <t>1) Gli invii giungono al destinatario puntualmente quando vengono recapitati il giorno successivo nel caso della Posta A (Priority) o entro il terzo giorno lavorativo successivo all'impostazione nel caso della Posta B (Economy).</t>
  </si>
  <si>
    <t>1) Traitement le jour prévu: les ordres de paiement écrits sont traités le jour de leur réception par courrier dans l'un des Operations Centers de PostFinance. Les paiements effectués dans les filiales sont traités le jour ouvrable suivant le versement dans une filiale.</t>
  </si>
  <si>
    <t>1) Timely processing: Written payment orders are processed on the same day they arrive by post at one of PostFinance's Operations Centers. Payments at branches are processed one working day after the inpayment is made at a branch.</t>
  </si>
  <si>
    <t>2) Guarantees of origin for total electricity consumption within Swiss Post.</t>
  </si>
  <si>
    <t>3) Guarantees of origin for CNG consumption of goods transport and business travel within Swiss Post</t>
  </si>
  <si>
    <t>2) Garanzie di origine per il consumo totale di energia elettrica all'interno della Posta.</t>
  </si>
  <si>
    <t>3) Garanzie di origine per il consumo di GNC nel trasporto merci e i viaggio di lavoro all'interno della Posta.</t>
  </si>
  <si>
    <t>2) Garanties d'origine pour la consommation totale d'électricité au sein de La Poste Suisse.</t>
  </si>
  <si>
    <t>3) Garanties d'origine pour la consommation de GNC dans le transport de marchandises et les déplacements professionnels au sein de La Poste Suisse.</t>
  </si>
  <si>
    <t>2) Herkunftsnachweise für den gesamten Stromverbrauch innerhalb der Post</t>
  </si>
  <si>
    <t>3) Herkunftsnachweise den CNG-Verbrauch im Gütertransport und Geschäftsreiseverkehr innerhalb der Post</t>
  </si>
  <si>
    <t>Nitrogen oxide (NOx)</t>
  </si>
  <si>
    <t>Oxydes de soufre (SOx)</t>
  </si>
  <si>
    <t>Ossidi di zolfo (SOx)</t>
  </si>
  <si>
    <t>Sulphur oxides (SOx)</t>
  </si>
  <si>
    <t>Schwefeloxide (SOx)</t>
  </si>
  <si>
    <t>Engagements für die Schweiz</t>
  </si>
  <si>
    <t>Bearbeitete Vorgänge</t>
  </si>
  <si>
    <t>1) Die Wartezeiten werden vom Geschäftsbereich PostNetz in 290 Filialen mit Hilfe des Ticketsystems erhoben.</t>
  </si>
  <si>
    <t>Laufbahnzentrum</t>
  </si>
  <si>
    <t>Individuelle Beratungen durch Laufbahnzentrum</t>
  </si>
  <si>
    <t>Pendler</t>
  </si>
  <si>
    <t>6) normaliserte Werte 2017, 2015 und 2013</t>
  </si>
  <si>
    <t>6) Valeurs normalisées 2017, 2015 et 2013</t>
  </si>
  <si>
    <t>6) Valori 2017, 2015 e 2013 normalizzati.</t>
  </si>
  <si>
    <t>6) Normalized figures for 2017, 2015 and 2013.</t>
  </si>
  <si>
    <r>
      <t>2017</t>
    </r>
    <r>
      <rPr>
        <b/>
        <vertAlign val="superscript"/>
        <sz val="10"/>
        <color indexed="8"/>
        <rFont val="Frutiger 45 Light"/>
        <family val="2"/>
      </rPr>
      <t>6)</t>
    </r>
  </si>
  <si>
    <t>1) Die Werte ab 1.1.2016 entsprechen dem beschaffungsrelevanten Rechnungsvolumen mit externen Kreditoren (ohne Steuern, Zölle, SUVA, Pensionskasse, sonstige Vorsorge, öffentliche Gebühren, Durchlaufposten, CPD-Sammelkonten, usw.).</t>
  </si>
  <si>
    <t>6) Die Position «Übrige» beinhaltet den Gewinn aus Verkauf von Sachanlagen, den Ertrag aus assozierten Gesellschaften, den Finanzertrag und die latenten Steuern.</t>
  </si>
  <si>
    <t>6) Le poste «Autres» comprend le bénéfice de la vente d'immobilisations corporelles, les produits des sociétés associées, les produits financiers et les impôts latents.</t>
  </si>
  <si>
    <t>6) La voce «altro» comprende gli utili conseguiti dalla vendita di beni materiali, i ricavi derivanti dalle società associate, i ricavi finanziari e le imposte latenti.</t>
  </si>
  <si>
    <t>6) The item “Other” includes the balance from disposals of tangible fixed assets, income from associates, financial income and deferred taxes.</t>
  </si>
  <si>
    <t>7) Beantragte Gewinnverwendung der Post (siehe auch Geschäftsbericht Jahresabschluss Die Schweizerische Post AG)</t>
  </si>
  <si>
    <t>7) Proposition d'affectation des bénéfices de la Poste (voir aussi le rapport de gestion, comptes annuels de La Poste Suisse SA).</t>
  </si>
  <si>
    <t>7) Destinazione richiesta degli utili della Posta (vedi anche rapporto di gestione chiusura annuale La Posta Svizzera SA).</t>
  </si>
  <si>
    <t>7) Proposed appropriation of profit for Swiss Post (see also Swiss Post Ltd annual financial statements in Annual Report).</t>
  </si>
  <si>
    <t>im Ausland und grenzüberschreitend erwirtschaftet</t>
  </si>
  <si>
    <t>Generated abroad and crossborder</t>
  </si>
  <si>
    <t>conseguiti all’estero e zone transforntaliere</t>
  </si>
  <si>
    <t>réalisés à l’étranger et transfrontalier</t>
  </si>
  <si>
    <t>7) Ab 2014 werden die Mengen TNT nicht mehr in die Marktanteilsberechnung einbezogen, so dass dieser mit den ausgewiesenen Mengen übereinstimmen. Als Vergleichsgrösse wurde das Jahr 2013 zusätzlich aufbereitet. Die Werte 2005 bis 2012 sind nicht vergleichbar.</t>
  </si>
  <si>
    <t>Informations générales</t>
  </si>
  <si>
    <t>Cas traités</t>
  </si>
  <si>
    <t>Casi trattati (Customer Care)</t>
  </si>
  <si>
    <t>Cases handled</t>
  </si>
  <si>
    <t>1)  I valori dal 1o gennaio 2016 corrispondono al volume di fatturazione per gli acquisti con i clienti esterni (senza imposte, dazi doganali, SUVA, cassa pensioni, altra previdenza, tasse pubbliche, partite transitorie di giro, conti collettivi per conti occasionali ecc.).</t>
  </si>
  <si>
    <t>1) The figures from 1 January 2016 include procurement-related invoicing volumes with external creditors (excluding taxes, customs duties, SUVA, pension fund, other employee benefits, public fees, transitory items, CPD collective accounts, etc.).</t>
  </si>
  <si>
    <t>1) Les valeurs à partir du 1er janvier 2016 correspondent au volume de facturation des achats avec créanciers externes (hors impôts, droits de douane, Suva, caisse de pensions, autre prévoyance, redevances publiques, postes transitoires, comptes collecteurs pour créanciers occasionnels, etc.).</t>
  </si>
  <si>
    <t>Engagements pour la Suisse</t>
  </si>
  <si>
    <t>Impegni per la Svizzera</t>
  </si>
  <si>
    <t>Commitments for Switzerland</t>
  </si>
  <si>
    <t>1) Les temps d'attente sont relevés par l'unité RéseauPostal au moyen du système de tickets dans 290 filiales.</t>
  </si>
  <si>
    <t>1) I tempi di attesa sono rilevati dall'unità RetePostale in 290 filiali con l'ausilio del sistema ticket.</t>
  </si>
  <si>
    <t>1) The waiting times are compiled by the PostalNetwork business unit in 290 branches using data from the ticket system.</t>
  </si>
  <si>
    <t>Centre de carrière</t>
  </si>
  <si>
    <t>Centro carriera</t>
  </si>
  <si>
    <t>Careers center</t>
  </si>
  <si>
    <t>Conseils individuels par le Centre de carrière</t>
  </si>
  <si>
    <t>Consulenze individuali del centro carriera</t>
  </si>
  <si>
    <t>Individual consultations by careers center</t>
  </si>
  <si>
    <t>Eingekaufte Herkunftsnachweise für zertifiziertes Biogas</t>
  </si>
  <si>
    <t>Achat de garanties d'origine pour le biogaz certifié</t>
  </si>
  <si>
    <t>Acquisto delle garanzie di origine per biogas certificato</t>
  </si>
  <si>
    <t>Purchased guarantees of origin for certified biogas</t>
  </si>
  <si>
    <t>Eingekaufte Herkunftsnachweise für Strom aus zertifizierten erneuerbaren Energien</t>
  </si>
  <si>
    <t>Achat de garanties d'origine pour l'électricité produite à partir de sources d'énergie renouvelables certifiées</t>
  </si>
  <si>
    <t>Acquisto delle garanzie di origine per l'elettricità prodotta da fonti energetiche rinnovabili certificate</t>
  </si>
  <si>
    <t>Purchased guarantees of origin for electricity from certified renewable energy sources</t>
  </si>
  <si>
    <t>Eingekaufte Herkunftsnachweise für zertifizierten Ökostrom</t>
  </si>
  <si>
    <t>Achat de garanties d'origine pour l'électricité verte certifiée</t>
  </si>
  <si>
    <t>Acquisto delle garanzie di origine per l'elettricità verde certificata</t>
  </si>
  <si>
    <t>Purchased guarantees of origin for certified green electricity</t>
  </si>
  <si>
    <t>Befristet</t>
  </si>
  <si>
    <t>Unbefristet</t>
  </si>
  <si>
    <t>2017 1)</t>
  </si>
  <si>
    <t>Temporary</t>
  </si>
  <si>
    <t>Permanent</t>
  </si>
  <si>
    <t>Permanente</t>
  </si>
  <si>
    <t>Temporaneo</t>
  </si>
  <si>
    <t>Provisoire</t>
  </si>
  <si>
    <t>Anteil der Kundinnen und Kunden, die innerhalb 7 Minuten bedient werden</t>
  </si>
  <si>
    <t>Anteil der Kundinnen und Kunden, die innerhalb 10 Minuten bedient werden</t>
  </si>
  <si>
    <t>rund 400</t>
  </si>
  <si>
    <t>7) Vorjahreswerte teilweise angepasst.</t>
  </si>
  <si>
    <t>7) Valeurs de l'exercice précédent partiellement adaptées.</t>
  </si>
  <si>
    <t>7) Valori dell'anno precedente in parte adattati.</t>
  </si>
  <si>
    <t>7) Previous year figures partly adjusted.</t>
  </si>
  <si>
    <t>1) Vorjahreswerte teilweise angepasst.</t>
  </si>
  <si>
    <t>1) Valeurs de l'exercice précédent partiellement adaptées.</t>
  </si>
  <si>
    <t>1) Valori dell'anno precedente in parte adattati.</t>
  </si>
  <si>
    <t>1) Previous year figures partly adjusted.</t>
  </si>
  <si>
    <t>8) normaliserte Werte 2017, 2015 und 2013</t>
  </si>
  <si>
    <t>8) Valeurs normalisées 2017, 2015 et 2013</t>
  </si>
  <si>
    <t>8) Valori 2017, 2015 e 2013 normalizzati.</t>
  </si>
  <si>
    <t>8) Normalized figures for 2017, 2015 and 2013.</t>
  </si>
  <si>
    <t>9) Vorjahreswerte teilweise angepasst.</t>
  </si>
  <si>
    <t>9) Valeurs de l'exercice précédent partiellement adaptées.</t>
  </si>
  <si>
    <t>9) Valori dell'anno precedente in parte adattati.</t>
  </si>
  <si>
    <t>9) Previous year figures partly adjusted.</t>
  </si>
  <si>
    <r>
      <t>2013</t>
    </r>
    <r>
      <rPr>
        <b/>
        <vertAlign val="superscript"/>
        <sz val="10"/>
        <rFont val="Frutiger 45 Light"/>
        <family val="2"/>
      </rPr>
      <t>8)</t>
    </r>
  </si>
  <si>
    <r>
      <t>2015</t>
    </r>
    <r>
      <rPr>
        <b/>
        <vertAlign val="superscript"/>
        <sz val="10"/>
        <rFont val="Frutiger 45 Light"/>
        <family val="2"/>
      </rPr>
      <t>8)</t>
    </r>
  </si>
  <si>
    <r>
      <t>2017</t>
    </r>
    <r>
      <rPr>
        <b/>
        <vertAlign val="superscript"/>
        <sz val="10"/>
        <rFont val="Frutiger 45 Light"/>
        <family val="2"/>
      </rPr>
      <t>1)</t>
    </r>
  </si>
  <si>
    <r>
      <t>2016</t>
    </r>
    <r>
      <rPr>
        <b/>
        <vertAlign val="superscript"/>
        <sz val="10"/>
        <rFont val="Frutiger 45 Light"/>
        <family val="2"/>
      </rPr>
      <t>1)</t>
    </r>
  </si>
  <si>
    <t>1) Der Briefpostindex beruht auf einem Warenkorb von A- und B-Post-Briefen bis 1 kg (ohne höherwertige Sendungen und Zusatzleistungen). Die Briefe werden nach der Häufigkeit gewichtet, wie sie die Schweizer Konsumentinnen und Konsumenten verschicken. Für den Vergleich werden in den einzelnen Ländern die Preise des (ehemaligen) staatlichen Postunternehmens herangezogen (Stichtag: 1. November 2018). Schweiz = 100 (definitionsgemäss).</t>
  </si>
  <si>
    <t>2) Dem Paketpostindex liegen Pakete der Kategorien «PostPac Priority» und «PostPac Economy» der Gewichtsstufen 1 bis 20 kg zugrunde (ohne Zusatzleistungen). Die Pakete werden nach der Häufigkeit gewichtet, wie sie die Schweizer Konsumentinnen und Konsumenten verschicken. Für den Vergleich werden in den einzelnen Ländern die Preise des (ehemaligen) staatlichen Postunternehmens herangezogen (Stichtag: 1. November 2018). Schweiz = 100 (definitionsgemäss).</t>
  </si>
  <si>
    <t>2) Die Erhebung zur Taggerechten Verarbeitung von Zahlungsbelegen wurde 2018 eingestellt.</t>
  </si>
  <si>
    <r>
      <t>60.0</t>
    </r>
    <r>
      <rPr>
        <vertAlign val="superscript"/>
        <sz val="10"/>
        <rFont val="Frutiger 45 Light"/>
        <family val="2"/>
      </rPr>
      <t>4)</t>
    </r>
  </si>
  <si>
    <t>Holz</t>
  </si>
  <si>
    <t>Erworbene Waren und Dienstleistungen</t>
  </si>
  <si>
    <t>Brennstoff- und energiebezogene Aktivitäten</t>
  </si>
  <si>
    <t>standortbasierte Emissionen</t>
  </si>
  <si>
    <t>Pendeln der Angestellten</t>
  </si>
  <si>
    <t>Treibstoffverbrauch</t>
  </si>
  <si>
    <t>Treibstoffverbrauch (innerhalb der Post)</t>
  </si>
  <si>
    <t>Anteil an erneuerbaren Treibstoffen (innerhalb der Post)</t>
  </si>
  <si>
    <t>Anteil an Biodiesel (innerhalb der Post)</t>
  </si>
  <si>
    <t>Anteil an Biogas (innerhalb der Post)</t>
  </si>
  <si>
    <t>Strom verwendet als Treibstoff (innerhalb der Post)</t>
  </si>
  <si>
    <t>Anteil an erneuerbarem Strom verwendet als Treibstoff (innerhalb der Post)</t>
  </si>
  <si>
    <t>Anteil an erneuerbarem Wasserstoff (innerhalb der Post)</t>
  </si>
  <si>
    <t>Treibstoffverbauch (ausserhalb der Post)</t>
  </si>
  <si>
    <t>Brennstoffverbrauch</t>
  </si>
  <si>
    <t>Brennstoffverbrauch (innerhalb der Post)</t>
  </si>
  <si>
    <t>Anteil an erneuerbaren Brennstoffen (innerhalb der Post)</t>
  </si>
  <si>
    <t>Anteil an erneuerbarer Fernwärme (innerhalb der Post)</t>
  </si>
  <si>
    <t>Holz (innerhalb der Post)</t>
  </si>
  <si>
    <t>Strom verwendet als Brennstoff (innerhalb der Post)</t>
  </si>
  <si>
    <t>Anteil an erneuerbarem Strom verwendet als Brennstoff (innerhalb der Post)</t>
  </si>
  <si>
    <t>Umweltwärme und -kälte (innerhalb der Post)</t>
  </si>
  <si>
    <t>Brennstoffverbrauch (ausserhalb der Post)</t>
  </si>
  <si>
    <t>Energiebedarf</t>
  </si>
  <si>
    <t>Energiebedarf (innerhalb der Post)</t>
  </si>
  <si>
    <t>Erneuerbarer Anteil am Energiebedarf (innerhalb der Post)</t>
  </si>
  <si>
    <t>Energiebedarf (ausserhalb der Post)</t>
  </si>
  <si>
    <t>Stromverbrauch (ohne Verwendung als Treibstoffe und Brennstoffe)</t>
  </si>
  <si>
    <t>Stromverbrauch (innerhalb der Post)</t>
  </si>
  <si>
    <t>Anteil an erneuerbarem Strom (innerhalb der Post)</t>
  </si>
  <si>
    <t>Stromverbrauch (ausserhalb der Post)</t>
  </si>
  <si>
    <t>Upstream-Transport und -Verteilung</t>
  </si>
  <si>
    <t>Für Upstream-Aktivitäten gemietete Vermögensgegenstände</t>
  </si>
  <si>
    <t>Für Downstream-Aktivitäten gemietete Vermögensgegenstände</t>
  </si>
  <si>
    <t>1, 3, 9</t>
  </si>
  <si>
    <t>1, 4, 9</t>
  </si>
  <si>
    <t>9) 2017 und 2018: Über die Freigabe (Anspruch und Bemessung) des Leistungsanteils der Konzernleiterin und des ehemaligen Leiter PostAuto wird erst nach Abschluss der Untersuchungen zu den Verletzungen des Subventionsrechts in der Sparte des regionalen Personenverkehrs entschieden.»</t>
  </si>
  <si>
    <t>9) 2017 et 2018: la décision relative à la part liée à la prestation de la directrice générale et de l’ancien responsable CarPostal (droit et calcul du montant) ne sera prise qu’au terme de l’enquête en cours sur les violations du droit des subventions commises dans le secteur du transport régional de voyageurs.</t>
  </si>
  <si>
    <t>9) 2017 e 2018: la decisione (diritto e calcolo dell’importo) circa la componente legata al rendimento della direttrice generale e dell’ex responsabile AutoPostale verrà assunta solo al termine delle indagini sulle violazioni del diritto alle sovvenzioni nell’ambito del traffico regionale viaggiatori.</t>
  </si>
  <si>
    <t>Percentage of customers served within 7 minutes</t>
  </si>
  <si>
    <t>Percentage of customers served within 10 minutes</t>
  </si>
  <si>
    <t>1) L'indice du prix des lettres repose sur un panier de prestations incluant les envois du courrier A et du courrier B jusqu'à 1 kg (sans les envois de grande valeur ni les prestations complémentaires). Les lettres sont pondérées selon la fréquence avec laquelle les consommateurs suisses les expédient. Pour la comparaison, on se fonde dans chaque pays sur les prix de l'actuel (ou ancien) opérateur national (jour de référence: 1er novembre 2018). Suisse = 100 (par définition).</t>
  </si>
  <si>
    <t>1) L'indice della posta-lettere si basa su un paniere di lettere della posta A e B fino a 1 kg (invii di valore superiore e prestazioni complementari esclusi), ovvero pondera le singole lettere a seconda della frequenza con cui i consumatori svizzeri le spediscono. Per il confronto nei singoli paesi si fa riferimento ai prezzi dell'(ex) azienda postale statale (giorno di riferimento: 1o novembre 2018). Svizzera = 100 (per definizione)</t>
  </si>
  <si>
    <t>1) The letter post index is based on a basket of A and B Mail letters up to 1 kg (excluding higher-valued items and value-added services). Letters are weighted according to the frequency with which they are actually sent by Swiss consumers. For the purpose of comparison, the prices of the (former) state-run postal company in the individual countries are used (reference date: 1 November 2018). Switzerland = 100 (by definition).</t>
  </si>
  <si>
    <t>2) L'indice du prix des colis repose sur les catégories «PostPac Priority» et «PostPac Economy» de 1 à 20 kg (sans les prestations complémentaires). Les colis de chaque catégorie sont pondérés selon la fréquence avec laquelle les consommateurs suisses les expédient. Pour la comparaison, on se fonde dans chaque pays sur les prix de l'actuel (ou ancien) opérateur national (jour de référence: 1er novembre 2018). Suisse = 100 (par définition).</t>
  </si>
  <si>
    <t>2) The parcel post index is based on parcels in the “PostPac Priority” and “PostPac Economy” categories with weight classes of 1–20 kg (excluding value-added services). The individual parcel categories are weighted according to the frequency with which they are actually used by Swiss consumers. For the purpose of comparison, the prices of the (former) state-run postal company in the individual countries are used (reference date: 1 November 2018). Switzerland = 100 (by definition).</t>
  </si>
  <si>
    <t>2) L'indice della posta-pacchi contempla pacchi delle categorie «PostPac Priority» e «PostPac Economy» delle classi di peso da 1 a 20 kg (senza prestazioni complementari). Esso pondera le singole tipologie di pacchi a seconda della frequenza con cui i consumatori svizzeri li spediscono. Per il confronto nei singoli paesi si fa riferimento ai prezzi dell'(ex) azienda postale statale (giorno di riferimento: 1o novembre 2018). Svizzera = 100 (per definizione)</t>
  </si>
  <si>
    <t>Consommation de carburants</t>
  </si>
  <si>
    <t>Consumo di carburanti</t>
  </si>
  <si>
    <t>Fuel consumption</t>
  </si>
  <si>
    <t>Consommation de carburants (au sein de la Poste)</t>
  </si>
  <si>
    <t>Consumo di carburanti (all'interno della Posta)</t>
  </si>
  <si>
    <t>Fuel consumption (within Swiss Post)</t>
  </si>
  <si>
    <t>Part de carburants renouvelables (au sein de la Poste)</t>
  </si>
  <si>
    <t>Quota di carburanti da fonti rinnovabili (all'interno della Posta)</t>
  </si>
  <si>
    <t>Percentage of renewable fuels (within Swiss Post)</t>
  </si>
  <si>
    <t>Quota di biodiesel (all'interno della Posta)</t>
  </si>
  <si>
    <t>Percentage of biodiesel (within Swiss Post)</t>
  </si>
  <si>
    <t>Quota di biogas (all'interno della Posta)</t>
  </si>
  <si>
    <t>Percentage of biogas (within Swiss Post)</t>
  </si>
  <si>
    <t>Quota di idrogeno da fonti rinnovabili (all'interno della Posta)</t>
  </si>
  <si>
    <t>Percentage of renewable hydrogen (within Swiss Post)</t>
  </si>
  <si>
    <t>Consommation de carburants (en dehors de la Poste)</t>
  </si>
  <si>
    <t>Consumo di carburanti (al di fuori della Posta)</t>
  </si>
  <si>
    <t>Fuel consumption (outside Swiss Post)</t>
  </si>
  <si>
    <t>Consommation de combustibles</t>
  </si>
  <si>
    <t>Consumo di combustibili</t>
  </si>
  <si>
    <t>Combustibles consumption</t>
  </si>
  <si>
    <t>Consommation de combustibles (au sein de la Poste)</t>
  </si>
  <si>
    <t>Consumo di combustibili (all'interno della Posta)</t>
  </si>
  <si>
    <t>Combustibles consumption (within Swiss Post)</t>
  </si>
  <si>
    <t>Part de combustibles renouvelables (au sein de la Poste)</t>
  </si>
  <si>
    <t>Quota di combustibili da fonti rinnovabili (all'interno della Posta)</t>
  </si>
  <si>
    <t>Percentage of renewable combustibles (within Swiss Post)</t>
  </si>
  <si>
    <t>Part de biogaz (au sein de la Poste)</t>
  </si>
  <si>
    <t>Quota di teleriscaldamento da fonti rinnovabili (all'interno della Posta)</t>
  </si>
  <si>
    <t>Percentage of renewable district heating (within Swiss Post)</t>
  </si>
  <si>
    <t>Bois (au sein de la Poste)</t>
  </si>
  <si>
    <t>Legna (all'interno della Posta)</t>
  </si>
  <si>
    <t>Wood (within Swiss Post)</t>
  </si>
  <si>
    <t>Energia elettrica utilizzata come combustibile (all'interno della Posta)</t>
  </si>
  <si>
    <t>Electricity used as combustibles (within Swiss Post)</t>
  </si>
  <si>
    <t>Part d'électricité renouvelable uitlisée pour le chauffage (au sein de la Poste)</t>
  </si>
  <si>
    <t>Quota di energia elettrica da fonti rinnovabili utilizzata come combustibile (all'interno della Posta)</t>
  </si>
  <si>
    <t>Percentage of renewable electricity used as combustibles (within Swiss Post)</t>
  </si>
  <si>
    <t>Chaleur et froid de l'environnement (au sein de la Poste)</t>
  </si>
  <si>
    <t>Calore ambientale (caldo/freddo) (all'interno della Posta)</t>
  </si>
  <si>
    <t>Ambient heat and cooling (within Swiss Post)</t>
  </si>
  <si>
    <t>Consommation de combustibles (en dehors de la Poste)</t>
  </si>
  <si>
    <t>Consumo di combustibili (al di fuori della Posta)</t>
  </si>
  <si>
    <t>Combustibles consumption (outside Swiss Post)</t>
  </si>
  <si>
    <t xml:space="preserve">Energia elettrica </t>
  </si>
  <si>
    <t>Consommation d'électricité (sans carburant, ni chaleur)</t>
  </si>
  <si>
    <t>Consumo di energia elettrica (utilizzo come carburante e combustibile escluso)</t>
  </si>
  <si>
    <t>Electricity consumption (excluding use as fuels and combustibles)</t>
  </si>
  <si>
    <t>Consommation d'électricité (au sein de la Poste)</t>
  </si>
  <si>
    <t>Consumo di energia elettrica (all'interno della Posta)</t>
  </si>
  <si>
    <t>Electricity consumption (within Swiss Post)</t>
  </si>
  <si>
    <t>Quota di energia elettrica da fonti rinnovabili (all'interno della Posta)</t>
  </si>
  <si>
    <t>Percentage of renewable electricity (within Swiss Post)</t>
  </si>
  <si>
    <t>Consommation d'électricité (en dehors de la Poste)</t>
  </si>
  <si>
    <t>Consumo di energia elettrica (al di fuori della Posta)</t>
  </si>
  <si>
    <t>Electricity consumption (outside Swiss Post)</t>
  </si>
  <si>
    <t>Besoins énergétiques</t>
  </si>
  <si>
    <t>Fabbisogno energetico</t>
  </si>
  <si>
    <t>Energy consumption</t>
  </si>
  <si>
    <t>Besoins énergétiques (au sein de la Poste)</t>
  </si>
  <si>
    <t>Fabbisogno energetico (all'interno della Posta)</t>
  </si>
  <si>
    <t>Energy consumption (within Swiss Post)</t>
  </si>
  <si>
    <t>Quota di fonti rinnovabili rispetto al fabbisogno energetico (all'interno della Posta)</t>
  </si>
  <si>
    <t>Besoins énergétiques (en dehors de la Poste)</t>
  </si>
  <si>
    <t>Fabbisogno energetico (al di fuori della Posta)</t>
  </si>
  <si>
    <t>Energy consumption (outside Swiss Post)</t>
  </si>
  <si>
    <t>Bois</t>
  </si>
  <si>
    <t>Legna</t>
  </si>
  <si>
    <t>Wood</t>
  </si>
  <si>
    <t>Emissions basées sur les sites</t>
  </si>
  <si>
    <t>Emissioni per sede</t>
  </si>
  <si>
    <t>location-based emissions</t>
  </si>
  <si>
    <t>Merci e prestazioni acquisite</t>
  </si>
  <si>
    <t>Acquired goods and services</t>
  </si>
  <si>
    <t>Activités liées aux combustibles et à l'énergie</t>
  </si>
  <si>
    <t>Attività relative a carburanti ed energia</t>
  </si>
  <si>
    <t>Combustibles- and energy-related activities</t>
  </si>
  <si>
    <t>Transport et tri en amont (upstream)</t>
  </si>
  <si>
    <t>Trasporto e distribuzione a monte</t>
  </si>
  <si>
    <t>Trafic pendulaire du personnel</t>
  </si>
  <si>
    <t>Pendolarismo degli impiegati</t>
  </si>
  <si>
    <t>Employee commuting</t>
  </si>
  <si>
    <t>Biens économiques loués en amont (upstream)</t>
  </si>
  <si>
    <t xml:space="preserve">Elementi patrimoniali in locazione per attività a monte </t>
  </si>
  <si>
    <t>Assets leased for upstream activities</t>
  </si>
  <si>
    <t>Transport et distribution en aval (downstream)</t>
  </si>
  <si>
    <t xml:space="preserve">Elementi patrimoniali in locazione per attività a valle </t>
  </si>
  <si>
    <t>Assets leased for downstream activities</t>
  </si>
  <si>
    <t>9) 2017 and 2018: A decision regarding the approval (entitlement and calculation) of the performance-related component for the former CEO and the former Head of PostBus will not be reached until the investigations into the subsidy law breaches in the regional passenger transport segment have been completed.</t>
  </si>
  <si>
    <t>2) Le relevé du traitement le jour prévu de titres de paiement a été suspendu en 2018.</t>
  </si>
  <si>
    <t>2) Nel 2018 il rilevamento circa il trattamento puntuale di giustificativi di pagamento è stato sospeso.</t>
  </si>
  <si>
    <t>2) Collection of data regarding timely processing of payment slips was discontinued in 2018.</t>
  </si>
  <si>
    <t>Kennzahlen zur Jahresberichterstattung 2019</t>
  </si>
  <si>
    <t>Chiffres clés du rapport annuel 2019</t>
  </si>
  <si>
    <t>Cifre chiave del rendiconto annuale 2019</t>
  </si>
  <si>
    <t>Key figures for the annual reporting 2019</t>
  </si>
  <si>
    <r>
      <t>2019</t>
    </r>
    <r>
      <rPr>
        <b/>
        <vertAlign val="superscript"/>
        <sz val="10"/>
        <rFont val="Frutiger 45 Light"/>
        <family val="2"/>
      </rPr>
      <t>2)</t>
    </r>
  </si>
  <si>
    <r>
      <t>2018</t>
    </r>
    <r>
      <rPr>
        <b/>
        <vertAlign val="superscript"/>
        <sz val="10"/>
        <rFont val="Frutiger 45 Light"/>
        <family val="2"/>
      </rPr>
      <t>7)</t>
    </r>
  </si>
  <si>
    <r>
      <t>2017</t>
    </r>
    <r>
      <rPr>
        <b/>
        <vertAlign val="superscript"/>
        <sz val="10"/>
        <rFont val="Frutiger 45 Light"/>
        <family val="2"/>
      </rPr>
      <t>6)</t>
    </r>
  </si>
  <si>
    <r>
      <t>2017</t>
    </r>
    <r>
      <rPr>
        <b/>
        <vertAlign val="superscript"/>
        <sz val="10"/>
        <color indexed="8"/>
        <rFont val="Frutiger 45 Light"/>
        <family val="2"/>
      </rPr>
      <t>8)</t>
    </r>
  </si>
  <si>
    <r>
      <t>2018</t>
    </r>
    <r>
      <rPr>
        <b/>
        <vertAlign val="superscript"/>
        <sz val="10"/>
        <color indexed="8"/>
        <rFont val="Frutiger 45 Light"/>
        <family val="2"/>
      </rPr>
      <t>9)</t>
    </r>
  </si>
  <si>
    <t>3) 2019 Deckungsgrad ungeprüft</t>
  </si>
  <si>
    <t>3) Degré de couverture non vérifié en 2019</t>
  </si>
  <si>
    <t>3) Grado di copertura non verificato in 2019</t>
  </si>
  <si>
    <t>3) In 2019 level of cover unaudited.</t>
  </si>
  <si>
    <t>1) Im ausgewiesenen Cashflow 2019 - 2012 werden die Veränderungen der Positionen aus Finanzdienstleistungen (PostFinance) berücksichtigt.</t>
  </si>
  <si>
    <t>1) Les cash-flows 2019 - 2012 tiennent compte des variations de postes des services financiers (PostFinance).</t>
  </si>
  <si>
    <t>1) Il cash flow 2019 - 2012 presentato tiene ora conto delle variazioni delle voci relative ai servizi finanziari (PostFinance).</t>
  </si>
  <si>
    <t>1) The changes in the items from financial services (PostFinance) are reported in the cash flow statement for 2019 - 2012.</t>
  </si>
  <si>
    <r>
      <t>2018</t>
    </r>
    <r>
      <rPr>
        <b/>
        <vertAlign val="superscript"/>
        <sz val="10"/>
        <rFont val="Frutiger 45 Light"/>
        <family val="2"/>
      </rPr>
      <t>1)</t>
    </r>
  </si>
  <si>
    <t>2) Ab 2017 werden bei den Geschäftskundenstellen auch die von PostMail und PostLogistics mitberücksichtigt.</t>
  </si>
  <si>
    <t>2) Y compris les points clientèle commerciale de PostMail et de PostLogistics à compter de 2017</t>
  </si>
  <si>
    <t>2) Dal 2017 nei punti clienti commerciali sono considerati anche quelli di PostMail e PostLogistics.</t>
  </si>
  <si>
    <t>2) From 2017 the PostMail and PostLogistics counters for business customers are also taken into consideration.</t>
  </si>
  <si>
    <t>1) Die Berechnungsmethode zur Ermittlung der Anzahl Orte mit Hausservice wurde 2019 angepasst. Die Werte 2016 - 2018 wurden vergleichbar gemacht.</t>
  </si>
  <si>
    <t>7</t>
  </si>
  <si>
    <t>8</t>
  </si>
  <si>
    <t>Kundenvermögensentwicklung</t>
  </si>
  <si>
    <t>Durchschnittsbestand Kundenvermögen (Monats-Ø)</t>
  </si>
  <si>
    <t>Durchschnittsbestand Kundengelder (Monats-Ø)</t>
  </si>
  <si>
    <t>2</t>
  </si>
  <si>
    <t>2) Der vermehrte Einsatz von standardisierten Kreditorencordes (MDG-S) führte ab 2019 zur geringeren Anzahl beschaffungsrelevanter Lieferanten.</t>
  </si>
  <si>
    <t>14</t>
  </si>
  <si>
    <t>6) Auswertbare Daten ab 2010.</t>
  </si>
  <si>
    <t>6) Données exploitables à partir de 2010.</t>
  </si>
  <si>
    <t>6) Dati valutabili a partire dal 2010</t>
  </si>
  <si>
    <t>6) Evaluable data from 2010.</t>
  </si>
  <si>
    <t>4) Im Segment PostMail wurde bei zwei Tochtergesellschaften die Berechnung des Durchschnittbestands auf Vollzeitstellen (ohne Lernpersonal) überarbeitet, was zur Anpassung des Werts 2018 führte. Im Segment PostAuto wurde das Jahr 2018 aufgrund der Klassifizierung der CarPosal-France-Gruppe als zur Veräusserung gehaltene Abgangsgruppe und aufgegebener Geschäftsbereich angepasst.</t>
  </si>
  <si>
    <t>1, 2, 3, 4</t>
  </si>
  <si>
    <t>1, 3, 5, 6</t>
  </si>
  <si>
    <t>2) Jahresdurchschnittswerte</t>
  </si>
  <si>
    <t>3) Eine Personaleinheit entspricht einer Vollzeitstelle.</t>
  </si>
  <si>
    <t>3) Une unité de personnel correspond à un poste à plein temps.</t>
  </si>
  <si>
    <t>3) Un'unità di personale corrisponde a un impiego a tempo pieno.</t>
  </si>
  <si>
    <t>3) A full-time equivalent equates to one full-time position.</t>
  </si>
  <si>
    <t>2, 3, 4</t>
  </si>
  <si>
    <t>4) Kader sind Mitarbeitende mit Leitungs-, Spezialisten- und höheren Sachbearbeitungsfunktionen.</t>
  </si>
  <si>
    <t>4) Les cadres sont des collaborateurs qui exercent des fonctions de direction ou de spécialistes ou d'autres fonctions supérieures.</t>
  </si>
  <si>
    <t>4) I quadri sono collaboratori con funzioni direttive, specialistiche o altamente qualificate.</t>
  </si>
  <si>
    <t>4) Members of management are employees with managerial, specialist and higher-level technical/clerical roles.</t>
  </si>
  <si>
    <t>6) Anlässlich der Berichterstattung fürs Jahr 2013 wurden die entsprechenden Zahlen rückwirkend bis 2010 korrigiert, da die Presto Presse-Vertriebs AG bislang unter GAV Aushilfen ausgewiesen wurde.</t>
  </si>
  <si>
    <t>6) Pour le rapport de l'exercice 2013, les chiffres correspondants ont été corrigés rétroactivement jusqu'en 2010, car Presto Presse-Vertriebs AG figurait jusqu'alors sous CCT Auxiliaires.</t>
  </si>
  <si>
    <t>6) In occasione del rapporto per l'anno 2013 le cifre corrispondenti sono state corrette retroattivamente fino al 2010 in quanto Presto Presse-Vertriebs AG figurava nel CCL per personale ausiliario fino a tale data.</t>
  </si>
  <si>
    <t>6) For the 2013 annual reporting, the corresponding figures were corrected with retroactive effect to 2010 as Presto Presse-Vertriebs AG was previously reported under CEC, auxiliary staff.</t>
  </si>
  <si>
    <t>5) PostAuto AG, PostFinance AG, Swiss Post Solutions AG, SecurePost AG, Post Immobilien Management und Services AG, Post Company Cars AG, Presto Presse-Vertriebs AG</t>
  </si>
  <si>
    <t>5) CarPostal SA, PostFinance SA, Swiss Post Solutions SA, SecurePost SA, Poste Immobilier Management et Services SA, Post Company Cars SA, Presto Presse-Vertriebs AG.</t>
  </si>
  <si>
    <t>5) AutoPostale SA, PostFinance SA, Swiss Post Solutions SA, SecurePost SA, Posta Immobili Management e Servizi SA, Post Company Cars SA, Presto Presse-Vertriebs AG</t>
  </si>
  <si>
    <t>5) PostBus Ltd, PostFinance Ltd, Swiss Post Solutions Ltd, SecurePost Ltd, Post Real Estate Management and Services Ltd, Post Company Cars Ltd, Presto Presse-Vertriebs AG.</t>
  </si>
  <si>
    <t>7) Post CH AG ohne in- und ausländische Konzerngesellschaften</t>
  </si>
  <si>
    <t>7) Poste CH SA sans les sociétés du groupe en Suisse et à l'étranger.</t>
  </si>
  <si>
    <t>7) Posta CH SA senza le società del gruppo in Svizzera e all'estero</t>
  </si>
  <si>
    <t>7) Post CH Ltd excluding domestic and foreign subsidiaries</t>
  </si>
  <si>
    <t>8) PostFinance AG inkl. Debitoren Service AG und Twint AG</t>
  </si>
  <si>
    <t>8) PostFinance SA, y compris Débiteurs Services SA et Twint SA.</t>
  </si>
  <si>
    <t>8) PostFinance SA incl. Servizi debitori SA e TWINT AG.</t>
  </si>
  <si>
    <t>8) PostFinance Ltd including Debtors Service Ltd and TWINT Ltd.</t>
  </si>
  <si>
    <t>9) Konzern Schweiz: Daten aus dem Personalsystem, aktuell ohne Daten zu 1000 Personaleinheiten bzw. 6113 Personen  der Konzerngesellschaften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und notime Schweiz AG.</t>
  </si>
  <si>
    <t>3, 4</t>
  </si>
  <si>
    <t>3, 4, 5, 6</t>
  </si>
  <si>
    <t>3, 4, 7</t>
  </si>
  <si>
    <t>9</t>
  </si>
  <si>
    <t>3, 9</t>
  </si>
  <si>
    <t>6) Durchschnittslohn ohne Konzernleitung, Verwaltungsrat und Lernpersonal</t>
  </si>
  <si>
    <t>4) Die Anzahl Beschäftigte in den Kantonen basiert ab 2015 auf der STATENT-Auswertung.</t>
  </si>
  <si>
    <t>4) Depuis 2015, le nombre d'employés dans les cantons se fonde sur l'analyse STATENT.</t>
  </si>
  <si>
    <t>4) Dal 2015 il numero di collaboratori nei Cantoni si basa sul rilevamento STATENT.</t>
  </si>
  <si>
    <t>4) From 2015, the number of employees in the cantons is based on the STATENT report.</t>
  </si>
  <si>
    <t>7) Im Segment PostMail wurde bei zwei Tochtergesellschaften die Berechnung des Durchschnittbestands auf Vollzeitstellen (ohne Lernpersonal) überarbeitet, was zur Anpassung des Werts 2018 führte. Im Segment PostAuto wurde das Jahr 2018 aufgrund der Klassifizierung der CarPosal-France-Gruppe als zur Veräusserung gehaltene Abgangsgruppe und aufgegebener Geschäftsbereich angepasst.</t>
  </si>
  <si>
    <t>1, 2, 3, 7</t>
  </si>
  <si>
    <t>4) Anpassung Wert 2018 aufgrund nachträglicher Mutationen</t>
  </si>
  <si>
    <t>2) Konzern Schweiz: Daten aus dem Personalsystem, aktuell ohne Daten zu 1000 Personaleinheiten bzw. 6113 Personen  der Konzerngesellschaften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und notime Schweiz AG.</t>
  </si>
  <si>
    <t>6) Die Kosten sind mit Durchschnittskosten pro Fall berechnet. Anzahl Berufsunfälle und Anzahl Bagatell-Unfälle multipliziert mit den durchschnittlichen Unfallkosten gemäss Berechnungen SUVA.</t>
  </si>
  <si>
    <t>6) Les coûts sont calculés à l'aide des coûts moyens par cas. Nombre d'accidents professionnels et nombre d'accidents-bagatelle, multipliés par les coûts moyens liés aux accidents selon calculs de la SUVA.</t>
  </si>
  <si>
    <t>6) Le spese sono calcolate sulla base dei costi medi per caso. Numero degli infortuni professionali e degli infortuni minori moltiplicato per i costi medi degli infortuni secondo i calcoli della SUVA.</t>
  </si>
  <si>
    <t>6) Costs are calculated based on the average costs per case. Number of occupational accidents and number of minor accidents multiplied by the average accident costs as per SUVA calculations.</t>
  </si>
  <si>
    <t>7) Gemäss Gesamtarbeitsvertrag (GAV) bleibt das Arbeitsverhältnis bei Krankheit oder Unfall während zwei Jahren bestehen. Bei Arbeitsverträgen gemäss Obligationenrecht kann das Arbeitsverhältnis nach sechs Monaten aufgelöst werden. Die Zahlen sind folglich nicht mit anderen Unternehmen vergleichbar.</t>
  </si>
  <si>
    <t>7) Selon la CCT, les rapports de travail sont maintenus durant 2 ans en cas de maladie ou d'accident. Pour les contrats de travail relevant du Code des obligations, les rapports de travail peuvent être résiliés après 6 mois. Ces chiffres ne peuvent donc pas être comparés avec ceux d'autres entreprises.</t>
  </si>
  <si>
    <t>7) In base al contratto collettivo di lavoro (CCL), in caso di malattia o infortunio il rapporto di lavoro rimane in essere per due anni. Nei rapporti di lavoro in base al Codice delle obbligazioni il contratto può essere disdetto dopo sei mesi. Quindi le cifre non sono paragonabili a quelle di altri datori di lavoro.</t>
  </si>
  <si>
    <t>7) Under the collective employment contract (CEC), the person concerned continues to be employed for a period of two years in the event of sickness or an accident. For employment contracts in accordance with the Swiss Code of Obligations, the employment relationship can be terminated after six months. As a result, the figures are not comparable with other companies.</t>
  </si>
  <si>
    <t>8) Ab 1.1.2016 ist die Personalkommission aufgehoben.</t>
  </si>
  <si>
    <t>8) La commission du personnel a été supprimée avec effet au 1er janvier 2016.</t>
  </si>
  <si>
    <t>8) La commissione del personale è stata soppressa a decorrere dal 1o gennaio 2016.</t>
  </si>
  <si>
    <t>8) The staff committee no longer exists as of 1 January 2016.</t>
  </si>
  <si>
    <t>3) ohne Lernpersonal</t>
  </si>
  <si>
    <t>5) Der Konzernbereich Swiss Post Solutions existiert erst seit dem 1. Oktober 2007, weshalb für die Vorjahre keine Werte ausgewiesen werden können.</t>
  </si>
  <si>
    <t>5) L'unité du groupe Swiss Post Solutions n'existant que depuis le 1er octobre 2007, aucune valeur ne peut être présentée pour les années précédentes.</t>
  </si>
  <si>
    <t>5) Poiché l'unità del gruppo Swiss Post Solutions esiste solo dal 1o ottobre 2007, non è possibile indicare nessun valore per gli anni precedenti.</t>
  </si>
  <si>
    <t>5) The Swiss Post Solutions Group unit has only existed since 1 October 2007, which is why no figures are reported for the preceding years.</t>
  </si>
  <si>
    <t>1, 8</t>
  </si>
  <si>
    <t>1, 2, 3, 5</t>
  </si>
  <si>
    <t>2, 3, 6</t>
  </si>
  <si>
    <t>2, 3, 7</t>
  </si>
  <si>
    <t>3) Eine Personaleinheit entspricht einer Vollzeitstelle</t>
  </si>
  <si>
    <t>4) Anpassung Wert 2018 aufgrund Änderung der Berechnungsmethode</t>
  </si>
  <si>
    <t>1) Konzern Schweiz: Daten aus dem Personalsystem, aktuell ohne Daten zu 1000 Personaleinheiten bzw. 6113 Personen  der Konzerngesellschaften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und notime Schweiz AG.</t>
  </si>
  <si>
    <t>1) Groupe Suisse: données provenant du système du personnel; actuellement sans les données de 1000 unités de personnel ou 6113 personnes des sociétés du groupe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et notime Schweiz AG.</t>
  </si>
  <si>
    <t>1) Gruppo Svizzera: dati desunti dal sistema del personale, attualmente senza dati su circa 1000 unità del personale / circa 6113 persone delle società del gruppo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e notime Schweiz AG.</t>
  </si>
  <si>
    <t>1) Group in Switzerland: data from the human resources system, currently without data on 1,000 full-time equivalents or approximately 6,113 employees of the subsidiaries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and notime Schweiz AG.</t>
  </si>
  <si>
    <t>1) Jahresdurchschnittswerte</t>
  </si>
  <si>
    <t>2) Groupe Suisse: données provenant du système du personnel; actuellement sans les données de 1000 unités de personnel ou 6113 personnes des sociétés du groupe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et notime Schweiz AG.</t>
  </si>
  <si>
    <t>2) Gruppo Svizzera: dati desunti dal sistema del personale, attualmente senza dati su circa 1000 unità del personale / circa 6113 persone delle società del gruppo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e notime Schweiz AG.</t>
  </si>
  <si>
    <t>2) Group in Switzerland: data from the human resources system, currently without data on 1,000 full-time equivalents or approximately 6,113 employees of the subsidiaries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and notime Schweiz AG.</t>
  </si>
  <si>
    <t>3) Kader sind Mitarbeitende mit Leitungs-, Spezialisten- und höheren Sachbearbeitungsfunktionen.</t>
  </si>
  <si>
    <t>3) Les cadres sont des collaborateurs qui exercent des fonctions de direction ou de spécialistes ou d'autres fonctions supérieures.</t>
  </si>
  <si>
    <t>3) I quadri sono collaboratori con funzioni direttive, specialistiche o altamente qualificate.</t>
  </si>
  <si>
    <t>3) Members of management are employees with managerial, specialist and higher-level technical/clerical roles.</t>
  </si>
  <si>
    <t>3) Konzern Schweiz: Daten aus dem Personalsystem, aktuell ohne Daten zu 1000 Personaleinheiten bzw. 6113 Personen  der Konzerngesellschaften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und notime Schweiz AG.</t>
  </si>
  <si>
    <t>3) Groupe Suisse: données provenant du système du personnel; actuellement sans les données de 1000 unités de personnel ou 6113 personnes des sociétés du groupe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et notime Schweiz AG.</t>
  </si>
  <si>
    <t>3) Gruppo Svizzera: dati desunti dal sistema del personale, attualmente senza dati su circa 1000 unità del personale / circa 6113 persone delle società del gruppo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e notime Schweiz AG.</t>
  </si>
  <si>
    <t>3) Group in Switzerland: data from the human resources system, currently without data on 1,000 full-time equivalents or approximately 6,113 employees of the subsidiaries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and notime Schweiz AG.</t>
  </si>
  <si>
    <t>6) Konzern Schweiz: Daten aus dem Personalsystem, aktuell ohne Daten zu 1000 Personaleinheiten bzw. 6113 Personen  der Konzerngesellschaften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und notime Schweiz AG.</t>
  </si>
  <si>
    <t>6) Groupe Suisse: données provenant du système du personnel; actuellement sans les données de 1000 unités de personnel ou 6113 personnes des sociétés du groupe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et notime Schweiz AG.</t>
  </si>
  <si>
    <t>6) Gruppo Svizzera: dati desunti dal sistema del personale, attualmente senza dati su circa 1000 unità del personale / circa 6113 persone delle società del gruppo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e notime Schweiz AG.</t>
  </si>
  <si>
    <t>6) Group in Switzerland: data from the human resources system, currently without data on 1,000 full-time equivalents or approximately 6,113 employees of the subsidiaries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and notime Schweiz AG.</t>
  </si>
  <si>
    <t>9) Groupe Suisse: données provenant du système du personnel; actuellement sans les données de 1000 unités de personnel ou 6113 personnes des sociétés du groupe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et notime Schweiz AG.</t>
  </si>
  <si>
    <t>9) Gruppo Svizzera: dati desunti dal sistema del personale, attualmente senza dati su circa 1000 unità del personale / circa 6113 persone delle società del gruppo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e notime Schweiz AG.</t>
  </si>
  <si>
    <t>9) Group in Switzerland: data from the human resources system, currently without data on 1,000 full-time equivalents or approximately 6,113 employees of the subsidiaries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and notime Schweiz AG.</t>
  </si>
  <si>
    <t>5) Konzern Schweiz: Daten aus dem Personalsystem, aktuell ohne Daten zu 1000 Personaleinheiten bzw. 6113 Personen  der Konzerngesellschaften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und notime Schweiz AG.</t>
  </si>
  <si>
    <t>5) Groupe Suisse: données provenant du système du personnel; actuellement sans les données de 1000 unités de personnel ou 6113 personnes des sociétés du groupe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et notime Schweiz AG.</t>
  </si>
  <si>
    <t>5) Gruppo Svizzera: dati desunti dal sistema del personale, attualmente senza dati su circa 1000 unità del personale / circa 6113 persone delle società del gruppo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e notime Schweiz AG.</t>
  </si>
  <si>
    <t>5) Group in Switzerland: data from the human resources system, currently without data on 1,000 full-time equivalents or approximately 6,113 employees of the subsidiaries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and notime Schweiz AG.</t>
  </si>
  <si>
    <t>5) Wert 2018 angepasst</t>
  </si>
  <si>
    <t>6) Konzern Schweiz mit Lehrvertrag Berufsbildung Post</t>
  </si>
  <si>
    <t>7) Anteil übernommene Lernende, die eine Anstellung wünschen</t>
  </si>
  <si>
    <t>7) Part des apprentis repris qui souhaitent être embauchés</t>
  </si>
  <si>
    <t>7) Percentuale di apprendisti ripresi che desiderano essere assunti.</t>
  </si>
  <si>
    <t>7) Percentage of trainees taken on who wish to be employed by the company</t>
  </si>
  <si>
    <t>1, 2, 3, 4, 5</t>
  </si>
  <si>
    <t>3) Ab dem Jahr 2012 besteht Swiss Post International nicht mehr als eigenständiges Segment. Die Geschäftstätigkeiten wurden ab dem 1. Januar 2012 auf die Geschäftsbereiche PostMail und PostLogistics überführt. Die Kenngrössen werden weiterhin erhoben.</t>
  </si>
  <si>
    <t>3) Depuis 2012, Swiss Post International ne constitue plus un segment autonome. Ses activités commerciales ont été transférées aux unités d'affaires PostMail et PostLogistics à partir du 1er janvier 2012. Les indicateurs continuent d'être relevés.</t>
  </si>
  <si>
    <t>3) Dall'anno 2012 Swiss Post International non è più un segmento a sé stante. Dal 1o gennaio 2012 le attività sono state trasferite alle unità PostMail e PostLogistics. I dati continuano a essere rilevati.</t>
  </si>
  <si>
    <t>3) As of 2012, Swiss Post International no longer exists as an independent segment. The business activities were transferred to the Group units PostMail and PostLogistics on 1 January 2012. The key figures continue to be calculated.</t>
  </si>
  <si>
    <t>4) Ab 2010 Swiss Express und nur noch Geschäftskunden, bis 2009 Expresssendungen (Swiss Express "Mond")</t>
  </si>
  <si>
    <t>4) Depuis 2010, Swiss-Express et clients commerciaux uniquement; jusqu'en 2009, envois express (Swiss-Express «Lune»).</t>
  </si>
  <si>
    <t>4) Dal 2010 Swiss-Express e solo clienti commerciali, fino al 2009 invii espresso (Swiss-Express «Luna»)</t>
  </si>
  <si>
    <t>4) From 2010 Swiss Express and only business customers, up to 2009 express consignments (Swiss Express “Moon”).</t>
  </si>
  <si>
    <t>6) Die Kennzahl „bearbeitete Vorgänge“ wurde bis im Jahr 2016 „geführte Telefonate“ benannt. Ab 2017 sind die geführten Telefonate Bestandteil der Kennzahl „bearbeitete Vorgänge“.</t>
  </si>
  <si>
    <t>6) Changement d’intitulé du chiffre clé («Communications téléphoniques» jusqu’en 2016). Depuis 2017, le chiffre clé «Cas traités» englobe les communications téléphoniques.</t>
  </si>
  <si>
    <t>6) L’indice "casi trattati“ è stato denominato sino al 2016 "telefonate effettuate". Dal 2017 le telefonate effettuate sono parte integrante dell’indice "casi trattati".</t>
  </si>
  <si>
    <t>6) The key figure “Cases handled” was referred to as “Telephone calls” up to 2016. From 2017 the telephone calls are included in the figure “Cases handled”.</t>
  </si>
  <si>
    <t>7) PostNetz hat 2019 eine erfolgsneutrale Anapssung im Ausweis des Nettoumsatzes aus Verträgen mit Kunden aus Handelswaren und des dazugehörigen Handelswarenaufwands vorgenommen.</t>
  </si>
  <si>
    <t>8) Die Kundenvermögensentwicklung löst 2019 den Neugeldzufluss als Kennzahl ab.</t>
  </si>
  <si>
    <t>9) Der Vorjahreswert 2018 wurde angepasst.</t>
  </si>
  <si>
    <t>10) Für das Jahr 2019 wurde erstmals eine angepasste Berechnungsbasis und Berechnungsmethodik verwendet. Ein Vergleich mit den Vorjahren ist deshalb nicht möglich.</t>
  </si>
  <si>
    <t>11) Werte in der Schweiz</t>
  </si>
  <si>
    <t>11) Valeurs en Suisse</t>
  </si>
  <si>
    <t>11) Valori in Svizzera</t>
  </si>
  <si>
    <t>11) Figures in Switzerland.</t>
  </si>
  <si>
    <t>12) Konzern Schweiz</t>
  </si>
  <si>
    <t>12) Groupe Suisse</t>
  </si>
  <si>
    <t>12) Gruppo Svizzera</t>
  </si>
  <si>
    <t>12) Group in Switzerland.</t>
  </si>
  <si>
    <t>13) Neue Berechnungsgrundlage für 2007, Werte nicht vergleichbar mit Vorjahren</t>
  </si>
  <si>
    <t>13) Nouvelle base de calcul pour 2007; les valeurs ne peuvent pas comparées avec celles des exercices précédents.</t>
  </si>
  <si>
    <t>13) Nuove basi di calcolo per il 2007, valori non confrontabili con quelli degli anni precedenti</t>
  </si>
  <si>
    <t>13) New calculation basis for 2007, figures not comparable with prior years.</t>
  </si>
  <si>
    <t>14) Im Jahr 2019 wurde ein neues Servicemodell und eine Vereinfachung des Leistungskatalogs eingeführt. Die Vergleichbarkeit mit den Vorjahreswerten ist eingeschränkt.</t>
  </si>
  <si>
    <t>15) Im Jahr 2019 wurden die Supporteinsätze neu als vor Ort Einsätze Fieldservice-Techniker definiert. Die Vergleichbarkeit mit den Vorjahren ist eingeschränkt.</t>
  </si>
  <si>
    <t>2) Wert 2017 angepasst.</t>
  </si>
  <si>
    <t>4) ab 01.01.2016 wurde die Produkteverantwortung für Privatkunden-Produkte von PostNetz an PostMail und PostLogistics übergeben. PostNetz weist deshalb keinen Betriebsertrag reservierte Dienste mehr aus; er findet sich ausschliesslich im Betriebsertrag von PostMail wieder.</t>
  </si>
  <si>
    <t>4) La responsabilité des produits pour particuliers a été transférée de RéseauPostal à PostMail et à PostLogistics avec effet au 1er janvier 2016. RéseauPostal ne présente donc plus de produits d'exploitation provenant des services réservés; ceux-ci figurent désormais exclusivement dans les produits d'exploitation de PostMail.</t>
  </si>
  <si>
    <t>4) A partire dal 1o gennaio 2016 la responsabilità dei prodotti per i clienti privati è stata trasferita da RetePostale a PostMail e PostLogistics. Di conseguenza RetePostale non presenta più la voce «Ricavi d'esercizio servizi riservati», che si trova esclusivamente nei ricavi d'esercizio di PostMail.</t>
  </si>
  <si>
    <t>4) Product responsibility for products aimed at private customers was transferred from PostalNetwork to PostLogistics and PostMail on 1 January 2016. PostalNetwork therefore no longer discloses any operating income from reserved services, which is recognized exclusively in operating income from PostMail.</t>
  </si>
  <si>
    <t>1) Vom 1.1.2010 bis 31.12.2015 lag die Produkteverantwortung für Privatkunden Produkte bei PostNetz. Am 1.1.2016 wurde die Produkteverantwortung für Privatkunden Produkte von PostNetz an PostMail und PostLogistics übergeben.</t>
  </si>
  <si>
    <t>1) Du 1.1.2010 au 31.12.2015 la responsabilité des produits pour particuliers été attribuée au RéseauPostal. A partir du 1er janvier 2016 la responsabilité des produits pour particuliers a été transférée de RéseauPostal à PostMail et à PostLogistics.</t>
  </si>
  <si>
    <t>1) Dalle 1.1.2010 alle 31.12.2015 la responsabilità dei prodotti per i clienti privati è stata da RetePostale. A partire dal 1o gennaio 2016 la responsabilità dei prodotti per i clienti privati è stata transferita da RetePostale a PostMail e PostLogistics.</t>
  </si>
  <si>
    <t>1) From 1 January 2010 to 31 December 2015 product responsibility for products aimed at private customers was allocated to PostalNetwork. As of 1 January 2016 product responsibility for products aimed at private customers was transferred from PostalNetzwork to PostMail and PostLogistics.</t>
  </si>
  <si>
    <t>Berufsunfälle PostNetz</t>
  </si>
  <si>
    <t>Accidents professionnels RéseauPostal</t>
  </si>
  <si>
    <t>infortuni professionali RetePostale</t>
  </si>
  <si>
    <t>Occupational accidents, PostalNetwork</t>
  </si>
  <si>
    <t>1, 7</t>
  </si>
  <si>
    <t>2) Seit 2019 befragt PostNetz seine Kundinnen und Kunden nur noch online. Der Vorjahreswert 2018 wurde zur besseren Vergleichbarkeit angepasst. Die Werte vor 2018 sind nicht vergleichbar.</t>
  </si>
  <si>
    <t>3) Aufgrund einer neuen Erhebungsmethode 2018 kann hier kein zum Vorjahr vergleichbarer Wert ausgewiesen werden.</t>
  </si>
  <si>
    <t>3) En raison de l'introduction d'une nouvelle méthode de relevé en 2018, aucune valeur offrant une base de comparaison avec l'année antérieure ne peut être proposée.</t>
  </si>
  <si>
    <t>3) A causa dell’introduzione nel 2018 di un nuovo metodo di rilevamento non è possibile indicare un valore comparabile con quello dell'anno precedente.</t>
  </si>
  <si>
    <t>3) Due to a new survey method, a figure comparable to that of the previous year cannot be given here.</t>
  </si>
  <si>
    <t>4) Aufgrund von Änderungen in der Stichprobenziehung sind die Resultate des Jahres 2015 nicht mit jenen der Vorjahre vergleichbar.</t>
  </si>
  <si>
    <t>4) Le tirage au sort de l'échantillon ayant été modifié; les résultats de 2015 ne peuvent donc pas être comparés avec ceux des années précédentes.</t>
  </si>
  <si>
    <t>4) A causa di variazioni nel campionamento, i risultati del 2015 non sono confrontabili con quelli degli anni precedenti.</t>
  </si>
  <si>
    <t>4) The 2015 results are not comparable with those of previous years due to changes in the sampling procedure.</t>
  </si>
  <si>
    <t>5) Post CH AG ohne in- und ausländische Konzerngesellschaften</t>
  </si>
  <si>
    <t>5) Poste CH SA sans les sociétés du groupe en Suisse et à l'étranger.</t>
  </si>
  <si>
    <t>5) Posta CH SA senza le società del gruppo in Svizzera e all'estero.</t>
  </si>
  <si>
    <t>5) Post CH Ltd excluding domestic and foreign subsidiaries.</t>
  </si>
  <si>
    <t>6) 2007 wurde zum ersten Mal die Kundenzufriedenheit für den Konzernbereich PostLogistics gemessen; die Werte der vorangehenden Jahre sind diejenigen der ehemaligen Paketpost.</t>
  </si>
  <si>
    <t>6) La satisfaction des clients de l'unité du groupe PostLogistics a été mesurée pour la première fois en 2007; les valeurs des années précédentes sont celles de l'ancienne unité PosteColis.</t>
  </si>
  <si>
    <t>6) La soddisfazione della clientela nei confronti dell'unità del gruppo PostLogistics è stata misurata per la prima volta nel 2007; i valori degli anni precedenti si riferiscono alla vecchia unità PostaPacchi.</t>
  </si>
  <si>
    <t>6) Customer satisfaction for the PostLogistics Group unit was measured for the first time in 2007. The figures for the preceding years are for the former PostParcels.</t>
  </si>
  <si>
    <t>7) 2009 wird zum ersten Mal die Kundenzufriedenheit für den Konzernbereich Swiss Post Solutions ausgewiesen; die Werte der vorangehenden Jahre sind diejenigen des Bereichs SKL inkl. der Abteilung Strategisches Kundenmanagement sowie für die Jahre 2005–2007 der Abteilung Strategisches Kundenmanagement.</t>
  </si>
  <si>
    <t>7) La satisfaction des clients de Swiss Post Solutions a été mesurée pour la première fois en 2009; les valeurs des années précédentes sont celles de l'unité Clients stratégiques et solutions y compris la section Gestion des clients stratégiques et pour les années 2005 à 2007, celles de la section Gestion des clients stratégiques.</t>
  </si>
  <si>
    <t>7) La soddisfazione della clientela nei confronti dell'unità del gruppo Swiss Post Solutions è stata indicata per la prima volta nel 2009; i valori degli anni precedenti si riferiscono all'unità SKL (incl. la sezione Gestione della clientela strategica) nonché, per gli anni 2005-2007, alla sezione Gestione della clientela strategica.</t>
  </si>
  <si>
    <t>7) Customer satisfaction for the Swiss Post Solutions Group unit was reported for the first time in 2009. The figures for the preceding years are for the SKL unit including the Strategic Account Management department, and for the years 2005–2007 for the Strategic Account Management department.</t>
  </si>
  <si>
    <t>1) Mit der Kundenzufriedenheitsmessung werden die Kundinnen und Kunden jährlich über ihre Zufriedenheit mit den Dienstleistungen der Post befragt. Die Resultate wurden bis 31.12.2015 in einem durchschnittlichen Indexwert aus Erwartungserfüllung, Nähe zum idealen Dienstleister und Gesamtzufriedenheit abgebildet. Ab 1.1.2016 wird der Indexwert der Gesamtzufriedenheit ausgewiesen.</t>
  </si>
  <si>
    <t>3) Reduktion Personentransport wegen Verkauf CarPostal France</t>
  </si>
  <si>
    <t>3) Réduction transport de personnes en raison de la vente de CarPostal France</t>
  </si>
  <si>
    <t>3) Riduzione del trasporto di persone a seguito della vendita di CarPostal France</t>
  </si>
  <si>
    <t>3) Reduction in passenger transport due to sale of CarPostal France</t>
  </si>
  <si>
    <t>Growth in customer assets</t>
  </si>
  <si>
    <t>Average balance of customer assets (monthly avg.)</t>
  </si>
  <si>
    <t>Average balance of customer deposits (monthly avg.)</t>
  </si>
  <si>
    <t>2) 2017 figure adjusted</t>
  </si>
  <si>
    <t>7) In 2019, PostalNetwork modified the disclosure of net revenue from contracts with customers from resale merchandise and the associated resale merchandise expenses, without affecting profit or loss.</t>
  </si>
  <si>
    <t>8) Growth in customer assets replaced inflow of new money as a key figure in 2019.</t>
  </si>
  <si>
    <t>9) The previous year’s figure of 2018 has been adjusted.</t>
  </si>
  <si>
    <t>10) A modified calculation basis and method of calculating was used for the first time in 2019. This means that a comparison with previous years is not possible.</t>
  </si>
  <si>
    <t>14) A new service model and simplification of the service catalogue was introduced in 2019. Comparability with the previous year’s figures is limited.</t>
  </si>
  <si>
    <t>15) Support calls were redefined as on-site interventions by field service technicians in 2019. Comparability with previous years is limited.</t>
  </si>
  <si>
    <t>3) Annual averages</t>
  </si>
  <si>
    <t>4) In the PostMail segment, the calculation of the average headcount in two subsidiaries was reviewed for full-time equivalents (excluding trainees), leading to an adjustment of the 2018 figure. In the PostBus segment, the figures for 2018 have been adjusted due to the classification of the CarPostal France Group as a disposal group held for sale and a discontinued operation.</t>
  </si>
  <si>
    <t>2) Annual averages</t>
  </si>
  <si>
    <t>2) The increased use of standardized accounts payable codes (MDG-S) resulted in a lower number of procurement-relevant suppliers from 2019.</t>
  </si>
  <si>
    <t>1) The customer satisfaction survey rates customers’ satisfaction with Swiss Post services on an annual basis. Until 31.12.2015, the results were stated as an average index figure based on fulfilment of expectations, proximity to the ideal service provider and overall satisfaction. From 1.1.2016, the index figure of overall satisfaction will be stated.</t>
  </si>
  <si>
    <t>2) Since 2019 PostalNetwork has only conducted its customer survey online. The prior-year figure for 2018 was modified for better comparability. The figures before 2018 are not comparable.</t>
  </si>
  <si>
    <t>6) Average salary excluding Executive Management, the Board of Directors and trainees.</t>
  </si>
  <si>
    <t>1) The method for calculating the number of locations with home delivery service was changed in 2019. The figures for 2016 to 2018 were made comparable.</t>
  </si>
  <si>
    <t>7) In the PostMail segment, the calculation of the average headcount in two subsidiaries was reviewed for full-time equivalents (excluding trainees), leading to an adjustment of the 2018 figure. In the PostBus segment, the figures for 2018 have been adjusted due to the classification of the CarPostal France Group as a disposal group held for sale and a discontinued operation.</t>
  </si>
  <si>
    <t>4) Adjustment to the 2018 figure due to subsequent changes</t>
  </si>
  <si>
    <t>3) excluding trainees</t>
  </si>
  <si>
    <t>3) One person corresponds to a full-time equivalent.</t>
  </si>
  <si>
    <t>4) Adjustment of the 2018 figure due to a change in the calculation method</t>
  </si>
  <si>
    <t>5) 2018 figure adjusted</t>
  </si>
  <si>
    <t>6) Switzerland Group with Swiss Post vocational training contract</t>
  </si>
  <si>
    <t>1) Annual averages</t>
  </si>
  <si>
    <t>Évolution du patrimoine des clients</t>
  </si>
  <si>
    <t>Moyenne du patrimoine des clients (Ø mensuelle)</t>
  </si>
  <si>
    <t>Moyenne des fonds des clients (Ø mensuelle)</t>
  </si>
  <si>
    <t>2) Valeur de 2017 ajustée.</t>
  </si>
  <si>
    <t>7) RéseauPostal a modifié, sans effet sur le résultat, la présentation du chiffre d’affaires net reposant sur les contrats conclus avec des clients dans le domaine des biens commercialisés, ainsi que celle des charges liées à ces biens commercialisés.</t>
  </si>
  <si>
    <t>8) En 2019, l’indicateur de l’évolution du patrimoine des clients remplace celui de l’afflux de nouveaux capitaux.</t>
  </si>
  <si>
    <t>9) La valeur de l’exercice 2018 a été ajustée.</t>
  </si>
  <si>
    <t>10) Pour 2019, une base et une méthode de calcul modifiées ont été utilisées pour la première fois. Par conséquent, une comparaison avec les années précédentes n’est pas possible.</t>
  </si>
  <si>
    <t>14)  En 2019, un nouveau modèle de service a été introduit et le catalogue des prestations a été simplifié. La comparaison avec les valeurs de l’exercice précédent est limitée.</t>
  </si>
  <si>
    <t>15) En 2019, les services d’assistance ont été redéfinis techniciens de service sur site. La comparaison avec les valeurs des exercices précédents est limitée.</t>
  </si>
  <si>
    <t>4) Dans le segment PostMail, le calcul de l’effectif moyen en équivalents plein temps (hors apprentis) de deux filiales a été remanié, ce qui a entraîné l’ajustement de la valeur de 2018. Dans le segment CarPostal, la valeur de 2018 a été ajustée suite à la classification du groupe CarPostal France comme groupe sortant détenu en vue de la vente et activité abandonnée.</t>
  </si>
  <si>
    <t>2) Valeurs annuelles moyennes</t>
  </si>
  <si>
    <t>2) L’utilisation accrue de codes créditeurs (MDG-S) a eu pour effet à partir de 2019 une baisse du nombre des fournisseurs pertinents pour les achats.</t>
  </si>
  <si>
    <t>1) La satisfaction des clients vis-à-vis des prestations de la Poste est mesurée chaque année au moyen d’une enquête ad hoc. Jusqu’au 31.12.2015, les résultats de cette enquête étaient présentés sous la forme d’une valeur d’indices moyenne exprimant la satisfaction des attentes, la proximité avec le prestataire idéal et la satisfaction globale. Depuis le 1.1.2016, la valeur d’indice correspond à la satisfaction globale.</t>
  </si>
  <si>
    <t>2) Depuis 2019, RéseauPostal réalise son enquête auprès de la clientèle uniquement en ligne. La valeur de l’exercice 2018 a été ajustée à des fins de comparabilité. Les valeurs antérieures à 2018 ne sont pas comparables.</t>
  </si>
  <si>
    <t>Andamento dei patrimoni dei clienti</t>
  </si>
  <si>
    <t>Consistenza media dei patrimoni dei clienti (Ø mensile)</t>
  </si>
  <si>
    <t>Consistenza media dei depositi dei clienti (Ø mensile)</t>
  </si>
  <si>
    <t>2) Valore 2017 adattato.</t>
  </si>
  <si>
    <t>7) Nel 2019 RetePostale ha apportato una modifica alla presentazione del fatturato netto, senza effetto sul risultato, derivante da contratti con clienti per beni commerciali e dei corrispondenti costi per beni commerciali.</t>
  </si>
  <si>
    <t>8) Nel 2019 l’andamento dei patrimoni dei clienti viene presentato come nuovo indice in sostituzione dell’afflusso di nuovi fondi.</t>
  </si>
  <si>
    <t>9) Il valore dell’anno precedente (2018) è stato adeguato.</t>
  </si>
  <si>
    <t>10) Nel 2019 sono stati adottati per la prima volta una base e un sistema di calcolo modificati. Non è possibile pertanto effettuare un confronto con gli anni precedenti.</t>
  </si>
  <si>
    <t>14) Nel 2019 è stato introdotto un nuovo modello di servizio con una semplificazione del catalogo delle prestazioni. Di conseguenza, i valori sono raffrontabili soltanto in misura limitata con quelli degli anni precedenti.</t>
  </si>
  <si>
    <t>15) Nel 2019 gli interventi di assistenza sono stati ridefiniti come interventi in loco dei tecnici del Servizio sul campo. Di conseguenza, il confronto con gli anni precedenti è possibile soltanto in misura limitata.</t>
  </si>
  <si>
    <t>3) Valori medi annuali</t>
  </si>
  <si>
    <t>4) Nel segmento PostMail il calcolo dell’organico medio di due società affiliate in impieghi a tempo pieno (escluso il personale in formazione) è stato modificato con un conseguente adeguamento del valore relativo al 2018. Nel segmento AutoPostale il 2018 è stato adattato per tenere conto della classificazione del gruppo CarPostal France come gruppo alienabile disponibile per la vendita e attività operativa cessata.</t>
  </si>
  <si>
    <t>2) Valori medi annuali</t>
  </si>
  <si>
    <t>2) Il maggiore ricorso a codici creditori standardizzati (MDG-S) si è tradotto a partire dal 2019 in un numero inferiore di fornitori rilevanti a livello di acquisti.</t>
  </si>
  <si>
    <t xml:space="preserve">1) Il rilevamento della soddisfazione della clientela analizza ogni anno qual è il grado di soddisfazione dei clienti nei confronti dei servizi della Posta. Fino al 31 dicembre 2015 i risultati sono stati rappresentati in un valore indicizzato medio formato da Soddisfazione delle aspettative, Vicinanza all’ideale e Soddisfazione complessiva. Dall’1º gennaio 2016 viene rappresentato l’indice della Soddisfazione complessiva. </t>
  </si>
  <si>
    <t>2) Dal 2019 RetePostale effettua con i suoi clienti solo sondaggi online. Il valore dell’anno precedente (2018) è stato adattato per una migliore comparabilità. I valori precedenti al 2018 non sono raffrontabili.</t>
  </si>
  <si>
    <t>6) Salario medio senza Direzione del gruppo, Consiglio di amministrazione e personale in formazione.</t>
  </si>
  <si>
    <t>1) Il metodo di calcolo per determinare il numero di località con servizio a domicilio è stato modificato nel 2019. I valori 2016 - 2018 sono stati resi raffrontabili.</t>
  </si>
  <si>
    <t>7) Nel segmento PostMail il calcolo dell’organico medio di due società affiliate in impieghi a tempo pieno (escluso il personale in formazione) è stato modificato con un conseguente adeguamento del valore relativo al 2018. Nel segmento AutoPostale il 2018 è stato adattato per tenere conto della classificazione del gruppo CarPostal France come gruppo alienabile disponibile per la vendita e attività operativa cessata.</t>
  </si>
  <si>
    <t>4) Adeguamento del valore 2018 a seguito di mutazioni successive</t>
  </si>
  <si>
    <t>3) Escluso il personale in formazione</t>
  </si>
  <si>
    <t>Programma Trainee</t>
  </si>
  <si>
    <t>Stagisti</t>
  </si>
  <si>
    <t>3) Un’unità di personale corrisponde a un impiego a tempo pieno</t>
  </si>
  <si>
    <t>4) Adeguamento del valore 2018 a seguito della modifica del metodo di calcolo</t>
  </si>
  <si>
    <t>5) Valore 2018 adattato</t>
  </si>
  <si>
    <t>6) Gruppo Svizzera contratto di tirocinio Formazione professionale Posta</t>
  </si>
  <si>
    <t>1) Valori medi annuali</t>
  </si>
  <si>
    <t>1) Valeurs annuelles moyennes</t>
  </si>
  <si>
    <t>7) Dans le segment PostMail, le calcul de l’effectif moyen en équivalents plein temps (hors apprentis) de deux filiales a été remanié, ce qui a entraîné l’ajustement de la valeur de 2018. Dans le segment CarPostal, la valeur de 2018 a été ajustée suite à la classification du groupe CarPostal France comme groupe sortant détenu en vue de la vente et activité abandonnée.</t>
  </si>
  <si>
    <t>3) Sans les apprentis</t>
  </si>
  <si>
    <t>4) Ajustement de la valeur 2018 en raison de mutations ultérieures</t>
  </si>
  <si>
    <t>4) Ajustement de la valeur 2018 en raison de changement de la méthode de calcul</t>
  </si>
  <si>
    <t>5) Valeur 2018 ajustée</t>
  </si>
  <si>
    <t>6) Groupe Suisse avec contrat d'apprentissage Formation professionnelle Poste</t>
  </si>
  <si>
    <t>6) Salaire moyen sans Direction du groupe, Conseil d'administration et apprentis</t>
  </si>
  <si>
    <t>1) La méthode de calcul du nombre de localités proposant le service à domicile a été adaptée en 2019. Les valeurs 2016 - 2018 ont été rendues comparables.</t>
  </si>
  <si>
    <t>10, 11</t>
  </si>
  <si>
    <t>11, 12</t>
  </si>
  <si>
    <t>10, 11, 13</t>
  </si>
  <si>
    <t>15</t>
  </si>
</sst>
</file>

<file path=xl/styles.xml><?xml version="1.0" encoding="utf-8"?>
<styleSheet xmlns="http://schemas.openxmlformats.org/spreadsheetml/2006/main">
  <numFmts count="13">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_(* #,##0.00_);_(* \(#,##0.00\);_(* &quot;-&quot;??_);_(@_)"/>
    <numFmt numFmtId="165" formatCode="_ * #,##0_ ;_ * \-#,##0_ ;_ * &quot;-&quot;??_ ;_ @_ "/>
    <numFmt numFmtId="166" formatCode="0.0"/>
    <numFmt numFmtId="167" formatCode="_ * #,##0.0_ ;_ * \-#,##0.0_ ;_ * &quot;-&quot;??_ ;_ @_ "/>
    <numFmt numFmtId="168" formatCode="#,##0.0"/>
  </numFmts>
  <fonts count="103">
    <font>
      <sz val="10"/>
      <color theme="1"/>
      <name val="Frutiger 45 Light"/>
      <family val="2"/>
    </font>
    <font>
      <sz val="12"/>
      <color indexed="8"/>
      <name val="Frutiger 45 Light"/>
      <family val="2"/>
    </font>
    <font>
      <b/>
      <sz val="10"/>
      <name val="Frutiger 45 Light"/>
      <family val="2"/>
    </font>
    <font>
      <b/>
      <vertAlign val="superscript"/>
      <sz val="10"/>
      <name val="Frutiger 45 Light"/>
      <family val="2"/>
    </font>
    <font>
      <sz val="10"/>
      <name val="Frutiger 45 Light"/>
      <family val="2"/>
    </font>
    <font>
      <vertAlign val="superscript"/>
      <sz val="10"/>
      <name val="Frutiger 45 Light"/>
      <family val="2"/>
    </font>
    <font>
      <sz val="10"/>
      <color indexed="8"/>
      <name val="Frutiger 45 Light"/>
      <family val="2"/>
    </font>
    <font>
      <sz val="8"/>
      <name val="Frutiger 45 Light"/>
      <family val="2"/>
    </font>
    <font>
      <b/>
      <sz val="16"/>
      <name val="Frutiger 45 Light"/>
      <family val="2"/>
    </font>
    <font>
      <sz val="16"/>
      <name val="Frutiger 45 Light"/>
      <family val="2"/>
    </font>
    <font>
      <b/>
      <strike/>
      <sz val="10"/>
      <name val="Frutiger 45 Light"/>
      <family val="2"/>
    </font>
    <font>
      <strike/>
      <sz val="10"/>
      <name val="Frutiger 45 Light"/>
      <family val="2"/>
    </font>
    <font>
      <vertAlign val="subscript"/>
      <sz val="10"/>
      <color indexed="8"/>
      <name val="Frutiger 45 Light"/>
      <family val="2"/>
    </font>
    <font>
      <b/>
      <sz val="10"/>
      <name val="Wingdings 3"/>
      <family val="1"/>
    </font>
    <font>
      <u val="single"/>
      <sz val="10"/>
      <name val="Wingdings 3"/>
      <family val="1"/>
    </font>
    <font>
      <sz val="10"/>
      <name val="Wingdings 3"/>
      <family val="1"/>
    </font>
    <font>
      <b/>
      <sz val="16"/>
      <name val="Wingdings 3"/>
      <family val="1"/>
    </font>
    <font>
      <sz val="16"/>
      <name val="Wingdings 3"/>
      <family val="1"/>
    </font>
    <font>
      <b/>
      <u val="single"/>
      <sz val="16"/>
      <name val="Wingdings 3"/>
      <family val="1"/>
    </font>
    <font>
      <u val="single"/>
      <sz val="16"/>
      <name val="Wingdings 3"/>
      <family val="1"/>
    </font>
    <font>
      <b/>
      <u val="single"/>
      <sz val="10"/>
      <name val="Wingdings 3"/>
      <family val="1"/>
    </font>
    <font>
      <b/>
      <sz val="11"/>
      <name val="Frutiger 45 Light"/>
      <family val="2"/>
    </font>
    <font>
      <sz val="9"/>
      <name val="Frutiger 45 Light"/>
      <family val="2"/>
    </font>
    <font>
      <b/>
      <vertAlign val="superscript"/>
      <sz val="10"/>
      <color indexed="8"/>
      <name val="Frutiger 45 Light"/>
      <family val="2"/>
    </font>
    <font>
      <sz val="12"/>
      <color indexed="9"/>
      <name val="Frutiger 45 Light"/>
      <family val="2"/>
    </font>
    <font>
      <sz val="12"/>
      <color indexed="20"/>
      <name val="Frutiger 45 Light"/>
      <family val="2"/>
    </font>
    <font>
      <b/>
      <sz val="12"/>
      <color indexed="52"/>
      <name val="Frutiger 45 Light"/>
      <family val="2"/>
    </font>
    <font>
      <b/>
      <sz val="12"/>
      <color indexed="9"/>
      <name val="Frutiger 45 Light"/>
      <family val="2"/>
    </font>
    <font>
      <i/>
      <sz val="12"/>
      <color indexed="23"/>
      <name val="Frutiger 45 Light"/>
      <family val="2"/>
    </font>
    <font>
      <u val="single"/>
      <sz val="10"/>
      <color indexed="8"/>
      <name val="Frutiger 45 Light"/>
      <family val="2"/>
    </font>
    <font>
      <sz val="12"/>
      <color indexed="17"/>
      <name val="Frutiger 45 Light"/>
      <family val="2"/>
    </font>
    <font>
      <b/>
      <sz val="15"/>
      <color indexed="26"/>
      <name val="Frutiger 45 Light"/>
      <family val="2"/>
    </font>
    <font>
      <b/>
      <sz val="13"/>
      <color indexed="26"/>
      <name val="Frutiger 45 Light"/>
      <family val="2"/>
    </font>
    <font>
      <b/>
      <sz val="11"/>
      <color indexed="26"/>
      <name val="Frutiger 45 Light"/>
      <family val="2"/>
    </font>
    <font>
      <sz val="12"/>
      <color indexed="62"/>
      <name val="Frutiger 45 Light"/>
      <family val="2"/>
    </font>
    <font>
      <sz val="12"/>
      <color indexed="52"/>
      <name val="Frutiger 45 Light"/>
      <family val="2"/>
    </font>
    <font>
      <sz val="12"/>
      <color indexed="60"/>
      <name val="Frutiger 45 Light"/>
      <family val="2"/>
    </font>
    <font>
      <b/>
      <sz val="12"/>
      <color indexed="63"/>
      <name val="Frutiger 45 Light"/>
      <family val="2"/>
    </font>
    <font>
      <sz val="18"/>
      <color indexed="26"/>
      <name val="Frutiger 45 Light"/>
      <family val="2"/>
    </font>
    <font>
      <b/>
      <sz val="12"/>
      <color indexed="8"/>
      <name val="Frutiger 45 Light"/>
      <family val="2"/>
    </font>
    <font>
      <sz val="12"/>
      <color indexed="10"/>
      <name val="Frutiger 45 Light"/>
      <family val="2"/>
    </font>
    <font>
      <b/>
      <sz val="10"/>
      <color indexed="8"/>
      <name val="Frutiger 45 Light"/>
      <family val="2"/>
    </font>
    <font>
      <sz val="8"/>
      <color indexed="8"/>
      <name val="Frutiger 45 Light"/>
      <family val="2"/>
    </font>
    <font>
      <b/>
      <sz val="10"/>
      <color indexed="60"/>
      <name val="Frutiger 45 Light"/>
      <family val="2"/>
    </font>
    <font>
      <sz val="16"/>
      <color indexed="8"/>
      <name val="Frutiger 45 Light"/>
      <family val="2"/>
    </font>
    <font>
      <b/>
      <sz val="10"/>
      <color indexed="8"/>
      <name val="Wingdings 3"/>
      <family val="1"/>
    </font>
    <font>
      <u val="single"/>
      <sz val="10"/>
      <color indexed="8"/>
      <name val="Wingdings 3"/>
      <family val="1"/>
    </font>
    <font>
      <b/>
      <sz val="16"/>
      <color indexed="8"/>
      <name val="Wingdings 3"/>
      <family val="1"/>
    </font>
    <font>
      <sz val="16"/>
      <color indexed="8"/>
      <name val="Wingdings 3"/>
      <family val="1"/>
    </font>
    <font>
      <sz val="10"/>
      <color indexed="8"/>
      <name val="Wingdings 3"/>
      <family val="1"/>
    </font>
    <font>
      <b/>
      <sz val="16"/>
      <color indexed="8"/>
      <name val="Frutiger 45 Light"/>
      <family val="2"/>
    </font>
    <font>
      <b/>
      <u val="single"/>
      <sz val="10"/>
      <color indexed="8"/>
      <name val="Frutiger 45 Light"/>
      <family val="2"/>
    </font>
    <font>
      <sz val="10"/>
      <color indexed="9"/>
      <name val="Frutiger 45 Light"/>
      <family val="2"/>
    </font>
    <font>
      <b/>
      <sz val="16"/>
      <color indexed="9"/>
      <name val="Frutiger 45 Light"/>
      <family val="2"/>
    </font>
    <font>
      <sz val="16"/>
      <color indexed="9"/>
      <name val="Frutiger 45 Light"/>
      <family val="2"/>
    </font>
    <font>
      <sz val="9"/>
      <color indexed="9"/>
      <name val="Frutiger 45 Light"/>
      <family val="2"/>
    </font>
    <font>
      <b/>
      <sz val="10"/>
      <color indexed="9"/>
      <name val="Frutiger 45 Light"/>
      <family val="2"/>
    </font>
    <font>
      <b/>
      <sz val="9"/>
      <color indexed="9"/>
      <name val="Frutiger 45 Light"/>
      <family val="2"/>
    </font>
    <font>
      <b/>
      <sz val="11"/>
      <color indexed="9"/>
      <name val="Frutiger 45 Light"/>
      <family val="2"/>
    </font>
    <font>
      <sz val="8"/>
      <color indexed="8"/>
      <name val="Wingdings 3"/>
      <family val="1"/>
    </font>
    <font>
      <sz val="11"/>
      <color indexed="8"/>
      <name val="Frutiger 45 Light"/>
      <family val="2"/>
    </font>
    <font>
      <b/>
      <sz val="11"/>
      <color indexed="8"/>
      <name val="Frutiger 45 Light"/>
      <family val="2"/>
    </font>
    <font>
      <sz val="12"/>
      <color theme="1"/>
      <name val="Frutiger 45 Light"/>
      <family val="2"/>
    </font>
    <font>
      <sz val="12"/>
      <color theme="0"/>
      <name val="Frutiger 45 Light"/>
      <family val="2"/>
    </font>
    <font>
      <b/>
      <sz val="12"/>
      <color rgb="FF3F3F3F"/>
      <name val="Frutiger 45 Light"/>
      <family val="2"/>
    </font>
    <font>
      <b/>
      <sz val="12"/>
      <color rgb="FFFA7D00"/>
      <name val="Frutiger 45 Light"/>
      <family val="2"/>
    </font>
    <font>
      <u val="single"/>
      <sz val="10"/>
      <color theme="11"/>
      <name val="Frutiger 45 Light"/>
      <family val="2"/>
    </font>
    <font>
      <sz val="12"/>
      <color rgb="FF3F3F76"/>
      <name val="Frutiger 45 Light"/>
      <family val="2"/>
    </font>
    <font>
      <b/>
      <sz val="12"/>
      <color theme="1"/>
      <name val="Frutiger 45 Light"/>
      <family val="2"/>
    </font>
    <font>
      <i/>
      <sz val="12"/>
      <color rgb="FF7F7F7F"/>
      <name val="Frutiger 45 Light"/>
      <family val="2"/>
    </font>
    <font>
      <sz val="12"/>
      <color rgb="FF006100"/>
      <name val="Frutiger 45 Light"/>
      <family val="2"/>
    </font>
    <font>
      <u val="single"/>
      <sz val="10"/>
      <color theme="10"/>
      <name val="Frutiger 45 Light"/>
      <family val="2"/>
    </font>
    <font>
      <sz val="12"/>
      <color rgb="FF9C5700"/>
      <name val="Frutiger 45 Light"/>
      <family val="2"/>
    </font>
    <font>
      <sz val="12"/>
      <color rgb="FF9C0006"/>
      <name val="Frutiger 45 Light"/>
      <family val="2"/>
    </font>
    <font>
      <sz val="18"/>
      <color theme="3"/>
      <name val="Frutiger 45 Light"/>
      <family val="2"/>
    </font>
    <font>
      <b/>
      <sz val="15"/>
      <color theme="3"/>
      <name val="Frutiger 45 Light"/>
      <family val="2"/>
    </font>
    <font>
      <b/>
      <sz val="13"/>
      <color theme="3"/>
      <name val="Frutiger 45 Light"/>
      <family val="2"/>
    </font>
    <font>
      <b/>
      <sz val="11"/>
      <color theme="3"/>
      <name val="Frutiger 45 Light"/>
      <family val="2"/>
    </font>
    <font>
      <sz val="12"/>
      <color rgb="FFFA7D00"/>
      <name val="Frutiger 45 Light"/>
      <family val="2"/>
    </font>
    <font>
      <sz val="12"/>
      <color rgb="FFFF0000"/>
      <name val="Frutiger 45 Light"/>
      <family val="2"/>
    </font>
    <font>
      <b/>
      <sz val="12"/>
      <color theme="0"/>
      <name val="Frutiger 45 Light"/>
      <family val="2"/>
    </font>
    <font>
      <sz val="10"/>
      <color theme="10"/>
      <name val="Frutiger 45 Light"/>
      <family val="2"/>
    </font>
    <font>
      <b/>
      <sz val="10"/>
      <color theme="1"/>
      <name val="Frutiger 45 Light"/>
      <family val="2"/>
    </font>
    <font>
      <sz val="8"/>
      <color theme="1"/>
      <name val="Frutiger 45 Light"/>
      <family val="2"/>
    </font>
    <font>
      <b/>
      <sz val="10"/>
      <color rgb="FFC00000"/>
      <name val="Frutiger 45 Light"/>
      <family val="2"/>
    </font>
    <font>
      <sz val="16"/>
      <color theme="1"/>
      <name val="Frutiger 45 Light"/>
      <family val="2"/>
    </font>
    <font>
      <b/>
      <sz val="10"/>
      <color theme="1"/>
      <name val="Wingdings 3"/>
      <family val="1"/>
    </font>
    <font>
      <u val="single"/>
      <sz val="10"/>
      <color theme="10"/>
      <name val="Wingdings 3"/>
      <family val="1"/>
    </font>
    <font>
      <b/>
      <sz val="16"/>
      <color theme="1"/>
      <name val="Wingdings 3"/>
      <family val="1"/>
    </font>
    <font>
      <sz val="16"/>
      <color theme="1"/>
      <name val="Wingdings 3"/>
      <family val="1"/>
    </font>
    <font>
      <sz val="10"/>
      <color theme="1"/>
      <name val="Wingdings 3"/>
      <family val="1"/>
    </font>
    <font>
      <b/>
      <sz val="16"/>
      <color theme="1"/>
      <name val="Frutiger 45 Light"/>
      <family val="2"/>
    </font>
    <font>
      <b/>
      <u val="single"/>
      <sz val="10"/>
      <color theme="10"/>
      <name val="Frutiger 45 Light"/>
      <family val="2"/>
    </font>
    <font>
      <sz val="10"/>
      <color theme="0"/>
      <name val="Frutiger 45 Light"/>
      <family val="2"/>
    </font>
    <font>
      <b/>
      <sz val="16"/>
      <color theme="0"/>
      <name val="Frutiger 45 Light"/>
      <family val="2"/>
    </font>
    <font>
      <sz val="16"/>
      <color theme="0"/>
      <name val="Frutiger 45 Light"/>
      <family val="2"/>
    </font>
    <font>
      <sz val="9"/>
      <color theme="0"/>
      <name val="Frutiger 45 Light"/>
      <family val="2"/>
    </font>
    <font>
      <b/>
      <sz val="10"/>
      <color theme="0"/>
      <name val="Frutiger 45 Light"/>
      <family val="2"/>
    </font>
    <font>
      <b/>
      <sz val="9"/>
      <color theme="0"/>
      <name val="Frutiger 45 Light"/>
      <family val="2"/>
    </font>
    <font>
      <b/>
      <sz val="11"/>
      <color theme="0"/>
      <name val="Frutiger 45 Light"/>
      <family val="2"/>
    </font>
    <font>
      <sz val="8"/>
      <color theme="1"/>
      <name val="Wingdings 3"/>
      <family val="1"/>
    </font>
    <font>
      <sz val="11"/>
      <color theme="1"/>
      <name val="Frutiger 45 Light"/>
      <family val="2"/>
    </font>
    <font>
      <b/>
      <sz val="11"/>
      <color theme="10"/>
      <name val="Frutiger 45 Ligh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99D5D2"/>
        <bgColor indexed="64"/>
      </patternFill>
    </fill>
    <fill>
      <patternFill patternType="solid">
        <fgColor rgb="FF004976"/>
        <bgColor indexed="64"/>
      </patternFill>
    </fill>
    <fill>
      <patternFill patternType="solid">
        <fgColor rgb="FFD8AAAC"/>
        <bgColor indexed="64"/>
      </patternFill>
    </fill>
    <fill>
      <patternFill patternType="solid">
        <fgColor rgb="FF99B6C8"/>
        <bgColor indexed="64"/>
      </patternFill>
    </fill>
    <fill>
      <patternFill patternType="solid">
        <fgColor rgb="FFBAADC9"/>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style="thin">
        <color theme="0"/>
      </left>
      <right/>
      <top/>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6" borderId="2" applyNumberFormat="0" applyAlignment="0" applyProtection="0"/>
    <xf numFmtId="0" fontId="66" fillId="0" borderId="0" applyNumberFormat="0" applyFill="0" applyBorder="0" applyAlignment="0" applyProtection="0"/>
    <xf numFmtId="41" fontId="0" fillId="0" borderId="0" applyFont="0" applyFill="0" applyBorder="0" applyAlignment="0" applyProtection="0"/>
    <xf numFmtId="0" fontId="67" fillId="27" borderId="2" applyNumberFormat="0" applyAlignment="0" applyProtection="0"/>
    <xf numFmtId="0" fontId="68" fillId="0" borderId="3" applyNumberFormat="0" applyFill="0" applyAlignment="0" applyProtection="0"/>
    <xf numFmtId="0" fontId="69" fillId="0" borderId="0" applyNumberFormat="0" applyFill="0" applyBorder="0" applyAlignment="0" applyProtection="0"/>
    <xf numFmtId="0" fontId="70" fillId="28" borderId="0" applyNumberFormat="0" applyBorder="0" applyAlignment="0" applyProtection="0"/>
    <xf numFmtId="164" fontId="0" fillId="0" borderId="0" applyFon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3" fillId="31" borderId="0" applyNumberFormat="0" applyBorder="0" applyAlignment="0" applyProtection="0"/>
    <xf numFmtId="0" fontId="4" fillId="0" borderId="0">
      <alignment/>
      <protection/>
    </xf>
    <xf numFmtId="0" fontId="4" fillId="0" borderId="0">
      <alignment/>
      <protection/>
    </xf>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32" borderId="9" applyNumberFormat="0" applyAlignment="0" applyProtection="0"/>
  </cellStyleXfs>
  <cellXfs count="492">
    <xf numFmtId="0" fontId="0" fillId="0" borderId="0" xfId="0" applyAlignment="1">
      <alignment/>
    </xf>
    <xf numFmtId="0" fontId="0" fillId="0" borderId="0" xfId="0" applyFont="1" applyAlignment="1" applyProtection="1">
      <alignment/>
      <protection hidden="1"/>
    </xf>
    <xf numFmtId="0" fontId="2" fillId="0" borderId="0" xfId="0" applyFont="1" applyFill="1" applyAlignment="1" applyProtection="1">
      <alignment/>
      <protection hidden="1"/>
    </xf>
    <xf numFmtId="0" fontId="81" fillId="0" borderId="0" xfId="48" applyFont="1" applyFill="1" applyAlignment="1" applyProtection="1">
      <alignment horizontal="left"/>
      <protection hidden="1"/>
    </xf>
    <xf numFmtId="0" fontId="4" fillId="0" borderId="0" xfId="0" applyFont="1" applyFill="1" applyAlignment="1" applyProtection="1">
      <alignment horizontal="left"/>
      <protection hidden="1"/>
    </xf>
    <xf numFmtId="0" fontId="81" fillId="0" borderId="0" xfId="48" applyFont="1" applyAlignment="1" applyProtection="1">
      <alignment/>
      <protection hidden="1"/>
    </xf>
    <xf numFmtId="0" fontId="82" fillId="0" borderId="0" xfId="0" applyFont="1" applyFill="1" applyAlignment="1" applyProtection="1">
      <alignment/>
      <protection hidden="1"/>
    </xf>
    <xf numFmtId="0" fontId="2" fillId="0" borderId="0" xfId="0" applyFont="1" applyFill="1" applyAlignment="1" applyProtection="1">
      <alignment horizontal="right"/>
      <protection hidden="1"/>
    </xf>
    <xf numFmtId="0" fontId="2" fillId="0" borderId="0" xfId="0" applyFont="1" applyFill="1" applyAlignment="1" applyProtection="1">
      <alignment/>
      <protection hidden="1"/>
    </xf>
    <xf numFmtId="0" fontId="0" fillId="0" borderId="0" xfId="0" applyFont="1" applyFill="1" applyAlignment="1" applyProtection="1">
      <alignment/>
      <protection hidden="1"/>
    </xf>
    <xf numFmtId="0" fontId="0" fillId="0" borderId="0" xfId="0" applyFont="1" applyFill="1" applyAlignment="1" applyProtection="1">
      <alignment horizontal="left"/>
      <protection hidden="1"/>
    </xf>
    <xf numFmtId="0" fontId="0" fillId="0" borderId="0" xfId="0" applyFont="1" applyFill="1" applyAlignment="1" applyProtection="1">
      <alignment horizontal="right"/>
      <protection hidden="1"/>
    </xf>
    <xf numFmtId="0" fontId="71" fillId="0" borderId="0" xfId="48" applyFont="1" applyFill="1" applyAlignment="1" applyProtection="1">
      <alignment horizontal="right"/>
      <protection hidden="1"/>
    </xf>
    <xf numFmtId="0" fontId="4" fillId="0" borderId="0" xfId="0" applyFont="1" applyFill="1" applyAlignment="1" applyProtection="1">
      <alignment horizontal="right"/>
      <protection hidden="1"/>
    </xf>
    <xf numFmtId="3" fontId="4" fillId="0" borderId="0" xfId="0" applyNumberFormat="1" applyFont="1" applyFill="1" applyAlignment="1" applyProtection="1">
      <alignment horizontal="right"/>
      <protection hidden="1"/>
    </xf>
    <xf numFmtId="0" fontId="0" fillId="0" borderId="0" xfId="0" applyFont="1" applyFill="1" applyAlignment="1" applyProtection="1">
      <alignment horizontal="left" indent="1"/>
      <protection hidden="1"/>
    </xf>
    <xf numFmtId="166" fontId="4" fillId="0" borderId="0" xfId="0" applyNumberFormat="1" applyFont="1" applyFill="1" applyAlignment="1" applyProtection="1">
      <alignment horizontal="right"/>
      <protection hidden="1"/>
    </xf>
    <xf numFmtId="3"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4" fillId="0" borderId="0" xfId="0" applyFont="1" applyFill="1" applyAlignment="1" applyProtection="1">
      <alignment horizontal="left" indent="1"/>
      <protection hidden="1"/>
    </xf>
    <xf numFmtId="0" fontId="4" fillId="0" borderId="0" xfId="0" applyNumberFormat="1" applyFont="1" applyFill="1" applyAlignment="1" applyProtection="1">
      <alignment horizontal="right"/>
      <protection hidden="1"/>
    </xf>
    <xf numFmtId="0" fontId="83" fillId="0" borderId="0" xfId="0" applyFont="1" applyAlignment="1" applyProtection="1">
      <alignment/>
      <protection hidden="1"/>
    </xf>
    <xf numFmtId="0" fontId="7" fillId="0" borderId="0" xfId="0" applyFont="1" applyFill="1" applyBorder="1" applyAlignment="1" applyProtection="1">
      <alignment horizontal="left" vertical="top"/>
      <protection hidden="1"/>
    </xf>
    <xf numFmtId="0" fontId="7" fillId="0" borderId="0" xfId="0" applyFont="1" applyFill="1" applyBorder="1" applyAlignment="1" applyProtection="1">
      <alignment horizontal="left" vertical="top" wrapText="1"/>
      <protection hidden="1"/>
    </xf>
    <xf numFmtId="0" fontId="7" fillId="0" borderId="0" xfId="0" applyFont="1" applyFill="1" applyAlignment="1" applyProtection="1">
      <alignment horizontal="left" vertical="top"/>
      <protection hidden="1"/>
    </xf>
    <xf numFmtId="0" fontId="7" fillId="0" borderId="0" xfId="0" applyFont="1" applyFill="1" applyAlignment="1" applyProtection="1">
      <alignment horizontal="left" vertical="top" wrapText="1"/>
      <protection hidden="1"/>
    </xf>
    <xf numFmtId="0" fontId="7" fillId="0" borderId="0" xfId="0" applyFont="1" applyFill="1" applyAlignment="1" applyProtection="1">
      <alignment horizontal="left"/>
      <protection hidden="1"/>
    </xf>
    <xf numFmtId="0" fontId="2" fillId="0" borderId="0" xfId="0" applyFont="1" applyFill="1" applyAlignment="1" applyProtection="1">
      <alignment wrapText="1"/>
      <protection hidden="1"/>
    </xf>
    <xf numFmtId="0" fontId="4" fillId="0" borderId="0" xfId="0" applyFont="1" applyFill="1" applyAlignment="1" applyProtection="1">
      <alignment wrapText="1"/>
      <protection hidden="1"/>
    </xf>
    <xf numFmtId="0" fontId="84" fillId="0" borderId="0" xfId="0" applyFont="1" applyFill="1" applyAlignment="1" applyProtection="1">
      <alignment/>
      <protection hidden="1"/>
    </xf>
    <xf numFmtId="0" fontId="0" fillId="0" borderId="0" xfId="0" applyFont="1" applyAlignment="1" applyProtection="1">
      <alignment/>
      <protection hidden="1"/>
    </xf>
    <xf numFmtId="0" fontId="82" fillId="0" borderId="0" xfId="0" applyFont="1" applyAlignment="1" applyProtection="1">
      <alignment/>
      <protection hidden="1"/>
    </xf>
    <xf numFmtId="0" fontId="0" fillId="0" borderId="0" xfId="0" applyFont="1" applyAlignment="1" applyProtection="1">
      <alignment horizontal="left"/>
      <protection hidden="1"/>
    </xf>
    <xf numFmtId="0" fontId="82" fillId="0" borderId="0" xfId="0" applyFont="1" applyAlignment="1" applyProtection="1">
      <alignment wrapText="1"/>
      <protection hidden="1"/>
    </xf>
    <xf numFmtId="0" fontId="4" fillId="0" borderId="0" xfId="0" applyFont="1" applyFill="1" applyAlignment="1">
      <alignment/>
    </xf>
    <xf numFmtId="0" fontId="0" fillId="0" borderId="0" xfId="0" applyFont="1" applyFill="1" applyAlignment="1" applyProtection="1">
      <alignment horizontal="left" indent="2"/>
      <protection hidden="1"/>
    </xf>
    <xf numFmtId="0" fontId="0" fillId="0" borderId="0" xfId="0" applyFont="1" applyAlignment="1" applyProtection="1">
      <alignment horizontal="left" indent="1"/>
      <protection hidden="1"/>
    </xf>
    <xf numFmtId="0" fontId="0" fillId="0" borderId="0" xfId="0" applyFont="1" applyAlignment="1" applyProtection="1">
      <alignment horizontal="right"/>
      <protection hidden="1"/>
    </xf>
    <xf numFmtId="0" fontId="85" fillId="0" borderId="0" xfId="0" applyFont="1" applyAlignment="1" applyProtection="1">
      <alignment horizontal="right" vertical="center"/>
      <protection hidden="1"/>
    </xf>
    <xf numFmtId="0" fontId="82" fillId="0" borderId="0" xfId="0" applyFont="1" applyAlignment="1" applyProtection="1">
      <alignment horizontal="right"/>
      <protection hidden="1"/>
    </xf>
    <xf numFmtId="0" fontId="82" fillId="0" borderId="0" xfId="0" applyFont="1" applyFill="1" applyAlignment="1" applyProtection="1">
      <alignment horizontal="right"/>
      <protection hidden="1"/>
    </xf>
    <xf numFmtId="0" fontId="7" fillId="0" borderId="0" xfId="0" applyFont="1" applyFill="1" applyBorder="1" applyAlignment="1" applyProtection="1">
      <alignment horizontal="right" vertical="top" wrapText="1"/>
      <protection hidden="1"/>
    </xf>
    <xf numFmtId="0" fontId="7" fillId="0" borderId="0" xfId="0" applyFont="1" applyFill="1" applyAlignment="1" applyProtection="1">
      <alignment horizontal="right" vertical="top" wrapText="1"/>
      <protection hidden="1"/>
    </xf>
    <xf numFmtId="0" fontId="7" fillId="0" borderId="0" xfId="0" applyFont="1" applyFill="1" applyAlignment="1" applyProtection="1">
      <alignment horizontal="right"/>
      <protection hidden="1"/>
    </xf>
    <xf numFmtId="0" fontId="7" fillId="0" borderId="0" xfId="0" applyFont="1" applyFill="1" applyAlignment="1" applyProtection="1">
      <alignment horizontal="right" vertical="top"/>
      <protection hidden="1"/>
    </xf>
    <xf numFmtId="0" fontId="85" fillId="0" borderId="0" xfId="0" applyFont="1" applyAlignment="1" applyProtection="1">
      <alignment horizontal="right" vertical="center" indent="1"/>
      <protection hidden="1"/>
    </xf>
    <xf numFmtId="0" fontId="82" fillId="0" borderId="0" xfId="0" applyFont="1" applyAlignment="1" applyProtection="1">
      <alignment horizontal="right" indent="1"/>
      <protection hidden="1"/>
    </xf>
    <xf numFmtId="0" fontId="0" fillId="0" borderId="0" xfId="0" applyFont="1" applyAlignment="1" applyProtection="1">
      <alignment horizontal="right" indent="1"/>
      <protection hidden="1"/>
    </xf>
    <xf numFmtId="0" fontId="82" fillId="0" borderId="0" xfId="0" applyFont="1" applyFill="1" applyAlignment="1" applyProtection="1">
      <alignment horizontal="right" indent="1"/>
      <protection hidden="1"/>
    </xf>
    <xf numFmtId="0" fontId="0" fillId="0" borderId="0" xfId="0" applyFont="1" applyFill="1" applyAlignment="1" applyProtection="1">
      <alignment horizontal="right" indent="1"/>
      <protection hidden="1"/>
    </xf>
    <xf numFmtId="0" fontId="4" fillId="0" borderId="0" xfId="0" applyFont="1" applyFill="1" applyAlignment="1" applyProtection="1">
      <alignment horizontal="right" indent="1"/>
      <protection hidden="1"/>
    </xf>
    <xf numFmtId="0" fontId="7" fillId="0" borderId="0" xfId="0" applyFont="1" applyFill="1" applyBorder="1" applyAlignment="1" applyProtection="1">
      <alignment horizontal="right" vertical="top" wrapText="1" indent="1"/>
      <protection hidden="1"/>
    </xf>
    <xf numFmtId="0" fontId="7" fillId="0" borderId="0" xfId="0" applyFont="1" applyFill="1" applyAlignment="1" applyProtection="1">
      <alignment horizontal="right" vertical="top" wrapText="1" indent="1"/>
      <protection hidden="1"/>
    </xf>
    <xf numFmtId="0" fontId="7" fillId="0" borderId="0" xfId="0" applyFont="1" applyFill="1" applyAlignment="1" applyProtection="1">
      <alignment horizontal="right" indent="1"/>
      <protection hidden="1"/>
    </xf>
    <xf numFmtId="0" fontId="7" fillId="0" borderId="0" xfId="0" applyFont="1" applyFill="1" applyAlignment="1" applyProtection="1">
      <alignment horizontal="right" vertical="top" indent="1"/>
      <protection hidden="1"/>
    </xf>
    <xf numFmtId="0" fontId="86" fillId="0" borderId="0" xfId="0" applyFont="1" applyAlignment="1" applyProtection="1">
      <alignment/>
      <protection hidden="1"/>
    </xf>
    <xf numFmtId="0" fontId="87" fillId="0" borderId="0" xfId="48" applyFont="1" applyAlignment="1" applyProtection="1">
      <alignment horizontal="right"/>
      <protection hidden="1"/>
    </xf>
    <xf numFmtId="0" fontId="14" fillId="0" borderId="0" xfId="48" applyFont="1" applyAlignment="1" applyProtection="1">
      <alignment horizontal="right"/>
      <protection hidden="1"/>
    </xf>
    <xf numFmtId="0" fontId="15" fillId="0" borderId="0" xfId="48" applyFont="1" applyAlignment="1" applyProtection="1">
      <alignment horizontal="right"/>
      <protection hidden="1"/>
    </xf>
    <xf numFmtId="0" fontId="82" fillId="0" borderId="0" xfId="0" applyFont="1" applyFill="1" applyAlignment="1" applyProtection="1">
      <alignment vertical="top"/>
      <protection hidden="1"/>
    </xf>
    <xf numFmtId="0" fontId="0" fillId="0" borderId="0" xfId="0" applyFont="1" applyFill="1" applyAlignment="1" applyProtection="1">
      <alignment vertical="top"/>
      <protection hidden="1"/>
    </xf>
    <xf numFmtId="0" fontId="0" fillId="0" borderId="0" xfId="0" applyFont="1" applyAlignment="1" applyProtection="1">
      <alignment vertical="top"/>
      <protection hidden="1"/>
    </xf>
    <xf numFmtId="0" fontId="14" fillId="0" borderId="0" xfId="48" applyFont="1" applyAlignment="1" applyProtection="1">
      <alignment horizontal="right" vertical="top"/>
      <protection hidden="1"/>
    </xf>
    <xf numFmtId="0" fontId="15" fillId="0" borderId="0" xfId="48" applyFont="1" applyAlignment="1" applyProtection="1">
      <alignment horizontal="right" vertical="top"/>
      <protection hidden="1"/>
    </xf>
    <xf numFmtId="0" fontId="88" fillId="0" borderId="0" xfId="0" applyFont="1" applyAlignment="1" applyProtection="1">
      <alignment vertical="center"/>
      <protection hidden="1"/>
    </xf>
    <xf numFmtId="0" fontId="89" fillId="0" borderId="0" xfId="0" applyFont="1" applyAlignment="1" applyProtection="1">
      <alignment vertical="center"/>
      <protection hidden="1"/>
    </xf>
    <xf numFmtId="0" fontId="90" fillId="0" borderId="0" xfId="0" applyFont="1" applyAlignment="1" applyProtection="1">
      <alignment/>
      <protection hidden="1"/>
    </xf>
    <xf numFmtId="0" fontId="0" fillId="0" borderId="0" xfId="0" applyFill="1" applyAlignment="1" applyProtection="1">
      <alignment/>
      <protection hidden="1"/>
    </xf>
    <xf numFmtId="0" fontId="4" fillId="0" borderId="0" xfId="54" applyFill="1" applyProtection="1">
      <alignment/>
      <protection hidden="1"/>
    </xf>
    <xf numFmtId="165" fontId="0" fillId="0" borderId="0" xfId="47" applyNumberFormat="1" applyFont="1" applyFill="1" applyAlignment="1" applyProtection="1">
      <alignment horizontal="right"/>
      <protection hidden="1"/>
    </xf>
    <xf numFmtId="0" fontId="4" fillId="0" borderId="0" xfId="54" applyFill="1" applyAlignment="1" applyProtection="1">
      <alignment horizontal="left" indent="1"/>
      <protection hidden="1"/>
    </xf>
    <xf numFmtId="167" fontId="0" fillId="0" borderId="0" xfId="47" applyNumberFormat="1" applyFont="1" applyFill="1" applyAlignment="1" applyProtection="1">
      <alignment horizontal="right"/>
      <protection hidden="1"/>
    </xf>
    <xf numFmtId="0" fontId="0" fillId="0" borderId="0" xfId="0" applyFill="1" applyAlignment="1" applyProtection="1">
      <alignment horizontal="right"/>
      <protection hidden="1"/>
    </xf>
    <xf numFmtId="0" fontId="4" fillId="0" borderId="0" xfId="54" applyFill="1" applyAlignment="1" applyProtection="1">
      <alignment horizontal="left"/>
      <protection hidden="1"/>
    </xf>
    <xf numFmtId="3" fontId="0" fillId="0" borderId="0" xfId="0" applyNumberFormat="1" applyFill="1" applyAlignment="1" applyProtection="1">
      <alignment horizontal="right"/>
      <protection hidden="1"/>
    </xf>
    <xf numFmtId="0" fontId="0" fillId="0" borderId="0" xfId="0" applyFill="1" applyAlignment="1" applyProtection="1">
      <alignment/>
      <protection hidden="1"/>
    </xf>
    <xf numFmtId="0" fontId="4" fillId="0" borderId="0" xfId="0" applyFont="1" applyFill="1" applyAlignment="1" applyProtection="1">
      <alignment/>
      <protection hidden="1"/>
    </xf>
    <xf numFmtId="0" fontId="0" fillId="0" borderId="0" xfId="0" applyFill="1" applyAlignment="1" applyProtection="1">
      <alignment horizontal="left" indent="1"/>
      <protection hidden="1"/>
    </xf>
    <xf numFmtId="0" fontId="18" fillId="0" borderId="0" xfId="0" applyFont="1" applyAlignment="1" applyProtection="1">
      <alignment horizontal="right" vertical="center"/>
      <protection hidden="1"/>
    </xf>
    <xf numFmtId="0" fontId="19" fillId="0" borderId="0" xfId="0" applyFont="1" applyAlignment="1" applyProtection="1">
      <alignment horizontal="right" vertical="center"/>
      <protection hidden="1"/>
    </xf>
    <xf numFmtId="0" fontId="20" fillId="0" borderId="0" xfId="0" applyFont="1" applyAlignment="1" applyProtection="1">
      <alignment horizontal="right"/>
      <protection hidden="1"/>
    </xf>
    <xf numFmtId="0" fontId="14" fillId="0" borderId="0" xfId="0" applyFont="1" applyAlignment="1" applyProtection="1">
      <alignment horizontal="right"/>
      <protection hidden="1"/>
    </xf>
    <xf numFmtId="0" fontId="14" fillId="0" borderId="0" xfId="0" applyFont="1" applyAlignment="1" applyProtection="1">
      <alignment horizontal="right" vertical="top"/>
      <protection hidden="1"/>
    </xf>
    <xf numFmtId="0" fontId="16"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3" fillId="0" borderId="0" xfId="0" applyFont="1" applyAlignment="1" applyProtection="1">
      <alignment horizontal="right"/>
      <protection hidden="1"/>
    </xf>
    <xf numFmtId="0" fontId="15" fillId="0" borderId="0" xfId="0" applyFont="1" applyAlignment="1" applyProtection="1">
      <alignment horizontal="right"/>
      <protection hidden="1"/>
    </xf>
    <xf numFmtId="0" fontId="15" fillId="0" borderId="0" xfId="0" applyFont="1" applyAlignment="1" applyProtection="1">
      <alignment horizontal="right" vertical="top"/>
      <protection hidden="1"/>
    </xf>
    <xf numFmtId="0" fontId="88" fillId="0" borderId="0" xfId="0" applyFont="1" applyAlignment="1" applyProtection="1">
      <alignment horizontal="right" vertical="center"/>
      <protection hidden="1"/>
    </xf>
    <xf numFmtId="0" fontId="89" fillId="0" borderId="0" xfId="0" applyFont="1" applyAlignment="1" applyProtection="1">
      <alignment horizontal="right" vertical="center"/>
      <protection hidden="1"/>
    </xf>
    <xf numFmtId="0" fontId="86" fillId="0" borderId="0" xfId="0" applyFont="1" applyAlignment="1" applyProtection="1">
      <alignment horizontal="right"/>
      <protection hidden="1"/>
    </xf>
    <xf numFmtId="0" fontId="90" fillId="0" borderId="0" xfId="0" applyFont="1" applyAlignment="1" applyProtection="1">
      <alignment horizontal="right"/>
      <protection hidden="1"/>
    </xf>
    <xf numFmtId="0" fontId="91" fillId="0" borderId="0" xfId="0" applyFont="1" applyAlignment="1" applyProtection="1">
      <alignment horizontal="right" vertical="center"/>
      <protection hidden="1"/>
    </xf>
    <xf numFmtId="0" fontId="89" fillId="0" borderId="0" xfId="0" applyNumberFormat="1" applyFont="1" applyAlignment="1" applyProtection="1">
      <alignment horizontal="right" vertical="center"/>
      <protection hidden="1"/>
    </xf>
    <xf numFmtId="0" fontId="85" fillId="0" borderId="0" xfId="0" applyNumberFormat="1" applyFont="1" applyAlignment="1" applyProtection="1">
      <alignment horizontal="right" vertical="center"/>
      <protection hidden="1"/>
    </xf>
    <xf numFmtId="0" fontId="82" fillId="0" borderId="0" xfId="0" applyNumberFormat="1" applyFont="1" applyAlignment="1" applyProtection="1">
      <alignment/>
      <protection hidden="1"/>
    </xf>
    <xf numFmtId="0" fontId="82" fillId="0" borderId="0" xfId="0" applyNumberFormat="1" applyFont="1" applyAlignment="1" applyProtection="1">
      <alignment horizontal="right"/>
      <protection hidden="1"/>
    </xf>
    <xf numFmtId="0" fontId="90" fillId="0" borderId="0" xfId="0" applyNumberFormat="1" applyFont="1" applyAlignment="1" applyProtection="1">
      <alignment horizontal="right"/>
      <protection hidden="1"/>
    </xf>
    <xf numFmtId="0" fontId="2" fillId="0" borderId="0" xfId="0" applyNumberFormat="1" applyFont="1" applyFill="1" applyAlignment="1" applyProtection="1">
      <alignment/>
      <protection hidden="1"/>
    </xf>
    <xf numFmtId="0" fontId="4" fillId="0" borderId="0" xfId="0" applyNumberFormat="1" applyFont="1" applyFill="1" applyAlignment="1" applyProtection="1">
      <alignment horizontal="left"/>
      <protection hidden="1"/>
    </xf>
    <xf numFmtId="0" fontId="0" fillId="0" borderId="0" xfId="0" applyNumberFormat="1" applyFont="1" applyAlignment="1" applyProtection="1">
      <alignment horizontal="right"/>
      <protection hidden="1"/>
    </xf>
    <xf numFmtId="0" fontId="0" fillId="0" borderId="0" xfId="0" applyNumberFormat="1" applyFont="1" applyAlignment="1" applyProtection="1">
      <alignment/>
      <protection hidden="1"/>
    </xf>
    <xf numFmtId="0" fontId="82" fillId="0" borderId="0" xfId="0" applyNumberFormat="1" applyFont="1" applyFill="1" applyAlignment="1" applyProtection="1">
      <alignment/>
      <protection hidden="1"/>
    </xf>
    <xf numFmtId="0" fontId="82" fillId="0" borderId="0" xfId="0" applyNumberFormat="1" applyFont="1" applyFill="1" applyAlignment="1" applyProtection="1">
      <alignment horizontal="right"/>
      <protection hidden="1"/>
    </xf>
    <xf numFmtId="0" fontId="2" fillId="0" borderId="0" xfId="0" applyNumberFormat="1" applyFont="1" applyFill="1" applyAlignment="1" applyProtection="1">
      <alignment/>
      <protection hidden="1"/>
    </xf>
    <xf numFmtId="0" fontId="0" fillId="0" borderId="0" xfId="0" applyNumberFormat="1" applyFont="1" applyFill="1" applyAlignment="1" applyProtection="1">
      <alignment/>
      <protection hidden="1"/>
    </xf>
    <xf numFmtId="0" fontId="71" fillId="0" borderId="0" xfId="48" applyNumberFormat="1" applyFont="1" applyFill="1" applyAlignment="1" applyProtection="1">
      <alignment horizontal="right"/>
      <protection hidden="1"/>
    </xf>
    <xf numFmtId="0" fontId="0" fillId="0" borderId="0" xfId="0" applyNumberFormat="1" applyFont="1" applyFill="1" applyAlignment="1" applyProtection="1">
      <alignment horizontal="right"/>
      <protection hidden="1"/>
    </xf>
    <xf numFmtId="0" fontId="2" fillId="0" borderId="0" xfId="0" applyNumberFormat="1" applyFont="1" applyFill="1" applyBorder="1" applyAlignment="1" applyProtection="1">
      <alignment horizontal="right" vertical="top" wrapText="1"/>
      <protection hidden="1"/>
    </xf>
    <xf numFmtId="0" fontId="8" fillId="0" borderId="0" xfId="0" applyNumberFormat="1" applyFont="1" applyAlignment="1" applyProtection="1">
      <alignment horizontal="right" vertical="center"/>
      <protection hidden="1"/>
    </xf>
    <xf numFmtId="0" fontId="9" fillId="0" borderId="0" xfId="0" applyNumberFormat="1" applyFont="1" applyAlignment="1" applyProtection="1">
      <alignment horizontal="right" vertical="center"/>
      <protection hidden="1"/>
    </xf>
    <xf numFmtId="0" fontId="2" fillId="0" borderId="0" xfId="0" applyNumberFormat="1" applyFont="1" applyAlignment="1" applyProtection="1">
      <alignment horizontal="right"/>
      <protection hidden="1"/>
    </xf>
    <xf numFmtId="0" fontId="4" fillId="0" borderId="0" xfId="0" applyNumberFormat="1" applyFont="1" applyAlignment="1" applyProtection="1">
      <alignment horizontal="right"/>
      <protection hidden="1"/>
    </xf>
    <xf numFmtId="0" fontId="82" fillId="0" borderId="0" xfId="0" applyFont="1" applyAlignment="1" applyProtection="1">
      <alignment horizontal="right" vertical="top"/>
      <protection hidden="1"/>
    </xf>
    <xf numFmtId="0" fontId="0" fillId="0" borderId="0" xfId="0" applyFont="1" applyAlignment="1" applyProtection="1">
      <alignment horizontal="right" vertical="top"/>
      <protection hidden="1"/>
    </xf>
    <xf numFmtId="166" fontId="0" fillId="0" borderId="0" xfId="0" applyNumberFormat="1" applyFont="1" applyAlignment="1" applyProtection="1">
      <alignment horizontal="right"/>
      <protection hidden="1"/>
    </xf>
    <xf numFmtId="0" fontId="9" fillId="0" borderId="0" xfId="0" applyNumberFormat="1" applyFont="1" applyFill="1" applyAlignment="1" applyProtection="1">
      <alignment horizontal="right" vertical="center"/>
      <protection hidden="1"/>
    </xf>
    <xf numFmtId="0" fontId="2" fillId="0" borderId="0" xfId="0" applyNumberFormat="1" applyFont="1" applyFill="1" applyAlignment="1" applyProtection="1">
      <alignment horizontal="right"/>
      <protection hidden="1"/>
    </xf>
    <xf numFmtId="0" fontId="2" fillId="0" borderId="0" xfId="0" applyFont="1" applyFill="1" applyAlignment="1" applyProtection="1">
      <alignment horizontal="right" vertical="top"/>
      <protection hidden="1"/>
    </xf>
    <xf numFmtId="0" fontId="4" fillId="0" borderId="0" xfId="0" applyNumberFormat="1" applyFont="1" applyFill="1" applyAlignment="1" applyProtection="1">
      <alignment horizontal="right" vertical="top"/>
      <protection hidden="1"/>
    </xf>
    <xf numFmtId="0" fontId="2" fillId="0" borderId="0" xfId="0" applyNumberFormat="1" applyFont="1" applyFill="1" applyAlignment="1" applyProtection="1">
      <alignment horizontal="right" vertical="top"/>
      <protection hidden="1"/>
    </xf>
    <xf numFmtId="3" fontId="82" fillId="0" borderId="0" xfId="0" applyNumberFormat="1" applyFont="1" applyFill="1" applyAlignment="1" applyProtection="1">
      <alignment horizontal="right"/>
      <protection hidden="1"/>
    </xf>
    <xf numFmtId="0" fontId="4" fillId="0" borderId="0" xfId="0" applyFont="1" applyFill="1" applyAlignment="1" applyProtection="1">
      <alignment horizontal="right" vertical="top"/>
      <protection hidden="1"/>
    </xf>
    <xf numFmtId="3" fontId="4" fillId="0" borderId="0" xfId="0" applyNumberFormat="1" applyFont="1" applyAlignment="1" applyProtection="1">
      <alignment horizontal="right"/>
      <protection hidden="1"/>
    </xf>
    <xf numFmtId="3" fontId="2" fillId="0" borderId="0" xfId="0" applyNumberFormat="1" applyFont="1" applyFill="1" applyAlignment="1" applyProtection="1">
      <alignment horizontal="right"/>
      <protection hidden="1"/>
    </xf>
    <xf numFmtId="0" fontId="85" fillId="0" borderId="0" xfId="0" applyFont="1" applyFill="1" applyAlignment="1" applyProtection="1">
      <alignment horizontal="right" vertical="center"/>
      <protection hidden="1"/>
    </xf>
    <xf numFmtId="0" fontId="82" fillId="0" borderId="0" xfId="0" applyNumberFormat="1" applyFont="1" applyFill="1" applyAlignment="1" applyProtection="1">
      <alignment vertical="top"/>
      <protection hidden="1"/>
    </xf>
    <xf numFmtId="0" fontId="82" fillId="0" borderId="0" xfId="0" applyNumberFormat="1" applyFont="1" applyFill="1" applyAlignment="1" applyProtection="1">
      <alignment horizontal="right" vertical="top"/>
      <protection hidden="1"/>
    </xf>
    <xf numFmtId="0" fontId="0" fillId="0" borderId="0" xfId="0" applyFont="1" applyFill="1" applyAlignment="1" applyProtection="1">
      <alignment horizontal="right" vertical="top"/>
      <protection hidden="1"/>
    </xf>
    <xf numFmtId="0" fontId="71" fillId="0" borderId="0" xfId="48" applyFont="1" applyFill="1" applyAlignment="1" applyProtection="1">
      <alignment horizontal="right" vertical="top"/>
      <protection hidden="1"/>
    </xf>
    <xf numFmtId="0" fontId="82" fillId="0" borderId="0" xfId="0" applyNumberFormat="1" applyFont="1" applyAlignment="1" applyProtection="1">
      <alignment vertical="top"/>
      <protection hidden="1"/>
    </xf>
    <xf numFmtId="0" fontId="92" fillId="0" borderId="0" xfId="48" applyFont="1" applyFill="1" applyAlignment="1" applyProtection="1">
      <alignment horizontal="right" vertical="top"/>
      <protection hidden="1"/>
    </xf>
    <xf numFmtId="0" fontId="2" fillId="33" borderId="0" xfId="0" applyNumberFormat="1" applyFont="1" applyFill="1" applyAlignment="1" applyProtection="1">
      <alignment horizontal="right" vertical="top"/>
      <protection hidden="1"/>
    </xf>
    <xf numFmtId="0" fontId="4" fillId="33" borderId="0" xfId="0" applyNumberFormat="1" applyFont="1" applyFill="1" applyAlignment="1" applyProtection="1">
      <alignment horizontal="right"/>
      <protection hidden="1"/>
    </xf>
    <xf numFmtId="0" fontId="4" fillId="33" borderId="0" xfId="0" applyNumberFormat="1" applyFont="1" applyFill="1" applyAlignment="1" applyProtection="1">
      <alignment horizontal="right" vertical="top"/>
      <protection hidden="1"/>
    </xf>
    <xf numFmtId="0" fontId="82" fillId="33" borderId="0" xfId="0" applyNumberFormat="1" applyFont="1" applyFill="1" applyAlignment="1" applyProtection="1">
      <alignment horizontal="right"/>
      <protection hidden="1"/>
    </xf>
    <xf numFmtId="0" fontId="85" fillId="0" borderId="0" xfId="0" applyNumberFormat="1" applyFont="1" applyFill="1" applyAlignment="1" applyProtection="1">
      <alignment horizontal="right" vertical="center"/>
      <protection hidden="1"/>
    </xf>
    <xf numFmtId="0" fontId="0" fillId="0" borderId="0" xfId="47" applyNumberFormat="1" applyFont="1" applyFill="1" applyAlignment="1" applyProtection="1">
      <alignment horizontal="right"/>
      <protection hidden="1"/>
    </xf>
    <xf numFmtId="0" fontId="4" fillId="0" borderId="0" xfId="0" applyNumberFormat="1" applyFont="1" applyFill="1" applyAlignment="1" applyProtection="1" quotePrefix="1">
      <alignment horizontal="right"/>
      <protection hidden="1"/>
    </xf>
    <xf numFmtId="0" fontId="0" fillId="33" borderId="0" xfId="0" applyNumberFormat="1" applyFont="1" applyFill="1" applyAlignment="1" applyProtection="1">
      <alignment horizontal="right"/>
      <protection hidden="1"/>
    </xf>
    <xf numFmtId="0" fontId="4" fillId="0" borderId="0" xfId="47" applyNumberFormat="1" applyFont="1" applyFill="1" applyAlignment="1" applyProtection="1">
      <alignment horizontal="right"/>
      <protection hidden="1"/>
    </xf>
    <xf numFmtId="0" fontId="82" fillId="0" borderId="0" xfId="47" applyNumberFormat="1" applyFont="1" applyFill="1" applyAlignment="1" applyProtection="1">
      <alignment horizontal="right"/>
      <protection hidden="1"/>
    </xf>
    <xf numFmtId="0" fontId="2" fillId="33" borderId="0" xfId="0" applyNumberFormat="1" applyFont="1" applyFill="1" applyAlignment="1" applyProtection="1">
      <alignment horizontal="right"/>
      <protection hidden="1"/>
    </xf>
    <xf numFmtId="0" fontId="0" fillId="0" borderId="0" xfId="0" applyNumberFormat="1" applyFont="1" applyFill="1" applyAlignment="1" applyProtection="1">
      <alignment horizontal="right" vertical="top"/>
      <protection hidden="1"/>
    </xf>
    <xf numFmtId="0" fontId="0" fillId="0" borderId="0" xfId="0" applyFont="1" applyAlignment="1" applyProtection="1">
      <alignment horizontal="left" indent="2"/>
      <protection hidden="1"/>
    </xf>
    <xf numFmtId="0" fontId="21" fillId="0" borderId="10" xfId="0" applyFont="1" applyFill="1" applyBorder="1" applyAlignment="1" applyProtection="1">
      <alignment horizontal="left" vertical="center" indent="1"/>
      <protection locked="0"/>
    </xf>
    <xf numFmtId="0" fontId="93" fillId="34" borderId="0" xfId="0" applyFont="1" applyFill="1" applyAlignment="1" applyProtection="1">
      <alignment vertical="top"/>
      <protection hidden="1"/>
    </xf>
    <xf numFmtId="0" fontId="90" fillId="0" borderId="0" xfId="0" applyFont="1" applyFill="1" applyAlignment="1" applyProtection="1">
      <alignment horizontal="right"/>
      <protection hidden="1"/>
    </xf>
    <xf numFmtId="0" fontId="81" fillId="0" borderId="0" xfId="48" applyFont="1" applyFill="1" applyAlignment="1" applyProtection="1">
      <alignment/>
      <protection hidden="1"/>
    </xf>
    <xf numFmtId="0" fontId="2" fillId="0" borderId="0" xfId="0" applyFont="1" applyFill="1" applyAlignment="1" applyProtection="1">
      <alignment horizontal="left" indent="1"/>
      <protection hidden="1"/>
    </xf>
    <xf numFmtId="0" fontId="94" fillId="34" borderId="0" xfId="0" applyFont="1" applyFill="1" applyAlignment="1" applyProtection="1">
      <alignment vertical="center"/>
      <protection hidden="1"/>
    </xf>
    <xf numFmtId="0" fontId="95" fillId="34" borderId="0" xfId="0" applyFont="1" applyFill="1" applyAlignment="1" applyProtection="1">
      <alignment vertical="center"/>
      <protection hidden="1"/>
    </xf>
    <xf numFmtId="0" fontId="82" fillId="0" borderId="0" xfId="0" applyFont="1" applyAlignment="1" applyProtection="1">
      <alignment vertical="top"/>
      <protection hidden="1"/>
    </xf>
    <xf numFmtId="0" fontId="91" fillId="0" borderId="0" xfId="0" applyFont="1" applyAlignment="1" applyProtection="1">
      <alignment vertical="center"/>
      <protection hidden="1"/>
    </xf>
    <xf numFmtId="0" fontId="85" fillId="0" borderId="0" xfId="0" applyFont="1" applyAlignment="1" applyProtection="1">
      <alignment vertical="center"/>
      <protection hidden="1"/>
    </xf>
    <xf numFmtId="0" fontId="91" fillId="0" borderId="0" xfId="0" applyNumberFormat="1" applyFont="1" applyAlignment="1" applyProtection="1">
      <alignment vertical="center"/>
      <protection hidden="1"/>
    </xf>
    <xf numFmtId="0" fontId="85" fillId="0" borderId="0" xfId="0" applyNumberFormat="1" applyFont="1" applyAlignment="1" applyProtection="1">
      <alignment vertical="center"/>
      <protection hidden="1"/>
    </xf>
    <xf numFmtId="0" fontId="94" fillId="34" borderId="0" xfId="0" applyFont="1" applyFill="1" applyAlignment="1" applyProtection="1">
      <alignment vertical="center"/>
      <protection hidden="1"/>
    </xf>
    <xf numFmtId="0" fontId="95" fillId="34" borderId="0" xfId="0" applyFont="1" applyFill="1" applyAlignment="1" applyProtection="1">
      <alignment vertical="center"/>
      <protection hidden="1"/>
    </xf>
    <xf numFmtId="0" fontId="91" fillId="0" borderId="0" xfId="0" applyNumberFormat="1" applyFont="1" applyAlignment="1" applyProtection="1">
      <alignment horizontal="right" vertical="center"/>
      <protection hidden="1"/>
    </xf>
    <xf numFmtId="0" fontId="82" fillId="0" borderId="0" xfId="0" applyNumberFormat="1" applyFont="1" applyAlignment="1" applyProtection="1">
      <alignment horizontal="right" vertical="top"/>
      <protection hidden="1"/>
    </xf>
    <xf numFmtId="0" fontId="0" fillId="0" borderId="0" xfId="0" applyNumberFormat="1" applyFont="1" applyAlignment="1" applyProtection="1">
      <alignment horizontal="right" vertical="top"/>
      <protection hidden="1"/>
    </xf>
    <xf numFmtId="0" fontId="0" fillId="0" borderId="0" xfId="47" applyNumberFormat="1" applyFont="1" applyFill="1" applyAlignment="1" applyProtection="1">
      <alignment horizontal="right"/>
      <protection hidden="1"/>
    </xf>
    <xf numFmtId="0" fontId="0" fillId="0" borderId="0" xfId="0" applyNumberFormat="1" applyFill="1" applyAlignment="1" applyProtection="1">
      <alignment horizontal="right"/>
      <protection hidden="1"/>
    </xf>
    <xf numFmtId="0" fontId="7" fillId="0" borderId="0" xfId="0" applyNumberFormat="1" applyFont="1" applyFill="1" applyAlignment="1" applyProtection="1">
      <alignment horizontal="left"/>
      <protection hidden="1"/>
    </xf>
    <xf numFmtId="0" fontId="0" fillId="0" borderId="0" xfId="0" applyNumberFormat="1" applyFont="1" applyAlignment="1" applyProtection="1">
      <alignment horizontal="left"/>
      <protection hidden="1"/>
    </xf>
    <xf numFmtId="0" fontId="4" fillId="0" borderId="0" xfId="47" applyNumberFormat="1" applyFont="1" applyFill="1" applyBorder="1" applyAlignment="1" applyProtection="1">
      <alignment horizontal="right"/>
      <protection hidden="1"/>
    </xf>
    <xf numFmtId="0" fontId="0" fillId="0" borderId="0" xfId="47" applyNumberFormat="1" applyFont="1" applyFill="1" applyAlignment="1" applyProtection="1" quotePrefix="1">
      <alignment horizontal="right"/>
      <protection hidden="1"/>
    </xf>
    <xf numFmtId="0" fontId="0" fillId="0" borderId="0" xfId="0" applyNumberFormat="1" applyFont="1" applyAlignment="1" applyProtection="1" quotePrefix="1">
      <alignment horizontal="right"/>
      <protection hidden="1"/>
    </xf>
    <xf numFmtId="0" fontId="0" fillId="0" borderId="0" xfId="0" applyFont="1" applyAlignment="1" applyProtection="1" quotePrefix="1">
      <alignment horizontal="right" indent="1"/>
      <protection hidden="1"/>
    </xf>
    <xf numFmtId="0" fontId="0" fillId="0" borderId="0" xfId="0" applyNumberFormat="1" applyFill="1" applyAlignment="1" applyProtection="1" quotePrefix="1">
      <alignment horizontal="right"/>
      <protection hidden="1"/>
    </xf>
    <xf numFmtId="0" fontId="21" fillId="0" borderId="0" xfId="0" applyFont="1" applyFill="1" applyBorder="1" applyAlignment="1" applyProtection="1">
      <alignment horizontal="left" vertical="center" indent="1"/>
      <protection hidden="1"/>
    </xf>
    <xf numFmtId="0" fontId="0" fillId="0" borderId="0" xfId="0" applyFill="1" applyAlignment="1" applyProtection="1">
      <alignment wrapText="1"/>
      <protection hidden="1"/>
    </xf>
    <xf numFmtId="0" fontId="0" fillId="0" borderId="0" xfId="0" applyNumberFormat="1" applyFill="1" applyAlignment="1" applyProtection="1">
      <alignment/>
      <protection hidden="1"/>
    </xf>
    <xf numFmtId="0" fontId="6" fillId="0" borderId="0" xfId="0" applyNumberFormat="1" applyFont="1" applyFill="1" applyAlignment="1" applyProtection="1">
      <alignment wrapText="1"/>
      <protection hidden="1"/>
    </xf>
    <xf numFmtId="0" fontId="0" fillId="0" borderId="0" xfId="0" applyNumberFormat="1" applyFont="1" applyFill="1" applyBorder="1" applyAlignment="1" applyProtection="1">
      <alignment horizontal="right"/>
      <protection hidden="1"/>
    </xf>
    <xf numFmtId="0" fontId="4" fillId="0" borderId="0" xfId="47" applyNumberFormat="1" applyFont="1" applyFill="1" applyAlignment="1" applyProtection="1" quotePrefix="1">
      <alignment horizontal="right"/>
      <protection hidden="1"/>
    </xf>
    <xf numFmtId="0" fontId="0" fillId="0" borderId="0" xfId="0" applyNumberFormat="1" applyFont="1" applyFill="1" applyBorder="1" applyAlignment="1" applyProtection="1" quotePrefix="1">
      <alignment horizontal="right"/>
      <protection hidden="1"/>
    </xf>
    <xf numFmtId="0" fontId="0" fillId="0" borderId="0" xfId="0" applyFill="1" applyAlignment="1" applyProtection="1">
      <alignment horizontal="left"/>
      <protection hidden="1"/>
    </xf>
    <xf numFmtId="0" fontId="0" fillId="0" borderId="0" xfId="0" applyFont="1" applyFill="1" applyAlignment="1" applyProtection="1">
      <alignment horizontal="right"/>
      <protection hidden="1"/>
    </xf>
    <xf numFmtId="0" fontId="0" fillId="0" borderId="0" xfId="0" applyNumberFormat="1" applyFont="1" applyFill="1" applyBorder="1" applyAlignment="1" applyProtection="1">
      <alignment/>
      <protection hidden="1"/>
    </xf>
    <xf numFmtId="0" fontId="0" fillId="0" borderId="0" xfId="0" applyNumberFormat="1" applyFont="1" applyFill="1" applyAlignment="1" applyProtection="1" quotePrefix="1">
      <alignment horizontal="right"/>
      <protection hidden="1"/>
    </xf>
    <xf numFmtId="0" fontId="4" fillId="0" borderId="0" xfId="0" applyNumberFormat="1" applyFont="1" applyFill="1" applyAlignment="1" applyProtection="1">
      <alignment/>
      <protection hidden="1"/>
    </xf>
    <xf numFmtId="0" fontId="6" fillId="0" borderId="0" xfId="0" applyNumberFormat="1" applyFont="1" applyFill="1" applyAlignment="1" applyProtection="1">
      <alignment horizontal="right"/>
      <protection hidden="1"/>
    </xf>
    <xf numFmtId="0" fontId="0" fillId="0" borderId="0" xfId="47" applyNumberFormat="1" applyFont="1" applyFill="1" applyAlignment="1" applyProtection="1">
      <alignment/>
      <protection hidden="1"/>
    </xf>
    <xf numFmtId="0" fontId="6" fillId="0" borderId="0" xfId="47" applyNumberFormat="1" applyFont="1" applyFill="1" applyAlignment="1" applyProtection="1">
      <alignment/>
      <protection hidden="1"/>
    </xf>
    <xf numFmtId="0" fontId="7" fillId="0" borderId="0" xfId="0" applyNumberFormat="1" applyFont="1" applyFill="1" applyBorder="1" applyAlignment="1" applyProtection="1">
      <alignment horizontal="left" vertical="top" wrapText="1"/>
      <protection hidden="1"/>
    </xf>
    <xf numFmtId="0" fontId="7" fillId="0" borderId="0" xfId="0" applyNumberFormat="1" applyFont="1" applyFill="1" applyAlignment="1" applyProtection="1">
      <alignment horizontal="left" vertical="top" wrapText="1"/>
      <protection hidden="1"/>
    </xf>
    <xf numFmtId="0" fontId="7" fillId="0" borderId="0" xfId="0" applyNumberFormat="1" applyFont="1" applyFill="1" applyAlignment="1" applyProtection="1">
      <alignment horizontal="left" vertical="top"/>
      <protection hidden="1"/>
    </xf>
    <xf numFmtId="0" fontId="4" fillId="0" borderId="0" xfId="0" applyNumberFormat="1" applyFont="1" applyAlignment="1" applyProtection="1">
      <alignment/>
      <protection hidden="1"/>
    </xf>
    <xf numFmtId="0" fontId="0" fillId="0" borderId="0" xfId="47" applyNumberFormat="1" applyFont="1" applyAlignment="1" applyProtection="1">
      <alignment horizontal="right"/>
      <protection hidden="1"/>
    </xf>
    <xf numFmtId="0" fontId="87" fillId="0" borderId="0" xfId="48" applyFont="1" applyAlignment="1" applyProtection="1">
      <alignment/>
      <protection hidden="1"/>
    </xf>
    <xf numFmtId="0" fontId="0" fillId="0" borderId="0" xfId="0" applyFill="1" applyAlignment="1" applyProtection="1">
      <alignment horizontal="left" wrapText="1"/>
      <protection hidden="1"/>
    </xf>
    <xf numFmtId="0" fontId="4" fillId="0" borderId="0" xfId="0" applyFont="1" applyFill="1" applyBorder="1" applyAlignment="1" applyProtection="1">
      <alignment horizontal="left"/>
      <protection hidden="1"/>
    </xf>
    <xf numFmtId="0" fontId="0" fillId="0" borderId="0" xfId="0" applyFill="1" applyBorder="1" applyAlignment="1" applyProtection="1">
      <alignment/>
      <protection hidden="1"/>
    </xf>
    <xf numFmtId="0" fontId="4" fillId="0" borderId="0" xfId="0" applyFont="1" applyFill="1" applyBorder="1" applyAlignment="1" applyProtection="1">
      <alignment/>
      <protection hidden="1"/>
    </xf>
    <xf numFmtId="0" fontId="4" fillId="0" borderId="0" xfId="0" applyFont="1" applyFill="1" applyBorder="1" applyAlignment="1" applyProtection="1">
      <alignment horizontal="right"/>
      <protection hidden="1"/>
    </xf>
    <xf numFmtId="0" fontId="0" fillId="0" borderId="0" xfId="0" applyNumberFormat="1" applyFont="1" applyAlignment="1" applyProtection="1">
      <alignment horizontal="right" vertical="center"/>
      <protection hidden="1"/>
    </xf>
    <xf numFmtId="0" fontId="4" fillId="0" borderId="0" xfId="0" applyNumberFormat="1" applyFont="1" applyFill="1" applyBorder="1" applyAlignment="1" applyProtection="1">
      <alignment horizontal="right" vertical="top" wrapText="1"/>
      <protection hidden="1"/>
    </xf>
    <xf numFmtId="0" fontId="4" fillId="0" borderId="0" xfId="0" applyNumberFormat="1" applyFont="1" applyFill="1" applyAlignment="1" applyProtection="1">
      <alignment horizontal="right" vertical="top" wrapText="1"/>
      <protection hidden="1"/>
    </xf>
    <xf numFmtId="0" fontId="81" fillId="0" borderId="0" xfId="48" applyNumberFormat="1" applyFont="1" applyAlignment="1" applyProtection="1">
      <alignment/>
      <protection hidden="1"/>
    </xf>
    <xf numFmtId="0" fontId="87" fillId="0" borderId="0" xfId="48" applyNumberFormat="1" applyFont="1" applyAlignment="1" applyProtection="1">
      <alignment horizontal="right" vertical="top"/>
      <protection hidden="1"/>
    </xf>
    <xf numFmtId="0" fontId="2" fillId="0" borderId="0" xfId="0" applyNumberFormat="1" applyFont="1" applyFill="1" applyAlignment="1" applyProtection="1">
      <alignment horizontal="left"/>
      <protection hidden="1"/>
    </xf>
    <xf numFmtId="0" fontId="4" fillId="0" borderId="0" xfId="0" applyNumberFormat="1" applyFont="1" applyFill="1" applyAlignment="1" applyProtection="1">
      <alignment horizontal="left" indent="1"/>
      <protection hidden="1"/>
    </xf>
    <xf numFmtId="0" fontId="4" fillId="0" borderId="0" xfId="0" applyNumberFormat="1" applyFont="1" applyFill="1" applyBorder="1" applyAlignment="1" applyProtection="1">
      <alignment horizontal="left" indent="2"/>
      <protection hidden="1"/>
    </xf>
    <xf numFmtId="0" fontId="4" fillId="0" borderId="0" xfId="0" applyNumberFormat="1" applyFont="1" applyFill="1" applyAlignment="1" applyProtection="1">
      <alignment horizontal="left" indent="4"/>
      <protection hidden="1"/>
    </xf>
    <xf numFmtId="0" fontId="4" fillId="0" borderId="0" xfId="0" applyNumberFormat="1" applyFont="1" applyFill="1" applyAlignment="1" applyProtection="1">
      <alignment horizontal="left" indent="3"/>
      <protection hidden="1"/>
    </xf>
    <xf numFmtId="0" fontId="4" fillId="0" borderId="0" xfId="0" applyNumberFormat="1" applyFont="1" applyFill="1" applyBorder="1" applyAlignment="1" applyProtection="1">
      <alignment horizontal="left" indent="3"/>
      <protection hidden="1"/>
    </xf>
    <xf numFmtId="0" fontId="4" fillId="0" borderId="0" xfId="0" applyNumberFormat="1" applyFont="1" applyFill="1" applyBorder="1" applyAlignment="1" applyProtection="1">
      <alignment horizontal="left" indent="4"/>
      <protection hidden="1"/>
    </xf>
    <xf numFmtId="0" fontId="4" fillId="0" borderId="0" xfId="0" applyNumberFormat="1" applyFont="1" applyFill="1" applyBorder="1" applyAlignment="1" applyProtection="1">
      <alignment/>
      <protection hidden="1"/>
    </xf>
    <xf numFmtId="0" fontId="4" fillId="0" borderId="0" xfId="0" applyNumberFormat="1" applyFont="1" applyFill="1" applyAlignment="1" applyProtection="1">
      <alignment horizontal="left" indent="2"/>
      <protection hidden="1"/>
    </xf>
    <xf numFmtId="0" fontId="10" fillId="0" borderId="0" xfId="0" applyNumberFormat="1" applyFont="1" applyFill="1" applyAlignment="1" applyProtection="1">
      <alignment horizontal="left"/>
      <protection hidden="1"/>
    </xf>
    <xf numFmtId="0" fontId="10" fillId="0" borderId="0" xfId="0" applyNumberFormat="1" applyFont="1" applyFill="1" applyAlignment="1" applyProtection="1">
      <alignment/>
      <protection hidden="1"/>
    </xf>
    <xf numFmtId="0" fontId="11" fillId="0" borderId="0" xfId="0" applyNumberFormat="1" applyFont="1" applyFill="1" applyAlignment="1" applyProtection="1">
      <alignment/>
      <protection hidden="1"/>
    </xf>
    <xf numFmtId="0" fontId="4" fillId="0" borderId="0" xfId="0" applyNumberFormat="1" applyFont="1" applyFill="1" applyBorder="1" applyAlignment="1" applyProtection="1">
      <alignment horizontal="left" indent="1"/>
      <protection hidden="1"/>
    </xf>
    <xf numFmtId="0" fontId="87" fillId="0" borderId="0" xfId="48" applyNumberFormat="1" applyFont="1" applyAlignment="1" applyProtection="1">
      <alignment horizontal="right"/>
      <protection hidden="1"/>
    </xf>
    <xf numFmtId="0" fontId="4" fillId="0" borderId="0" xfId="0" applyFont="1" applyFill="1" applyBorder="1" applyAlignment="1" applyProtection="1">
      <alignment horizontal="left" vertical="top" indent="1"/>
      <protection hidden="1"/>
    </xf>
    <xf numFmtId="0" fontId="4" fillId="0" borderId="0" xfId="0" applyFont="1" applyFill="1" applyBorder="1" applyAlignment="1" applyProtection="1">
      <alignment vertical="top" wrapText="1"/>
      <protection hidden="1"/>
    </xf>
    <xf numFmtId="0" fontId="4" fillId="0" borderId="0" xfId="0" applyFont="1" applyFill="1" applyBorder="1" applyAlignment="1" applyProtection="1">
      <alignment horizontal="left" vertical="top" indent="2"/>
      <protection hidden="1"/>
    </xf>
    <xf numFmtId="0" fontId="4" fillId="0" borderId="0" xfId="0" applyFont="1" applyFill="1" applyAlignment="1" applyProtection="1">
      <alignment horizontal="left" indent="2"/>
      <protection hidden="1"/>
    </xf>
    <xf numFmtId="0" fontId="0" fillId="0" borderId="0" xfId="0" applyFill="1" applyAlignment="1" applyProtection="1">
      <alignment horizontal="left" indent="2"/>
      <protection hidden="1"/>
    </xf>
    <xf numFmtId="0" fontId="0" fillId="0" borderId="0" xfId="0" applyFill="1" applyAlignment="1" applyProtection="1">
      <alignment horizontal="left" indent="3"/>
      <protection hidden="1"/>
    </xf>
    <xf numFmtId="166" fontId="0" fillId="0" borderId="0" xfId="0" applyNumberFormat="1" applyFont="1" applyFill="1" applyBorder="1" applyAlignment="1" applyProtection="1">
      <alignment horizontal="right"/>
      <protection hidden="1"/>
    </xf>
    <xf numFmtId="0" fontId="4" fillId="0" borderId="0" xfId="0" applyFont="1" applyFill="1" applyBorder="1" applyAlignment="1" applyProtection="1">
      <alignment vertical="top"/>
      <protection hidden="1"/>
    </xf>
    <xf numFmtId="166" fontId="0" fillId="0" borderId="0" xfId="0" applyNumberFormat="1" applyFill="1" applyAlignment="1" applyProtection="1">
      <alignment horizontal="right"/>
      <protection hidden="1"/>
    </xf>
    <xf numFmtId="1" fontId="0" fillId="0" borderId="0" xfId="0" applyNumberFormat="1" applyFont="1" applyFill="1" applyBorder="1" applyAlignment="1" applyProtection="1">
      <alignment horizontal="right"/>
      <protection hidden="1"/>
    </xf>
    <xf numFmtId="0" fontId="4" fillId="0" borderId="0" xfId="0" applyFont="1" applyFill="1" applyAlignment="1" applyProtection="1">
      <alignment horizontal="left" indent="3"/>
      <protection hidden="1"/>
    </xf>
    <xf numFmtId="0" fontId="0" fillId="0" borderId="0" xfId="0" applyNumberFormat="1" applyFill="1" applyAlignment="1" applyProtection="1">
      <alignment horizontal="left" indent="4"/>
      <protection hidden="1"/>
    </xf>
    <xf numFmtId="0" fontId="2" fillId="0" borderId="0" xfId="0" applyFont="1" applyFill="1" applyAlignment="1" applyProtection="1">
      <alignment horizontal="left"/>
      <protection hidden="1"/>
    </xf>
    <xf numFmtId="0" fontId="4" fillId="0" borderId="0" xfId="0" applyFont="1" applyFill="1" applyAlignment="1" applyProtection="1">
      <alignment horizontal="left" indent="4"/>
      <protection hidden="1"/>
    </xf>
    <xf numFmtId="0" fontId="4" fillId="0" borderId="0" xfId="0" applyFont="1" applyFill="1" applyBorder="1" applyAlignment="1" applyProtection="1">
      <alignment horizontal="left" indent="3"/>
      <protection hidden="1"/>
    </xf>
    <xf numFmtId="0" fontId="4" fillId="0" borderId="0" xfId="0" applyFont="1" applyFill="1" applyBorder="1" applyAlignment="1" applyProtection="1">
      <alignment horizontal="left" indent="4"/>
      <protection hidden="1"/>
    </xf>
    <xf numFmtId="0" fontId="4" fillId="0" borderId="0" xfId="0" applyFont="1" applyFill="1" applyBorder="1" applyAlignment="1" applyProtection="1">
      <alignment horizontal="left" indent="2"/>
      <protection hidden="1"/>
    </xf>
    <xf numFmtId="0" fontId="4" fillId="0" borderId="0" xfId="0" applyFont="1" applyFill="1" applyBorder="1" applyAlignment="1" applyProtection="1">
      <alignment horizontal="left" wrapText="1" indent="3"/>
      <protection hidden="1"/>
    </xf>
    <xf numFmtId="0" fontId="0" fillId="0" borderId="0" xfId="0" applyNumberFormat="1" applyFont="1" applyFill="1" applyAlignment="1" applyProtection="1">
      <alignment horizontal="right"/>
      <protection hidden="1"/>
    </xf>
    <xf numFmtId="0" fontId="4" fillId="0" borderId="0" xfId="53" applyNumberFormat="1" applyFill="1" applyAlignment="1" applyProtection="1">
      <alignment horizontal="right"/>
      <protection hidden="1"/>
    </xf>
    <xf numFmtId="0" fontId="0" fillId="0" borderId="0" xfId="0" applyAlignment="1" applyProtection="1">
      <alignment/>
      <protection hidden="1"/>
    </xf>
    <xf numFmtId="2" fontId="0" fillId="0" borderId="0" xfId="0" applyNumberFormat="1" applyFont="1" applyFill="1" applyBorder="1" applyAlignment="1" applyProtection="1">
      <alignment/>
      <protection hidden="1"/>
    </xf>
    <xf numFmtId="0" fontId="0" fillId="0" borderId="0" xfId="0" applyFont="1" applyFill="1" applyBorder="1" applyAlignment="1" applyProtection="1">
      <alignment/>
      <protection hidden="1"/>
    </xf>
    <xf numFmtId="2" fontId="0" fillId="0" borderId="0" xfId="0" applyNumberFormat="1" applyFont="1" applyFill="1" applyAlignment="1" applyProtection="1">
      <alignment horizontal="right"/>
      <protection hidden="1"/>
    </xf>
    <xf numFmtId="0" fontId="0" fillId="0" borderId="0" xfId="0" applyFont="1" applyFill="1" applyBorder="1" applyAlignment="1" applyProtection="1" quotePrefix="1">
      <alignment horizontal="right"/>
      <protection hidden="1"/>
    </xf>
    <xf numFmtId="166" fontId="0" fillId="0" borderId="0" xfId="0" applyNumberFormat="1" applyFont="1" applyFill="1" applyBorder="1" applyAlignment="1" applyProtection="1">
      <alignment/>
      <protection hidden="1"/>
    </xf>
    <xf numFmtId="166" fontId="0" fillId="0" borderId="0" xfId="0" applyNumberFormat="1" applyFont="1" applyFill="1" applyAlignment="1" applyProtection="1">
      <alignment horizontal="right"/>
      <protection hidden="1"/>
    </xf>
    <xf numFmtId="3" fontId="0" fillId="0" borderId="0" xfId="0" applyNumberFormat="1" applyFont="1" applyFill="1" applyBorder="1" applyAlignment="1" applyProtection="1">
      <alignment/>
      <protection hidden="1"/>
    </xf>
    <xf numFmtId="3" fontId="0" fillId="0" borderId="0" xfId="0" applyNumberFormat="1" applyFont="1" applyFill="1" applyAlignment="1" applyProtection="1">
      <alignment horizontal="right"/>
      <protection hidden="1"/>
    </xf>
    <xf numFmtId="0" fontId="2" fillId="35" borderId="0" xfId="0" applyNumberFormat="1" applyFont="1" applyFill="1" applyAlignment="1" applyProtection="1">
      <alignment horizontal="right"/>
      <protection hidden="1"/>
    </xf>
    <xf numFmtId="0" fontId="4" fillId="35" borderId="0" xfId="0" applyNumberFormat="1" applyFont="1" applyFill="1" applyAlignment="1" applyProtection="1">
      <alignment horizontal="right" vertical="top"/>
      <protection hidden="1"/>
    </xf>
    <xf numFmtId="0" fontId="4" fillId="35" borderId="0" xfId="0" applyNumberFormat="1" applyFont="1" applyFill="1" applyAlignment="1" applyProtection="1">
      <alignment horizontal="right"/>
      <protection hidden="1"/>
    </xf>
    <xf numFmtId="0" fontId="0" fillId="35" borderId="0" xfId="0" applyNumberFormat="1" applyFont="1" applyFill="1" applyAlignment="1" applyProtection="1">
      <alignment horizontal="right"/>
      <protection hidden="1"/>
    </xf>
    <xf numFmtId="0" fontId="82" fillId="35" borderId="0" xfId="0" applyNumberFormat="1" applyFont="1" applyFill="1" applyAlignment="1" applyProtection="1">
      <alignment horizontal="right"/>
      <protection hidden="1"/>
    </xf>
    <xf numFmtId="0" fontId="2" fillId="36" borderId="0" xfId="0" applyNumberFormat="1" applyFont="1" applyFill="1" applyAlignment="1" applyProtection="1">
      <alignment horizontal="right" vertical="top"/>
      <protection hidden="1"/>
    </xf>
    <xf numFmtId="0" fontId="4" fillId="36" borderId="0" xfId="0" applyNumberFormat="1" applyFont="1" applyFill="1" applyAlignment="1" applyProtection="1">
      <alignment horizontal="right" vertical="top"/>
      <protection hidden="1"/>
    </xf>
    <xf numFmtId="0" fontId="4" fillId="36" borderId="0" xfId="0" applyNumberFormat="1" applyFont="1" applyFill="1" applyAlignment="1" applyProtection="1">
      <alignment horizontal="right"/>
      <protection hidden="1"/>
    </xf>
    <xf numFmtId="0" fontId="0" fillId="36" borderId="0" xfId="0" applyNumberFormat="1" applyFont="1" applyFill="1" applyAlignment="1" applyProtection="1">
      <alignment horizontal="right"/>
      <protection hidden="1"/>
    </xf>
    <xf numFmtId="0" fontId="0" fillId="36" borderId="0" xfId="0" applyNumberFormat="1" applyFont="1" applyFill="1" applyAlignment="1" applyProtection="1" quotePrefix="1">
      <alignment horizontal="right"/>
      <protection hidden="1"/>
    </xf>
    <xf numFmtId="0" fontId="0" fillId="36" borderId="0" xfId="0" applyNumberFormat="1" applyFill="1" applyAlignment="1" applyProtection="1">
      <alignment horizontal="right"/>
      <protection hidden="1"/>
    </xf>
    <xf numFmtId="0" fontId="2" fillId="36" borderId="0" xfId="0" applyNumberFormat="1" applyFont="1" applyFill="1" applyAlignment="1" applyProtection="1">
      <alignment horizontal="right"/>
      <protection hidden="1"/>
    </xf>
    <xf numFmtId="0" fontId="4" fillId="36" borderId="0" xfId="47" applyNumberFormat="1" applyFont="1" applyFill="1" applyAlignment="1" applyProtection="1">
      <alignment horizontal="right"/>
      <protection hidden="1"/>
    </xf>
    <xf numFmtId="0" fontId="2" fillId="37" borderId="0" xfId="0" applyNumberFormat="1" applyFont="1" applyFill="1" applyAlignment="1" applyProtection="1">
      <alignment horizontal="right"/>
      <protection hidden="1"/>
    </xf>
    <xf numFmtId="0" fontId="4" fillId="37" borderId="0" xfId="0" applyNumberFormat="1" applyFont="1" applyFill="1" applyAlignment="1" applyProtection="1">
      <alignment horizontal="right"/>
      <protection hidden="1"/>
    </xf>
    <xf numFmtId="0" fontId="4" fillId="37" borderId="0" xfId="0" applyNumberFormat="1" applyFont="1" applyFill="1" applyAlignment="1" applyProtection="1">
      <alignment horizontal="right" vertical="top"/>
      <protection hidden="1"/>
    </xf>
    <xf numFmtId="0" fontId="0" fillId="37" borderId="0" xfId="0" applyNumberFormat="1" applyFont="1" applyFill="1" applyAlignment="1" applyProtection="1">
      <alignment horizontal="right"/>
      <protection hidden="1"/>
    </xf>
    <xf numFmtId="0" fontId="4" fillId="37" borderId="0" xfId="47" applyNumberFormat="1" applyFont="1" applyFill="1" applyAlignment="1" applyProtection="1">
      <alignment horizontal="right"/>
      <protection hidden="1"/>
    </xf>
    <xf numFmtId="0" fontId="0" fillId="37" borderId="0" xfId="47" applyNumberFormat="1" applyFont="1" applyFill="1" applyAlignment="1" applyProtection="1">
      <alignment horizontal="right"/>
      <protection hidden="1"/>
    </xf>
    <xf numFmtId="0" fontId="4" fillId="37" borderId="0" xfId="47" applyNumberFormat="1" applyFont="1" applyFill="1" applyAlignment="1" applyProtection="1">
      <alignment horizontal="right" vertical="top"/>
      <protection hidden="1"/>
    </xf>
    <xf numFmtId="0" fontId="0" fillId="0" borderId="0" xfId="0" applyFont="1" applyFill="1" applyAlignment="1" applyProtection="1">
      <alignment/>
      <protection hidden="1"/>
    </xf>
    <xf numFmtId="0" fontId="0" fillId="0" borderId="0" xfId="0" applyFont="1" applyFill="1" applyAlignment="1" applyProtection="1">
      <alignment horizontal="left" indent="1"/>
      <protection hidden="1"/>
    </xf>
    <xf numFmtId="0" fontId="0" fillId="0" borderId="0" xfId="0" applyFill="1" applyBorder="1" applyAlignment="1" applyProtection="1">
      <alignment horizontal="right"/>
      <protection hidden="1"/>
    </xf>
    <xf numFmtId="0" fontId="22" fillId="0" borderId="0" xfId="0" applyFont="1" applyFill="1" applyBorder="1" applyAlignment="1" applyProtection="1">
      <alignment horizontal="left" vertical="top"/>
      <protection hidden="1"/>
    </xf>
    <xf numFmtId="0" fontId="0" fillId="0" borderId="0" xfId="0" applyFont="1" applyFill="1" applyBorder="1" applyAlignment="1" applyProtection="1">
      <alignment/>
      <protection hidden="1"/>
    </xf>
    <xf numFmtId="0" fontId="0" fillId="0" borderId="0" xfId="0" applyFont="1" applyFill="1" applyBorder="1" applyAlignment="1" applyProtection="1">
      <alignment horizontal="right"/>
      <protection hidden="1"/>
    </xf>
    <xf numFmtId="0" fontId="0" fillId="35" borderId="0" xfId="0" applyFill="1" applyBorder="1" applyAlignment="1" applyProtection="1">
      <alignment horizontal="right"/>
      <protection hidden="1"/>
    </xf>
    <xf numFmtId="0" fontId="0" fillId="0" borderId="0" xfId="0" applyFill="1" applyBorder="1" applyAlignment="1" applyProtection="1">
      <alignment horizontal="left" indent="1"/>
      <protection hidden="1"/>
    </xf>
    <xf numFmtId="0" fontId="0" fillId="0" borderId="0" xfId="0" applyFill="1" applyBorder="1" applyAlignment="1" applyProtection="1">
      <alignment horizontal="left"/>
      <protection hidden="1"/>
    </xf>
    <xf numFmtId="166" fontId="4" fillId="0" borderId="0" xfId="0" applyNumberFormat="1" applyFont="1" applyFill="1" applyAlignment="1" applyProtection="1" quotePrefix="1">
      <alignment horizontal="right"/>
      <protection hidden="1"/>
    </xf>
    <xf numFmtId="166" fontId="4" fillId="0" borderId="0" xfId="0" applyNumberFormat="1" applyFont="1" applyFill="1" applyAlignment="1" applyProtection="1">
      <alignment/>
      <protection hidden="1"/>
    </xf>
    <xf numFmtId="0" fontId="4" fillId="0" borderId="0" xfId="0" applyFont="1" applyFill="1" applyAlignment="1" applyProtection="1">
      <alignment horizontal="left" wrapText="1"/>
      <protection hidden="1"/>
    </xf>
    <xf numFmtId="166" fontId="0" fillId="0" borderId="0" xfId="0" applyNumberFormat="1" applyFill="1" applyAlignment="1" applyProtection="1">
      <alignment/>
      <protection hidden="1"/>
    </xf>
    <xf numFmtId="0" fontId="0" fillId="0" borderId="0" xfId="0" applyFont="1" applyFill="1" applyBorder="1" applyAlignment="1" applyProtection="1">
      <alignment horizontal="right"/>
      <protection hidden="1"/>
    </xf>
    <xf numFmtId="166" fontId="0" fillId="0" borderId="0" xfId="51" applyNumberFormat="1" applyFont="1" applyFill="1" applyBorder="1" applyAlignment="1" applyProtection="1">
      <alignment horizontal="right"/>
      <protection hidden="1"/>
    </xf>
    <xf numFmtId="166" fontId="0" fillId="0" borderId="0" xfId="51" applyNumberFormat="1" applyFont="1" applyFill="1" applyBorder="1" applyAlignment="1" applyProtection="1">
      <alignment/>
      <protection hidden="1"/>
    </xf>
    <xf numFmtId="0" fontId="0" fillId="0" borderId="0" xfId="0" applyFill="1" applyAlignment="1" applyProtection="1">
      <alignment horizontal="left" wrapText="1" indent="1"/>
      <protection hidden="1"/>
    </xf>
    <xf numFmtId="1" fontId="0" fillId="0" borderId="0" xfId="0" applyNumberFormat="1" applyFont="1" applyFill="1" applyBorder="1" applyAlignment="1" applyProtection="1">
      <alignment/>
      <protection hidden="1"/>
    </xf>
    <xf numFmtId="0" fontId="4" fillId="0" borderId="0" xfId="0" applyFont="1" applyAlignment="1" applyProtection="1">
      <alignment horizontal="left"/>
      <protection hidden="1"/>
    </xf>
    <xf numFmtId="49" fontId="85" fillId="0" borderId="0" xfId="0" applyNumberFormat="1" applyFont="1" applyAlignment="1" applyProtection="1">
      <alignment horizontal="right" vertical="center"/>
      <protection hidden="1"/>
    </xf>
    <xf numFmtId="49" fontId="82" fillId="0" borderId="0" xfId="0" applyNumberFormat="1" applyFont="1" applyAlignment="1" applyProtection="1">
      <alignment horizontal="right"/>
      <protection hidden="1"/>
    </xf>
    <xf numFmtId="49" fontId="0" fillId="0" borderId="0" xfId="0" applyNumberFormat="1" applyFont="1" applyAlignment="1" applyProtection="1">
      <alignment horizontal="right"/>
      <protection hidden="1"/>
    </xf>
    <xf numFmtId="49" fontId="82" fillId="0" borderId="0" xfId="0" applyNumberFormat="1" applyFont="1" applyFill="1" applyAlignment="1" applyProtection="1">
      <alignment horizontal="right"/>
      <protection hidden="1"/>
    </xf>
    <xf numFmtId="49" fontId="0" fillId="0" borderId="0" xfId="0" applyNumberFormat="1" applyFont="1" applyFill="1" applyAlignment="1" applyProtection="1">
      <alignment horizontal="right"/>
      <protection hidden="1"/>
    </xf>
    <xf numFmtId="49" fontId="2" fillId="0" borderId="0" xfId="0" applyNumberFormat="1" applyFont="1" applyFill="1" applyAlignment="1" applyProtection="1">
      <alignment horizontal="right"/>
      <protection hidden="1"/>
    </xf>
    <xf numFmtId="49" fontId="4" fillId="0" borderId="0" xfId="0" applyNumberFormat="1" applyFont="1" applyFill="1" applyAlignment="1" applyProtection="1">
      <alignment horizontal="right"/>
      <protection hidden="1"/>
    </xf>
    <xf numFmtId="49" fontId="7" fillId="0" borderId="0" xfId="0" applyNumberFormat="1" applyFont="1" applyFill="1" applyAlignment="1" applyProtection="1">
      <alignment horizontal="right" vertical="top"/>
      <protection hidden="1"/>
    </xf>
    <xf numFmtId="49" fontId="0" fillId="0" borderId="0" xfId="0" applyNumberFormat="1" applyFont="1" applyFill="1" applyAlignment="1" applyProtection="1">
      <alignment horizontal="right"/>
      <protection hidden="1"/>
    </xf>
    <xf numFmtId="49" fontId="0" fillId="0" borderId="0" xfId="0" applyNumberFormat="1" applyFill="1" applyAlignment="1" applyProtection="1">
      <alignment horizontal="right"/>
      <protection hidden="1"/>
    </xf>
    <xf numFmtId="49" fontId="7" fillId="0" borderId="0" xfId="0" applyNumberFormat="1" applyFont="1" applyFill="1" applyAlignment="1" applyProtection="1">
      <alignment horizontal="right" vertical="top" wrapText="1"/>
      <protection hidden="1"/>
    </xf>
    <xf numFmtId="49" fontId="7" fillId="0" borderId="0" xfId="0" applyNumberFormat="1" applyFont="1" applyFill="1" applyAlignment="1" applyProtection="1">
      <alignment horizontal="right"/>
      <protection hidden="1"/>
    </xf>
    <xf numFmtId="0" fontId="8" fillId="0" borderId="0" xfId="0" applyNumberFormat="1" applyFont="1" applyFill="1" applyAlignment="1" applyProtection="1">
      <alignment horizontal="right" vertical="center"/>
      <protection hidden="1"/>
    </xf>
    <xf numFmtId="0" fontId="4" fillId="0" borderId="0" xfId="47" applyNumberFormat="1" applyFont="1" applyFill="1" applyAlignment="1" applyProtection="1">
      <alignment horizontal="right" vertical="top"/>
      <protection hidden="1"/>
    </xf>
    <xf numFmtId="0" fontId="96" fillId="34" borderId="0" xfId="0" applyFont="1" applyFill="1" applyAlignment="1" applyProtection="1">
      <alignment vertical="top" wrapText="1"/>
      <protection hidden="1"/>
    </xf>
    <xf numFmtId="0" fontId="93" fillId="34" borderId="0" xfId="48" applyFont="1" applyFill="1" applyAlignment="1" applyProtection="1">
      <alignment vertical="top"/>
      <protection hidden="1"/>
    </xf>
    <xf numFmtId="0" fontId="97" fillId="34" borderId="0" xfId="0" applyFont="1" applyFill="1" applyAlignment="1" applyProtection="1">
      <alignment vertical="top"/>
      <protection hidden="1"/>
    </xf>
    <xf numFmtId="0" fontId="96" fillId="34" borderId="0" xfId="0" applyFont="1" applyFill="1" applyAlignment="1" applyProtection="1">
      <alignment horizontal="left" vertical="top" wrapText="1"/>
      <protection hidden="1"/>
    </xf>
    <xf numFmtId="0" fontId="93" fillId="34" borderId="0" xfId="48" applyFont="1" applyFill="1" applyAlignment="1">
      <alignment vertical="top"/>
    </xf>
    <xf numFmtId="0" fontId="96" fillId="34" borderId="0" xfId="0" applyFont="1" applyFill="1" applyAlignment="1" applyProtection="1">
      <alignment vertical="center" wrapText="1"/>
      <protection hidden="1"/>
    </xf>
    <xf numFmtId="0" fontId="98" fillId="34" borderId="0" xfId="0" applyFont="1" applyFill="1" applyAlignment="1" applyProtection="1">
      <alignment vertical="top" wrapText="1"/>
      <protection hidden="1"/>
    </xf>
    <xf numFmtId="0" fontId="99" fillId="34" borderId="11" xfId="0" applyFont="1" applyFill="1" applyBorder="1" applyAlignment="1" applyProtection="1">
      <alignment horizontal="left" vertical="center" wrapText="1" indent="1"/>
      <protection locked="0"/>
    </xf>
    <xf numFmtId="0" fontId="96" fillId="34" borderId="0" xfId="0" applyFont="1" applyFill="1" applyAlignment="1" applyProtection="1">
      <alignment horizontal="left" vertical="center" indent="1"/>
      <protection hidden="1"/>
    </xf>
    <xf numFmtId="0" fontId="96" fillId="34" borderId="0" xfId="0" applyFont="1" applyFill="1" applyAlignment="1" applyProtection="1">
      <alignment horizontal="left" vertical="top" indent="1"/>
      <protection hidden="1"/>
    </xf>
    <xf numFmtId="0" fontId="98" fillId="34" borderId="0" xfId="48" applyFont="1" applyFill="1" applyAlignment="1" applyProtection="1">
      <alignment horizontal="left" vertical="top" indent="1"/>
      <protection hidden="1"/>
    </xf>
    <xf numFmtId="0" fontId="0" fillId="0" borderId="0" xfId="0" applyFill="1" applyAlignment="1" applyProtection="1">
      <alignment horizontal="left" wrapText="1" indent="2"/>
      <protection hidden="1"/>
    </xf>
    <xf numFmtId="0" fontId="4" fillId="0" borderId="0" xfId="0" applyFont="1" applyFill="1" applyBorder="1" applyAlignment="1" applyProtection="1">
      <alignment horizontal="left" vertical="top"/>
      <protection hidden="1"/>
    </xf>
    <xf numFmtId="0" fontId="4" fillId="0" borderId="0" xfId="0" applyFont="1" applyFill="1" applyBorder="1" applyAlignment="1" applyProtection="1">
      <alignment horizontal="right" vertical="top" wrapText="1"/>
      <protection hidden="1"/>
    </xf>
    <xf numFmtId="0" fontId="22" fillId="0" borderId="0" xfId="0" applyFont="1" applyFill="1" applyBorder="1" applyAlignment="1" applyProtection="1">
      <alignment horizontal="right" vertical="top"/>
      <protection hidden="1"/>
    </xf>
    <xf numFmtId="0" fontId="96" fillId="34" borderId="0" xfId="0" applyFont="1" applyFill="1" applyAlignment="1" applyProtection="1">
      <alignment horizontal="left" vertical="top" wrapText="1" indent="1"/>
      <protection hidden="1"/>
    </xf>
    <xf numFmtId="0" fontId="94" fillId="34" borderId="0" xfId="0" applyFont="1" applyFill="1" applyAlignment="1" applyProtection="1">
      <alignment horizontal="left" vertical="center" wrapText="1" indent="1"/>
      <protection hidden="1"/>
    </xf>
    <xf numFmtId="0" fontId="96" fillId="34" borderId="0" xfId="0" applyFont="1" applyFill="1" applyAlignment="1" applyProtection="1">
      <alignment horizontal="left" vertical="center" wrapText="1" indent="1"/>
      <protection hidden="1"/>
    </xf>
    <xf numFmtId="0" fontId="98" fillId="34" borderId="0" xfId="48" applyFont="1" applyFill="1" applyAlignment="1" applyProtection="1">
      <alignment horizontal="left" vertical="top" wrapText="1" indent="1"/>
      <protection hidden="1"/>
    </xf>
    <xf numFmtId="0" fontId="82" fillId="0" borderId="0" xfId="0" applyFont="1" applyAlignment="1" applyProtection="1">
      <alignment horizontal="left" indent="1"/>
      <protection hidden="1"/>
    </xf>
    <xf numFmtId="0" fontId="100" fillId="0" borderId="0" xfId="0" applyFont="1" applyAlignment="1" applyProtection="1">
      <alignment horizontal="right"/>
      <protection hidden="1"/>
    </xf>
    <xf numFmtId="0" fontId="83" fillId="0" borderId="0" xfId="0" applyNumberFormat="1" applyFont="1" applyAlignment="1" applyProtection="1">
      <alignment horizontal="right"/>
      <protection hidden="1"/>
    </xf>
    <xf numFmtId="0" fontId="7" fillId="0" borderId="0" xfId="0" applyNumberFormat="1" applyFont="1" applyFill="1" applyAlignment="1" applyProtection="1">
      <alignment horizontal="right" vertical="top"/>
      <protection hidden="1"/>
    </xf>
    <xf numFmtId="0" fontId="83" fillId="0" borderId="0" xfId="0" applyFont="1" applyAlignment="1" applyProtection="1">
      <alignment horizontal="right"/>
      <protection hidden="1"/>
    </xf>
    <xf numFmtId="0" fontId="7" fillId="0" borderId="0" xfId="0" applyNumberFormat="1" applyFont="1" applyFill="1" applyAlignment="1" applyProtection="1">
      <alignment horizontal="right"/>
      <protection hidden="1"/>
    </xf>
    <xf numFmtId="0" fontId="7" fillId="0" borderId="0" xfId="47" applyNumberFormat="1" applyFont="1" applyFill="1" applyAlignment="1" applyProtection="1">
      <alignment horizontal="right"/>
      <protection hidden="1"/>
    </xf>
    <xf numFmtId="0" fontId="83" fillId="0" borderId="0" xfId="0" applyFont="1" applyAlignment="1" applyProtection="1">
      <alignment horizontal="right"/>
      <protection hidden="1"/>
    </xf>
    <xf numFmtId="0" fontId="83" fillId="0" borderId="0" xfId="0" applyFont="1" applyAlignment="1" applyProtection="1">
      <alignment/>
      <protection hidden="1"/>
    </xf>
    <xf numFmtId="0" fontId="83" fillId="0" borderId="0" xfId="0" applyFont="1" applyAlignment="1" applyProtection="1">
      <alignment horizontal="right" indent="1"/>
      <protection hidden="1"/>
    </xf>
    <xf numFmtId="0" fontId="83" fillId="0" borderId="0" xfId="0" applyNumberFormat="1" applyFont="1" applyAlignment="1" applyProtection="1">
      <alignment horizontal="right"/>
      <protection hidden="1"/>
    </xf>
    <xf numFmtId="0" fontId="7" fillId="0" borderId="0" xfId="0" applyNumberFormat="1" applyFont="1" applyFill="1" applyAlignment="1" applyProtection="1">
      <alignment horizontal="right"/>
      <protection hidden="1"/>
    </xf>
    <xf numFmtId="0" fontId="83" fillId="0" borderId="0" xfId="0" applyFont="1" applyAlignment="1" applyProtection="1">
      <alignment horizontal="right" indent="1"/>
      <protection hidden="1"/>
    </xf>
    <xf numFmtId="0" fontId="82" fillId="37" borderId="0" xfId="0" applyNumberFormat="1" applyFont="1" applyFill="1" applyAlignment="1" applyProtection="1">
      <alignment horizontal="right"/>
      <protection hidden="1"/>
    </xf>
    <xf numFmtId="0" fontId="0" fillId="0" borderId="0" xfId="0" applyFill="1" applyAlignment="1">
      <alignment/>
    </xf>
    <xf numFmtId="3" fontId="0" fillId="0" borderId="0" xfId="0" applyNumberFormat="1" applyFont="1" applyAlignment="1" applyProtection="1">
      <alignment horizontal="right"/>
      <protection hidden="1"/>
    </xf>
    <xf numFmtId="1" fontId="0" fillId="0" borderId="0" xfId="47" applyNumberFormat="1" applyFont="1" applyFill="1" applyAlignment="1" applyProtection="1">
      <alignment horizontal="right"/>
      <protection hidden="1"/>
    </xf>
    <xf numFmtId="1" fontId="0" fillId="0" borderId="0" xfId="0" applyNumberFormat="1" applyFill="1" applyAlignment="1" applyProtection="1">
      <alignment horizontal="right"/>
      <protection hidden="1"/>
    </xf>
    <xf numFmtId="1" fontId="0" fillId="36" borderId="0" xfId="0" applyNumberFormat="1" applyFill="1" applyAlignment="1" applyProtection="1">
      <alignment horizontal="right"/>
      <protection hidden="1"/>
    </xf>
    <xf numFmtId="166" fontId="4" fillId="0" borderId="0" xfId="47" applyNumberFormat="1" applyFont="1" applyFill="1" applyAlignment="1" applyProtection="1">
      <alignment horizontal="right"/>
      <protection hidden="1"/>
    </xf>
    <xf numFmtId="166" fontId="0" fillId="0" borderId="0" xfId="47" applyNumberFormat="1" applyFont="1" applyFill="1" applyAlignment="1" applyProtection="1">
      <alignment horizontal="right"/>
      <protection hidden="1"/>
    </xf>
    <xf numFmtId="166" fontId="0" fillId="36" borderId="0" xfId="0" applyNumberFormat="1" applyFill="1" applyAlignment="1" applyProtection="1">
      <alignment horizontal="right"/>
      <protection hidden="1"/>
    </xf>
    <xf numFmtId="1" fontId="0" fillId="0" borderId="0" xfId="0" applyNumberFormat="1" applyFont="1" applyAlignment="1" applyProtection="1">
      <alignment horizontal="right"/>
      <protection hidden="1"/>
    </xf>
    <xf numFmtId="166" fontId="0" fillId="0" borderId="0" xfId="0" applyNumberFormat="1" applyFont="1" applyAlignment="1" applyProtection="1" quotePrefix="1">
      <alignment horizontal="right"/>
      <protection hidden="1"/>
    </xf>
    <xf numFmtId="166" fontId="0" fillId="0" borderId="0" xfId="0" applyNumberFormat="1" applyFont="1" applyFill="1" applyAlignment="1" applyProtection="1" quotePrefix="1">
      <alignment horizontal="right"/>
      <protection hidden="1"/>
    </xf>
    <xf numFmtId="1" fontId="4" fillId="37" borderId="0" xfId="0" applyNumberFormat="1" applyFont="1" applyFill="1" applyAlignment="1" applyProtection="1">
      <alignment horizontal="right" vertical="top"/>
      <protection hidden="1"/>
    </xf>
    <xf numFmtId="1" fontId="82" fillId="37" borderId="0" xfId="0" applyNumberFormat="1" applyFont="1" applyFill="1" applyAlignment="1" applyProtection="1">
      <alignment horizontal="right"/>
      <protection hidden="1"/>
    </xf>
    <xf numFmtId="1" fontId="82" fillId="37" borderId="0" xfId="0" applyNumberFormat="1" applyFont="1" applyFill="1" applyAlignment="1" applyProtection="1">
      <alignment/>
      <protection hidden="1"/>
    </xf>
    <xf numFmtId="1" fontId="0" fillId="37" borderId="0" xfId="0" applyNumberFormat="1" applyFont="1" applyFill="1" applyAlignment="1" applyProtection="1">
      <alignment/>
      <protection hidden="1"/>
    </xf>
    <xf numFmtId="0" fontId="82" fillId="37" borderId="0" xfId="0" applyFont="1" applyFill="1" applyAlignment="1" applyProtection="1">
      <alignment horizontal="right"/>
      <protection hidden="1"/>
    </xf>
    <xf numFmtId="0" fontId="82" fillId="37" borderId="0" xfId="0" applyFont="1" applyFill="1" applyAlignment="1" applyProtection="1">
      <alignment/>
      <protection hidden="1"/>
    </xf>
    <xf numFmtId="0" fontId="0" fillId="37" borderId="0" xfId="0" applyFont="1" applyFill="1" applyAlignment="1" applyProtection="1">
      <alignment/>
      <protection hidden="1"/>
    </xf>
    <xf numFmtId="0" fontId="0" fillId="37" borderId="0" xfId="0" applyNumberFormat="1" applyFont="1" applyFill="1" applyAlignment="1" applyProtection="1" quotePrefix="1">
      <alignment horizontal="right"/>
      <protection hidden="1"/>
    </xf>
    <xf numFmtId="1" fontId="0" fillId="0" borderId="0" xfId="0" applyNumberFormat="1" applyFont="1" applyFill="1" applyAlignment="1" applyProtection="1">
      <alignment horizontal="right"/>
      <protection hidden="1"/>
    </xf>
    <xf numFmtId="4" fontId="0" fillId="0" borderId="0" xfId="0" applyNumberFormat="1" applyFont="1" applyFill="1" applyAlignment="1" applyProtection="1">
      <alignment horizontal="right"/>
      <protection hidden="1"/>
    </xf>
    <xf numFmtId="4" fontId="4" fillId="0" borderId="0" xfId="0" applyNumberFormat="1" applyFont="1" applyFill="1" applyAlignment="1" applyProtection="1">
      <alignment horizontal="right" vertical="top"/>
      <protection hidden="1"/>
    </xf>
    <xf numFmtId="4" fontId="4" fillId="33" borderId="0" xfId="0" applyNumberFormat="1" applyFont="1" applyFill="1" applyAlignment="1" applyProtection="1">
      <alignment horizontal="right" vertical="top"/>
      <protection hidden="1"/>
    </xf>
    <xf numFmtId="4" fontId="4" fillId="0" borderId="0" xfId="0" applyNumberFormat="1" applyFont="1" applyFill="1" applyAlignment="1" applyProtection="1">
      <alignment horizontal="right"/>
      <protection hidden="1"/>
    </xf>
    <xf numFmtId="4" fontId="4" fillId="33" borderId="0" xfId="0" applyNumberFormat="1" applyFont="1" applyFill="1" applyAlignment="1" applyProtection="1">
      <alignment horizontal="right"/>
      <protection hidden="1"/>
    </xf>
    <xf numFmtId="1" fontId="0" fillId="33" borderId="0" xfId="0" applyNumberFormat="1" applyFont="1" applyFill="1" applyAlignment="1" applyProtection="1">
      <alignment horizontal="right"/>
      <protection hidden="1"/>
    </xf>
    <xf numFmtId="1" fontId="4" fillId="0" borderId="0" xfId="0" applyNumberFormat="1" applyFont="1" applyFill="1" applyAlignment="1" applyProtection="1">
      <alignment horizontal="right"/>
      <protection hidden="1"/>
    </xf>
    <xf numFmtId="1" fontId="4" fillId="33" borderId="0" xfId="0" applyNumberFormat="1" applyFont="1" applyFill="1" applyAlignment="1" applyProtection="1">
      <alignment horizontal="right"/>
      <protection hidden="1"/>
    </xf>
    <xf numFmtId="3" fontId="0" fillId="0" borderId="0" xfId="47" applyNumberFormat="1" applyFont="1" applyFill="1" applyAlignment="1" applyProtection="1">
      <alignment horizontal="right"/>
      <protection hidden="1"/>
    </xf>
    <xf numFmtId="3" fontId="4" fillId="35" borderId="0" xfId="0" applyNumberFormat="1" applyFont="1" applyFill="1" applyAlignment="1" applyProtection="1">
      <alignment horizontal="right"/>
      <protection hidden="1"/>
    </xf>
    <xf numFmtId="3" fontId="4" fillId="0" borderId="0" xfId="0" applyNumberFormat="1" applyFont="1" applyFill="1" applyAlignment="1" applyProtection="1">
      <alignment horizontal="right" vertical="top"/>
      <protection hidden="1"/>
    </xf>
    <xf numFmtId="3" fontId="4" fillId="35" borderId="0" xfId="0" applyNumberFormat="1" applyFont="1" applyFill="1" applyAlignment="1" applyProtection="1">
      <alignment horizontal="right" vertical="top"/>
      <protection hidden="1"/>
    </xf>
    <xf numFmtId="3" fontId="4" fillId="0" borderId="0" xfId="0" applyNumberFormat="1" applyFont="1" applyFill="1" applyAlignment="1" applyProtection="1" quotePrefix="1">
      <alignment horizontal="right"/>
      <protection hidden="1"/>
    </xf>
    <xf numFmtId="3" fontId="0" fillId="35" borderId="0" xfId="0" applyNumberFormat="1" applyFont="1" applyFill="1" applyAlignment="1" applyProtection="1">
      <alignment horizontal="right"/>
      <protection hidden="1"/>
    </xf>
    <xf numFmtId="3" fontId="0" fillId="0" borderId="0" xfId="0" applyNumberFormat="1" applyFont="1" applyFill="1" applyBorder="1" applyAlignment="1" applyProtection="1">
      <alignment horizontal="right"/>
      <protection hidden="1"/>
    </xf>
    <xf numFmtId="166" fontId="0" fillId="37" borderId="0" xfId="0" applyNumberFormat="1" applyFont="1" applyFill="1" applyAlignment="1">
      <alignment horizontal="right"/>
    </xf>
    <xf numFmtId="168" fontId="0" fillId="0" borderId="0" xfId="0" applyNumberFormat="1" applyFont="1" applyFill="1" applyAlignment="1" applyProtection="1">
      <alignment horizontal="right"/>
      <protection hidden="1"/>
    </xf>
    <xf numFmtId="168" fontId="0" fillId="33" borderId="0" xfId="0" applyNumberFormat="1" applyFont="1" applyFill="1" applyAlignment="1" applyProtection="1">
      <alignment horizontal="right"/>
      <protection hidden="1"/>
    </xf>
    <xf numFmtId="0" fontId="91" fillId="0" borderId="0" xfId="0" applyFont="1" applyFill="1" applyAlignment="1" applyProtection="1">
      <alignment vertical="center"/>
      <protection hidden="1"/>
    </xf>
    <xf numFmtId="0" fontId="85" fillId="0" borderId="0" xfId="0" applyFont="1" applyFill="1" applyAlignment="1" applyProtection="1">
      <alignment vertical="center"/>
      <protection hidden="1"/>
    </xf>
    <xf numFmtId="0" fontId="83" fillId="0" borderId="0" xfId="0" applyFont="1" applyFill="1" applyAlignment="1" applyProtection="1">
      <alignment/>
      <protection hidden="1"/>
    </xf>
    <xf numFmtId="1" fontId="2" fillId="0" borderId="0" xfId="0" applyNumberFormat="1" applyFont="1" applyFill="1" applyAlignment="1" applyProtection="1">
      <alignment horizontal="right"/>
      <protection hidden="1"/>
    </xf>
    <xf numFmtId="1" fontId="82" fillId="0" borderId="0" xfId="0" applyNumberFormat="1" applyFont="1" applyFill="1" applyAlignment="1" applyProtection="1">
      <alignment horizontal="right"/>
      <protection hidden="1"/>
    </xf>
    <xf numFmtId="1" fontId="82" fillId="0" borderId="0" xfId="0" applyNumberFormat="1" applyFont="1" applyFill="1" applyAlignment="1" applyProtection="1">
      <alignment/>
      <protection hidden="1"/>
    </xf>
    <xf numFmtId="1" fontId="4" fillId="0" borderId="0" xfId="0" applyNumberFormat="1" applyFont="1" applyFill="1" applyAlignment="1" applyProtection="1">
      <alignment horizontal="right" vertical="top"/>
      <protection hidden="1"/>
    </xf>
    <xf numFmtId="1" fontId="0" fillId="0" borderId="0" xfId="0" applyNumberFormat="1" applyFont="1" applyFill="1" applyAlignment="1" applyProtection="1">
      <alignment/>
      <protection hidden="1"/>
    </xf>
    <xf numFmtId="1" fontId="0" fillId="0" borderId="0" xfId="0" applyNumberFormat="1" applyFont="1" applyFill="1" applyAlignment="1" applyProtection="1" quotePrefix="1">
      <alignment horizontal="right"/>
      <protection hidden="1"/>
    </xf>
    <xf numFmtId="0" fontId="83" fillId="0" borderId="0" xfId="0" applyFont="1" applyFill="1" applyAlignment="1" applyProtection="1">
      <alignment horizontal="left" indent="1"/>
      <protection hidden="1"/>
    </xf>
    <xf numFmtId="1" fontId="0" fillId="0" borderId="0" xfId="0" applyNumberFormat="1" applyFont="1" applyAlignment="1" applyProtection="1" quotePrefix="1">
      <alignment horizontal="right"/>
      <protection hidden="1"/>
    </xf>
    <xf numFmtId="1" fontId="0" fillId="36" borderId="0" xfId="0" applyNumberFormat="1" applyFont="1" applyFill="1" applyAlignment="1" applyProtection="1">
      <alignment horizontal="right"/>
      <protection hidden="1"/>
    </xf>
    <xf numFmtId="168" fontId="4" fillId="0" borderId="0" xfId="0" applyNumberFormat="1" applyFont="1" applyFill="1" applyAlignment="1" applyProtection="1" quotePrefix="1">
      <alignment horizontal="right"/>
      <protection hidden="1"/>
    </xf>
    <xf numFmtId="168" fontId="4" fillId="0" borderId="0" xfId="47" applyNumberFormat="1" applyFont="1" applyFill="1" applyAlignment="1" applyProtection="1" quotePrefix="1">
      <alignment horizontal="right"/>
      <protection hidden="1"/>
    </xf>
    <xf numFmtId="168" fontId="4" fillId="0" borderId="0" xfId="47" applyNumberFormat="1" applyFont="1" applyFill="1" applyAlignment="1" applyProtection="1">
      <alignment horizontal="right"/>
      <protection hidden="1"/>
    </xf>
    <xf numFmtId="168" fontId="0" fillId="0" borderId="0" xfId="47" applyNumberFormat="1" applyFont="1" applyFill="1" applyAlignment="1" applyProtection="1">
      <alignment horizontal="right"/>
      <protection hidden="1"/>
    </xf>
    <xf numFmtId="168" fontId="0" fillId="0" borderId="0" xfId="0" applyNumberFormat="1" applyFill="1" applyAlignment="1" applyProtection="1">
      <alignment horizontal="right"/>
      <protection hidden="1"/>
    </xf>
    <xf numFmtId="168" fontId="0" fillId="36" borderId="0" xfId="0" applyNumberFormat="1" applyFill="1" applyAlignment="1" applyProtection="1">
      <alignment horizontal="right"/>
      <protection hidden="1"/>
    </xf>
    <xf numFmtId="168" fontId="0" fillId="0" borderId="0" xfId="0" applyNumberFormat="1" applyFill="1" applyAlignment="1" applyProtection="1" quotePrefix="1">
      <alignment horizontal="right"/>
      <protection hidden="1"/>
    </xf>
    <xf numFmtId="168" fontId="0" fillId="36" borderId="0" xfId="0" applyNumberFormat="1" applyFill="1" applyAlignment="1" applyProtection="1" quotePrefix="1">
      <alignment horizontal="right"/>
      <protection hidden="1"/>
    </xf>
    <xf numFmtId="168" fontId="4" fillId="0" borderId="0" xfId="0" applyNumberFormat="1" applyFont="1" applyFill="1" applyAlignment="1" applyProtection="1">
      <alignment horizontal="right"/>
      <protection hidden="1"/>
    </xf>
    <xf numFmtId="168" fontId="0" fillId="0" borderId="0" xfId="0" applyNumberFormat="1" applyFont="1" applyAlignment="1" applyProtection="1">
      <alignment horizontal="right"/>
      <protection hidden="1"/>
    </xf>
    <xf numFmtId="168" fontId="0" fillId="0" borderId="0" xfId="0" applyNumberFormat="1" applyFont="1" applyFill="1" applyBorder="1" applyAlignment="1" applyProtection="1" quotePrefix="1">
      <alignment horizontal="right"/>
      <protection hidden="1"/>
    </xf>
    <xf numFmtId="168" fontId="0" fillId="0" borderId="0" xfId="0" applyNumberFormat="1" applyFont="1" applyFill="1" applyBorder="1" applyAlignment="1" applyProtection="1">
      <alignment horizontal="right"/>
      <protection hidden="1"/>
    </xf>
    <xf numFmtId="166" fontId="0" fillId="0" borderId="0" xfId="0" applyNumberFormat="1" applyFont="1" applyFill="1" applyBorder="1" applyAlignment="1" applyProtection="1" quotePrefix="1">
      <alignment horizontal="right"/>
      <protection hidden="1"/>
    </xf>
    <xf numFmtId="1" fontId="4" fillId="0" borderId="0" xfId="0" applyNumberFormat="1" applyFont="1" applyFill="1" applyAlignment="1" applyProtection="1" quotePrefix="1">
      <alignment horizontal="right"/>
      <protection hidden="1"/>
    </xf>
    <xf numFmtId="1" fontId="0" fillId="0" borderId="0" xfId="0" applyNumberFormat="1" applyFont="1" applyFill="1" applyBorder="1" applyAlignment="1" applyProtection="1" quotePrefix="1">
      <alignment horizontal="right"/>
      <protection hidden="1"/>
    </xf>
    <xf numFmtId="168" fontId="0" fillId="36" borderId="0" xfId="0" applyNumberFormat="1" applyFont="1" applyFill="1" applyAlignment="1" applyProtection="1">
      <alignment horizontal="right"/>
      <protection hidden="1"/>
    </xf>
    <xf numFmtId="168" fontId="4" fillId="0" borderId="0" xfId="0" applyNumberFormat="1" applyFont="1" applyFill="1" applyAlignment="1" applyProtection="1">
      <alignment/>
      <protection hidden="1"/>
    </xf>
    <xf numFmtId="168" fontId="4" fillId="0" borderId="0" xfId="47" applyNumberFormat="1" applyFont="1" applyFill="1" applyBorder="1" applyAlignment="1" applyProtection="1">
      <alignment horizontal="right"/>
      <protection hidden="1"/>
    </xf>
    <xf numFmtId="168" fontId="4" fillId="36" borderId="0" xfId="47" applyNumberFormat="1" applyFont="1" applyFill="1" applyAlignment="1" applyProtection="1">
      <alignment horizontal="right"/>
      <protection hidden="1"/>
    </xf>
    <xf numFmtId="168" fontId="0" fillId="0" borderId="0" xfId="0" applyNumberFormat="1" applyFont="1" applyFill="1" applyAlignment="1" applyProtection="1">
      <alignment/>
      <protection hidden="1"/>
    </xf>
    <xf numFmtId="168" fontId="0" fillId="0" borderId="0" xfId="0" applyNumberFormat="1" applyFont="1" applyFill="1" applyAlignment="1" applyProtection="1" quotePrefix="1">
      <alignment horizontal="right"/>
      <protection hidden="1"/>
    </xf>
    <xf numFmtId="168" fontId="0" fillId="0" borderId="0" xfId="0" applyNumberFormat="1" applyFont="1" applyAlignment="1" applyProtection="1" quotePrefix="1">
      <alignment horizontal="right"/>
      <protection hidden="1"/>
    </xf>
    <xf numFmtId="166" fontId="4" fillId="36" borderId="0" xfId="0" applyNumberFormat="1" applyFont="1" applyFill="1" applyAlignment="1" applyProtection="1">
      <alignment horizontal="right"/>
      <protection hidden="1"/>
    </xf>
    <xf numFmtId="1" fontId="4" fillId="36" borderId="0" xfId="0" applyNumberFormat="1" applyFont="1" applyFill="1" applyAlignment="1" applyProtection="1">
      <alignment horizontal="right" vertical="top"/>
      <protection hidden="1"/>
    </xf>
    <xf numFmtId="1" fontId="4" fillId="36" borderId="0" xfId="0" applyNumberFormat="1" applyFont="1" applyFill="1" applyAlignment="1" applyProtection="1" quotePrefix="1">
      <alignment horizontal="right" vertical="top"/>
      <protection hidden="1"/>
    </xf>
    <xf numFmtId="168" fontId="0" fillId="0" borderId="0" xfId="0" applyNumberFormat="1" applyFont="1" applyFill="1" applyAlignment="1" applyProtection="1" quotePrefix="1">
      <alignment horizontal="right"/>
      <protection hidden="1"/>
    </xf>
    <xf numFmtId="168" fontId="0" fillId="0" borderId="0" xfId="0" applyNumberFormat="1" applyFont="1" applyFill="1" applyAlignment="1" applyProtection="1">
      <alignment/>
      <protection hidden="1"/>
    </xf>
    <xf numFmtId="168" fontId="0" fillId="0" borderId="0" xfId="47" applyNumberFormat="1" applyFont="1" applyFill="1" applyAlignment="1" applyProtection="1">
      <alignment horizontal="right"/>
      <protection hidden="1"/>
    </xf>
    <xf numFmtId="168" fontId="0" fillId="37" borderId="0" xfId="0" applyNumberFormat="1" applyFont="1" applyFill="1" applyAlignment="1" applyProtection="1">
      <alignment horizontal="right"/>
      <protection hidden="1"/>
    </xf>
    <xf numFmtId="1" fontId="0" fillId="0" borderId="0" xfId="47" applyNumberFormat="1" applyFont="1" applyFill="1" applyAlignment="1" applyProtection="1">
      <alignment horizontal="right"/>
      <protection hidden="1"/>
    </xf>
    <xf numFmtId="1" fontId="0" fillId="37" borderId="0" xfId="0" applyNumberFormat="1" applyFont="1" applyFill="1" applyAlignment="1" applyProtection="1">
      <alignment horizontal="right"/>
      <protection hidden="1"/>
    </xf>
    <xf numFmtId="3" fontId="0" fillId="0" borderId="0" xfId="0" applyNumberFormat="1" applyFont="1" applyFill="1" applyAlignment="1" applyProtection="1">
      <alignment/>
      <protection hidden="1"/>
    </xf>
    <xf numFmtId="3" fontId="6" fillId="0" borderId="0" xfId="0" applyNumberFormat="1" applyFont="1" applyFill="1" applyAlignment="1" applyProtection="1">
      <alignment horizontal="right"/>
      <protection hidden="1"/>
    </xf>
    <xf numFmtId="3" fontId="0" fillId="37" borderId="0" xfId="0" applyNumberFormat="1" applyFont="1" applyFill="1" applyAlignment="1" applyProtection="1">
      <alignment horizontal="right"/>
      <protection hidden="1"/>
    </xf>
    <xf numFmtId="166" fontId="0" fillId="0" borderId="0" xfId="0" applyNumberFormat="1" applyFont="1" applyFill="1" applyAlignment="1" applyProtection="1">
      <alignment horizontal="right"/>
      <protection hidden="1"/>
    </xf>
    <xf numFmtId="166" fontId="0" fillId="0" borderId="0" xfId="47" applyNumberFormat="1" applyFont="1" applyFill="1" applyAlignment="1" applyProtection="1">
      <alignment horizontal="right"/>
      <protection hidden="1"/>
    </xf>
    <xf numFmtId="3" fontId="0" fillId="0" borderId="0" xfId="0" applyNumberFormat="1" applyFont="1" applyAlignment="1" applyProtection="1">
      <alignment/>
      <protection hidden="1"/>
    </xf>
    <xf numFmtId="3" fontId="0" fillId="0" borderId="0" xfId="0" applyNumberFormat="1" applyFont="1" applyFill="1" applyAlignment="1" applyProtection="1" quotePrefix="1">
      <alignment horizontal="right"/>
      <protection hidden="1"/>
    </xf>
    <xf numFmtId="3" fontId="4" fillId="37" borderId="0" xfId="0" applyNumberFormat="1" applyFont="1" applyFill="1" applyAlignment="1" applyProtection="1">
      <alignment horizontal="right" vertical="top"/>
      <protection hidden="1"/>
    </xf>
    <xf numFmtId="168" fontId="0" fillId="0" borderId="0" xfId="0" applyNumberFormat="1" applyFont="1" applyAlignment="1" applyProtection="1">
      <alignment/>
      <protection hidden="1"/>
    </xf>
    <xf numFmtId="168" fontId="4" fillId="0" borderId="0" xfId="0" applyNumberFormat="1" applyFont="1" applyFill="1" applyAlignment="1" applyProtection="1">
      <alignment horizontal="right" vertical="top"/>
      <protection hidden="1"/>
    </xf>
    <xf numFmtId="168" fontId="4" fillId="37" borderId="0" xfId="0" applyNumberFormat="1" applyFont="1" applyFill="1" applyAlignment="1" applyProtection="1">
      <alignment horizontal="right" vertical="top"/>
      <protection hidden="1"/>
    </xf>
    <xf numFmtId="168" fontId="101" fillId="37" borderId="0" xfId="0" applyNumberFormat="1" applyFont="1" applyFill="1" applyAlignment="1">
      <alignment horizontal="right"/>
    </xf>
    <xf numFmtId="168" fontId="0" fillId="0" borderId="0" xfId="47" applyNumberFormat="1" applyFont="1" applyFill="1" applyAlignment="1" applyProtection="1" quotePrefix="1">
      <alignment horizontal="right"/>
      <protection hidden="1"/>
    </xf>
    <xf numFmtId="168" fontId="4" fillId="0" borderId="0" xfId="0" applyNumberFormat="1" applyFont="1" applyAlignment="1" applyProtection="1">
      <alignment horizontal="right"/>
      <protection hidden="1"/>
    </xf>
    <xf numFmtId="168" fontId="0" fillId="37" borderId="0" xfId="0" applyNumberFormat="1" applyFont="1" applyFill="1" applyAlignment="1">
      <alignment horizontal="right"/>
    </xf>
    <xf numFmtId="3" fontId="0" fillId="0" borderId="0" xfId="0" applyNumberFormat="1" applyFont="1" applyAlignment="1" applyProtection="1" quotePrefix="1">
      <alignment horizontal="right"/>
      <protection hidden="1"/>
    </xf>
    <xf numFmtId="3" fontId="4" fillId="37" borderId="0" xfId="0" applyNumberFormat="1" applyFont="1" applyFill="1" applyAlignment="1" applyProtection="1">
      <alignment horizontal="right"/>
      <protection hidden="1"/>
    </xf>
    <xf numFmtId="3" fontId="82" fillId="0" borderId="0" xfId="0" applyNumberFormat="1" applyFont="1" applyAlignment="1" applyProtection="1">
      <alignment horizontal="right"/>
      <protection hidden="1"/>
    </xf>
    <xf numFmtId="3" fontId="2" fillId="37" borderId="0" xfId="0" applyNumberFormat="1" applyFont="1" applyFill="1" applyAlignment="1" applyProtection="1">
      <alignment horizontal="right"/>
      <protection hidden="1"/>
    </xf>
    <xf numFmtId="168" fontId="0" fillId="35" borderId="0" xfId="0" applyNumberFormat="1" applyFont="1" applyFill="1" applyAlignment="1" applyProtection="1">
      <alignment horizontal="right"/>
      <protection hidden="1"/>
    </xf>
    <xf numFmtId="168" fontId="4" fillId="0" borderId="0" xfId="0" applyNumberFormat="1" applyFont="1" applyFill="1" applyBorder="1" applyAlignment="1" applyProtection="1">
      <alignment horizontal="right"/>
      <protection hidden="1"/>
    </xf>
    <xf numFmtId="1" fontId="0" fillId="0" borderId="0" xfId="0" applyNumberFormat="1" applyFont="1" applyFill="1" applyAlignment="1" applyProtection="1">
      <alignment horizontal="right"/>
      <protection hidden="1"/>
    </xf>
    <xf numFmtId="1" fontId="4" fillId="0" borderId="0" xfId="53" applyNumberFormat="1" applyFill="1" applyAlignment="1" applyProtection="1">
      <alignment horizontal="right"/>
      <protection hidden="1"/>
    </xf>
    <xf numFmtId="1" fontId="0" fillId="35" borderId="0" xfId="0" applyNumberFormat="1" applyFont="1" applyFill="1" applyAlignment="1" applyProtection="1">
      <alignment horizontal="right"/>
      <protection hidden="1"/>
    </xf>
    <xf numFmtId="4" fontId="0" fillId="0" borderId="0" xfId="0" applyNumberFormat="1" applyFont="1" applyFill="1" applyBorder="1" applyAlignment="1" applyProtection="1">
      <alignment/>
      <protection hidden="1"/>
    </xf>
    <xf numFmtId="4" fontId="0" fillId="0" borderId="0" xfId="0" applyNumberFormat="1" applyFont="1" applyFill="1" applyAlignment="1" applyProtection="1">
      <alignment horizontal="right"/>
      <protection hidden="1"/>
    </xf>
    <xf numFmtId="4" fontId="0" fillId="0" borderId="0" xfId="47" applyNumberFormat="1" applyFont="1" applyFill="1" applyAlignment="1" applyProtection="1">
      <alignment horizontal="right"/>
      <protection hidden="1"/>
    </xf>
    <xf numFmtId="4" fontId="4" fillId="35" borderId="0" xfId="0" applyNumberFormat="1" applyFont="1" applyFill="1" applyAlignment="1" applyProtection="1">
      <alignment horizontal="right"/>
      <protection hidden="1"/>
    </xf>
    <xf numFmtId="4" fontId="4" fillId="35" borderId="0" xfId="0" applyNumberFormat="1" applyFont="1" applyFill="1" applyAlignment="1" applyProtection="1">
      <alignment horizontal="right" vertical="top"/>
      <protection hidden="1"/>
    </xf>
    <xf numFmtId="3" fontId="0" fillId="0" borderId="0" xfId="0" applyNumberFormat="1" applyFont="1" applyFill="1" applyBorder="1" applyAlignment="1" applyProtection="1" quotePrefix="1">
      <alignment horizontal="right"/>
      <protection hidden="1"/>
    </xf>
    <xf numFmtId="4" fontId="0" fillId="35" borderId="0" xfId="0" applyNumberFormat="1" applyFont="1" applyFill="1" applyAlignment="1" applyProtection="1">
      <alignment horizontal="right"/>
      <protection hidden="1"/>
    </xf>
    <xf numFmtId="4" fontId="4" fillId="0" borderId="0" xfId="0" applyNumberFormat="1" applyFont="1" applyFill="1" applyAlignment="1" applyProtection="1" quotePrefix="1">
      <alignment horizontal="right"/>
      <protection hidden="1"/>
    </xf>
    <xf numFmtId="4" fontId="0" fillId="0" borderId="0" xfId="0" applyNumberFormat="1" applyFont="1" applyFill="1" applyBorder="1" applyAlignment="1" applyProtection="1" quotePrefix="1">
      <alignment horizontal="right"/>
      <protection hidden="1"/>
    </xf>
    <xf numFmtId="2" fontId="0" fillId="0" borderId="0" xfId="0" applyNumberFormat="1" applyFont="1" applyFill="1" applyAlignment="1" applyProtection="1">
      <alignment horizontal="right"/>
      <protection hidden="1"/>
    </xf>
    <xf numFmtId="2" fontId="0" fillId="35" borderId="0" xfId="0" applyNumberFormat="1" applyFont="1" applyFill="1" applyAlignment="1" applyProtection="1">
      <alignment horizontal="right"/>
      <protection hidden="1"/>
    </xf>
    <xf numFmtId="3" fontId="0" fillId="0" borderId="0" xfId="0" applyNumberFormat="1" applyFont="1" applyFill="1" applyBorder="1" applyAlignment="1" applyProtection="1">
      <alignment horizontal="right"/>
      <protection hidden="1"/>
    </xf>
    <xf numFmtId="3" fontId="4" fillId="0" borderId="0" xfId="0" applyNumberFormat="1" applyFont="1" applyFill="1" applyBorder="1" applyAlignment="1" applyProtection="1">
      <alignment horizontal="right"/>
      <protection hidden="1"/>
    </xf>
    <xf numFmtId="3" fontId="0" fillId="0" borderId="0" xfId="0" applyNumberFormat="1" applyFill="1" applyBorder="1" applyAlignment="1" applyProtection="1">
      <alignment horizontal="right"/>
      <protection hidden="1"/>
    </xf>
    <xf numFmtId="3" fontId="0" fillId="35" borderId="0" xfId="0" applyNumberFormat="1" applyFill="1" applyBorder="1" applyAlignment="1" applyProtection="1">
      <alignment horizontal="right"/>
      <protection hidden="1"/>
    </xf>
    <xf numFmtId="168" fontId="4" fillId="35" borderId="0" xfId="0" applyNumberFormat="1" applyFont="1" applyFill="1" applyAlignment="1" applyProtection="1">
      <alignment horizontal="right" vertical="top"/>
      <protection hidden="1"/>
    </xf>
    <xf numFmtId="0" fontId="14" fillId="0" borderId="0" xfId="0" applyFont="1" applyFill="1" applyAlignment="1" applyProtection="1">
      <alignment horizontal="right"/>
      <protection hidden="1"/>
    </xf>
    <xf numFmtId="166" fontId="0" fillId="37" borderId="0" xfId="0" applyNumberFormat="1" applyFont="1" applyFill="1" applyAlignment="1" applyProtection="1">
      <alignment horizontal="right"/>
      <protection hidden="1"/>
    </xf>
    <xf numFmtId="0" fontId="91" fillId="0" borderId="0" xfId="0" applyFont="1" applyFill="1" applyAlignment="1" applyProtection="1">
      <alignment vertical="center"/>
      <protection hidden="1"/>
    </xf>
    <xf numFmtId="0" fontId="14" fillId="0" borderId="0" xfId="48" applyFont="1" applyFill="1" applyAlignment="1" applyProtection="1">
      <alignment horizontal="right"/>
      <protection hidden="1"/>
    </xf>
    <xf numFmtId="2" fontId="0" fillId="0" borderId="0" xfId="47" applyNumberFormat="1" applyFont="1" applyFill="1" applyAlignment="1" applyProtection="1">
      <alignment horizontal="right"/>
      <protection hidden="1"/>
    </xf>
    <xf numFmtId="0" fontId="4" fillId="36" borderId="0" xfId="0" applyNumberFormat="1" applyFont="1" applyFill="1" applyAlignment="1" applyProtection="1" quotePrefix="1">
      <alignment horizontal="right"/>
      <protection hidden="1"/>
    </xf>
    <xf numFmtId="0" fontId="0" fillId="0" borderId="12" xfId="0" applyFont="1" applyBorder="1" applyAlignment="1">
      <alignment/>
    </xf>
    <xf numFmtId="0" fontId="0" fillId="0" borderId="13" xfId="0" applyFont="1" applyBorder="1" applyAlignment="1">
      <alignment/>
    </xf>
    <xf numFmtId="3" fontId="0" fillId="33" borderId="0" xfId="0" applyNumberFormat="1" applyFont="1" applyFill="1" applyAlignment="1" applyProtection="1">
      <alignment horizontal="right"/>
      <protection hidden="1"/>
    </xf>
    <xf numFmtId="2" fontId="0" fillId="33" borderId="0" xfId="0" applyNumberFormat="1" applyFont="1" applyFill="1" applyAlignment="1" applyProtection="1">
      <alignment horizontal="right"/>
      <protection hidden="1"/>
    </xf>
    <xf numFmtId="2" fontId="4" fillId="33" borderId="0" xfId="0" applyNumberFormat="1" applyFont="1" applyFill="1" applyAlignment="1" applyProtection="1">
      <alignment horizontal="right"/>
      <protection hidden="1"/>
    </xf>
    <xf numFmtId="3" fontId="4" fillId="33" borderId="0" xfId="0" applyNumberFormat="1" applyFont="1" applyFill="1" applyAlignment="1" applyProtection="1">
      <alignment horizontal="right" vertical="top"/>
      <protection hidden="1"/>
    </xf>
    <xf numFmtId="2" fontId="4" fillId="0" borderId="0" xfId="0" applyNumberFormat="1" applyFont="1" applyFill="1" applyAlignment="1" applyProtection="1">
      <alignment horizontal="right"/>
      <protection hidden="1"/>
    </xf>
    <xf numFmtId="2" fontId="4" fillId="0" borderId="0" xfId="0" applyNumberFormat="1" applyFont="1" applyFill="1" applyAlignment="1" applyProtection="1" quotePrefix="1">
      <alignment horizontal="right"/>
      <protection hidden="1"/>
    </xf>
    <xf numFmtId="165" fontId="0" fillId="0" borderId="0" xfId="47" applyNumberFormat="1" applyFont="1" applyFill="1" applyAlignment="1" applyProtection="1">
      <alignment horizontal="right"/>
      <protection hidden="1"/>
    </xf>
    <xf numFmtId="1" fontId="4" fillId="0" borderId="0" xfId="47" applyNumberFormat="1" applyFont="1" applyFill="1" applyAlignment="1" applyProtection="1">
      <alignment/>
      <protection hidden="1"/>
    </xf>
    <xf numFmtId="1" fontId="4" fillId="0" borderId="0" xfId="47" applyNumberFormat="1" applyFont="1" applyFill="1" applyAlignment="1" applyProtection="1">
      <alignment horizontal="right"/>
      <protection hidden="1"/>
    </xf>
    <xf numFmtId="3" fontId="4" fillId="0" borderId="0" xfId="47" applyNumberFormat="1" applyFont="1" applyFill="1" applyAlignment="1" applyProtection="1">
      <alignment/>
      <protection hidden="1"/>
    </xf>
    <xf numFmtId="3" fontId="4" fillId="0" borderId="0" xfId="47" applyNumberFormat="1" applyFont="1" applyFill="1" applyAlignment="1" applyProtection="1">
      <alignment horizontal="right"/>
      <protection hidden="1"/>
    </xf>
    <xf numFmtId="3" fontId="0" fillId="37" borderId="0" xfId="0" applyNumberFormat="1" applyFont="1" applyFill="1" applyAlignment="1" applyProtection="1" quotePrefix="1">
      <alignment horizontal="right"/>
      <protection hidden="1"/>
    </xf>
    <xf numFmtId="0" fontId="0" fillId="0" borderId="0" xfId="0" applyFont="1" applyFill="1" applyAlignment="1">
      <alignment/>
    </xf>
    <xf numFmtId="0" fontId="0" fillId="0" borderId="13" xfId="0" applyFont="1" applyFill="1" applyBorder="1" applyAlignment="1">
      <alignment/>
    </xf>
    <xf numFmtId="0" fontId="0" fillId="0" borderId="12" xfId="0" applyFont="1" applyFill="1" applyBorder="1" applyAlignment="1">
      <alignment/>
    </xf>
    <xf numFmtId="0" fontId="90" fillId="0" borderId="0" xfId="0" applyFont="1" applyFill="1" applyAlignment="1" applyProtection="1">
      <alignment/>
      <protection hidden="1"/>
    </xf>
    <xf numFmtId="0" fontId="94" fillId="34" borderId="0" xfId="0" applyFont="1" applyFill="1" applyAlignment="1" applyProtection="1">
      <alignment vertical="center"/>
      <protection hidden="1"/>
    </xf>
    <xf numFmtId="0" fontId="97" fillId="34" borderId="0" xfId="0" applyFont="1" applyFill="1" applyAlignment="1" applyProtection="1">
      <alignment vertical="top"/>
      <protection hidden="1"/>
    </xf>
    <xf numFmtId="0" fontId="95" fillId="34" borderId="0" xfId="0" applyFont="1" applyFill="1" applyAlignment="1" applyProtection="1">
      <alignment vertical="center"/>
      <protection hidden="1"/>
    </xf>
    <xf numFmtId="0" fontId="82" fillId="0" borderId="0" xfId="0" applyFont="1" applyFill="1" applyAlignment="1" applyProtection="1">
      <alignment vertical="top" wrapText="1"/>
      <protection hidden="1"/>
    </xf>
    <xf numFmtId="0" fontId="82" fillId="0" borderId="0" xfId="0" applyFont="1" applyAlignment="1" applyProtection="1">
      <alignment vertical="top" wrapText="1"/>
      <protection hidden="1"/>
    </xf>
    <xf numFmtId="0" fontId="102" fillId="0" borderId="0" xfId="48" applyFont="1" applyAlignment="1" applyProtection="1">
      <alignment horizontal="right" vertical="center" wrapText="1" indent="1"/>
      <protection hidden="1"/>
    </xf>
    <xf numFmtId="0" fontId="102" fillId="0" borderId="14" xfId="48" applyFont="1" applyBorder="1" applyAlignment="1" applyProtection="1">
      <alignment horizontal="right" vertical="center" wrapText="1" indent="1"/>
      <protection hidden="1"/>
    </xf>
    <xf numFmtId="0" fontId="2" fillId="0" borderId="0" xfId="0" applyFont="1" applyFill="1" applyAlignment="1" applyProtection="1">
      <alignment vertical="top"/>
      <protection hidden="1"/>
    </xf>
    <xf numFmtId="0" fontId="82" fillId="0" borderId="0" xfId="0" applyFont="1" applyFill="1" applyAlignment="1" applyProtection="1">
      <alignment vertical="top"/>
      <protection hidden="1"/>
    </xf>
    <xf numFmtId="0" fontId="91" fillId="0" borderId="0" xfId="0" applyFont="1" applyAlignment="1" applyProtection="1">
      <alignment vertical="center"/>
      <protection hidden="1"/>
    </xf>
    <xf numFmtId="0" fontId="85" fillId="0" borderId="0" xfId="0" applyFont="1" applyAlignment="1" applyProtection="1">
      <alignment vertical="center"/>
      <protection hidden="1"/>
    </xf>
    <xf numFmtId="0" fontId="82" fillId="0" borderId="0" xfId="0" applyFont="1" applyAlignment="1" applyProtection="1">
      <alignment vertical="top"/>
      <protection hidden="1"/>
    </xf>
    <xf numFmtId="0" fontId="82" fillId="0" borderId="0" xfId="0" applyNumberFormat="1" applyFont="1" applyAlignment="1" applyProtection="1">
      <alignment vertical="top" wrapText="1"/>
      <protection hidden="1"/>
    </xf>
    <xf numFmtId="0" fontId="91" fillId="0" borderId="0" xfId="0" applyNumberFormat="1" applyFont="1" applyAlignment="1" applyProtection="1">
      <alignment vertical="center"/>
      <protection hidden="1"/>
    </xf>
    <xf numFmtId="0" fontId="85" fillId="0" borderId="0" xfId="0" applyNumberFormat="1" applyFont="1" applyAlignment="1" applyProtection="1">
      <alignment vertical="center"/>
      <protection hidden="1"/>
    </xf>
    <xf numFmtId="0" fontId="91" fillId="0" borderId="0" xfId="0" applyFont="1" applyFill="1" applyAlignment="1" applyProtection="1">
      <alignment vertical="center"/>
      <protection hidden="1"/>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2" xfId="53"/>
    <cellStyle name="Standard 7"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dxfs count="36">
    <dxf>
      <fill>
        <patternFill>
          <bgColor theme="2" tint="0.5999600291252136"/>
        </patternFill>
      </fill>
    </dxf>
    <dxf/>
    <dxf>
      <fill>
        <patternFill>
          <bgColor theme="2" tint="0.5999600291252136"/>
        </patternFill>
      </fill>
    </dxf>
    <dxf>
      <fill>
        <patternFill>
          <bgColor theme="2" tint="0.5999600291252136"/>
        </patternFill>
      </fill>
    </dxf>
    <dxf>
      <fill>
        <patternFill>
          <bgColor theme="2" tint="0.5999600291252136"/>
        </patternFill>
      </fill>
    </dxf>
    <dxf>
      <fill>
        <patternFill>
          <bgColor theme="2" tint="0.5999600291252136"/>
        </patternFill>
      </fill>
    </dxf>
    <dxf>
      <fill>
        <patternFill>
          <bgColor theme="2" tint="0.5999600291252136"/>
        </patternFill>
      </fill>
    </dxf>
    <dxf/>
    <dxf/>
    <dxf/>
    <dxf/>
    <dxf/>
    <dxf/>
    <dxf/>
    <dxf/>
    <dxf/>
    <dxf/>
    <dxf/>
    <dxf>
      <fill>
        <patternFill>
          <bgColor theme="2" tint="0.5999600291252136"/>
        </patternFill>
      </fill>
    </dxf>
    <dxf/>
    <dxf/>
    <dxf/>
    <dxf/>
    <dxf/>
    <dxf/>
    <dxf/>
    <dxf/>
    <dxf/>
    <dxf/>
    <dxf/>
    <dxf>
      <fill>
        <patternFill>
          <bgColor theme="2" tint="0.5999600291252136"/>
        </patternFill>
      </fill>
    </dxf>
    <dxf>
      <fill>
        <patternFill>
          <bgColor theme="2" tint="0.5999600291252136"/>
        </patternFill>
      </fill>
    </dxf>
    <dxf>
      <fill>
        <patternFill>
          <bgColor theme="2" tint="0.5999600291252136"/>
        </patternFill>
      </fill>
    </dxf>
    <dxf>
      <fill>
        <patternFill>
          <bgColor theme="2" tint="0.5999600291252136"/>
        </patternFill>
      </fill>
    </dxf>
    <dxf>
      <fill>
        <patternFill>
          <bgColor theme="2" tint="0.5999600291252136"/>
        </patternFill>
      </fill>
    </dxf>
    <dxf>
      <numFmt numFmtId="168"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ables/table1.xml><?xml version="1.0" encoding="utf-8"?>
<table xmlns="http://schemas.openxmlformats.org/spreadsheetml/2006/main" id="3" name="Sprachen" displayName="Sprachen" ref="A1:B5" comment="" totalsRowShown="0">
  <autoFilter ref="A1:B5"/>
  <tableColumns count="2">
    <tableColumn id="1" name="Sprache"/>
    <tableColumn id="2" name="Sprache ID"/>
  </tableColumns>
  <tableStyleInfo name="TableStyleMedium4" showFirstColumn="0" showLastColumn="0" showRowStripes="1" showColumnStripes="0"/>
</table>
</file>

<file path=xl/tables/table10.xml><?xml version="1.0" encoding="utf-8"?>
<table xmlns="http://schemas.openxmlformats.org/spreadsheetml/2006/main" id="11" name="Textbausteine_102" displayName="Textbausteine_102" ref="M1:Q345" comment="" totalsRowShown="0">
  <autoFilter ref="M1:Q345"/>
  <tableColumns count="5">
    <tableColumn id="1" name="Text ID"/>
    <tableColumn id="2" name="De"/>
    <tableColumn id="3" name="Fr"/>
    <tableColumn id="4" name="It"/>
    <tableColumn id="5" name="En"/>
  </tableColumns>
  <tableStyleInfo name="TableStyleMedium4" showFirstColumn="0" showLastColumn="0" showRowStripes="1" showColumnStripes="0"/>
</table>
</file>

<file path=xl/tables/table11.xml><?xml version="1.0" encoding="utf-8"?>
<table xmlns="http://schemas.openxmlformats.org/spreadsheetml/2006/main" id="13" name="Textbausteine_401" displayName="Textbausteine_401" ref="AW1:BA156" comment="" totalsRowShown="0">
  <autoFilter ref="AW1:BA156"/>
  <tableColumns count="5">
    <tableColumn id="1" name="Text ID"/>
    <tableColumn id="2" name="De"/>
    <tableColumn id="3" name="Fr"/>
    <tableColumn id="4" name="It"/>
    <tableColumn id="5" name="En"/>
  </tableColumns>
  <tableStyleInfo name="TableStyleMedium4" showFirstColumn="0" showLastColumn="0" showRowStripes="1" showColumnStripes="0"/>
</table>
</file>

<file path=xl/tables/table12.xml><?xml version="1.0" encoding="utf-8"?>
<table xmlns="http://schemas.openxmlformats.org/spreadsheetml/2006/main" id="14" name="Textbausteine_403" displayName="Textbausteine_403" ref="BC1:BG151" comment="" totalsRowShown="0">
  <autoFilter ref="BC1:BG151"/>
  <tableColumns count="5">
    <tableColumn id="1" name="Text ID"/>
    <tableColumn id="2" name="De"/>
    <tableColumn id="3" name="Fr"/>
    <tableColumn id="4" name="It"/>
    <tableColumn id="5" name="En"/>
  </tableColumns>
  <tableStyleInfo name="TableStyleMedium4" showFirstColumn="0" showLastColumn="0" showRowStripes="1" showColumnStripes="0"/>
</table>
</file>

<file path=xl/tables/table13.xml><?xml version="1.0" encoding="utf-8"?>
<table xmlns="http://schemas.openxmlformats.org/spreadsheetml/2006/main" id="15" name="Textbausteine_405" displayName="Textbausteine_405" ref="BO1:BS151" comment="" totalsRowShown="0">
  <autoFilter ref="BO1:BS151"/>
  <tableColumns count="5">
    <tableColumn id="1" name="Text ID"/>
    <tableColumn id="2" name="De"/>
    <tableColumn id="3" name="Fr"/>
    <tableColumn id="4" name="It"/>
    <tableColumn id="5" name="En"/>
  </tableColumns>
  <tableStyleInfo name="TableStyleMedium4" showFirstColumn="0" showLastColumn="0" showRowStripes="1" showColumnStripes="0"/>
</table>
</file>

<file path=xl/tables/table14.xml><?xml version="1.0" encoding="utf-8"?>
<table xmlns="http://schemas.openxmlformats.org/spreadsheetml/2006/main" id="8" name="Textbausteine_404_" displayName="Textbausteine_404_" ref="BI1:BM151" comment="" totalsRowShown="0">
  <autoFilter ref="BI1:BM151"/>
  <tableColumns count="5">
    <tableColumn id="1" name="Text ID"/>
    <tableColumn id="2" name="De"/>
    <tableColumn id="3" name="Fr"/>
    <tableColumn id="4" name="It"/>
    <tableColumn id="5" name="En"/>
  </tableColumns>
  <tableStyleInfo name="TableStyleMedium4" showFirstColumn="0" showLastColumn="0" showRowStripes="1" showColumnStripes="0"/>
</table>
</file>

<file path=xl/tables/table2.xml><?xml version="1.0" encoding="utf-8"?>
<table xmlns="http://schemas.openxmlformats.org/spreadsheetml/2006/main" id="4" name="Gew?hlte_Sprache" displayName="Gew?hlte_Sprache" ref="D1:D2" comment="" totalsRowShown="0">
  <autoFilter ref="D1:D2"/>
  <tableColumns count="1">
    <tableColumn id="1" name="Gewählte_Sprache"/>
  </tableColumns>
  <tableStyleInfo name="TableStyleMedium4" showFirstColumn="0" showLastColumn="0" showRowStripes="1" showColumnStripes="0"/>
</table>
</file>

<file path=xl/tables/table3.xml><?xml version="1.0" encoding="utf-8"?>
<table xmlns="http://schemas.openxmlformats.org/spreadsheetml/2006/main" id="1" name="Textbausteine_Menu" displayName="Textbausteine_Menu" ref="A1:E67" comment="" totalsRowShown="0">
  <autoFilter ref="A1:E67"/>
  <tableColumns count="5">
    <tableColumn id="1" name="Text ID"/>
    <tableColumn id="2" name="De"/>
    <tableColumn id="3" name="Fr"/>
    <tableColumn id="4" name="It"/>
    <tableColumn id="5" name="En"/>
  </tableColumns>
  <tableStyleInfo name="TableStyleMedium4" showFirstColumn="0" showLastColumn="0" showRowStripes="1" showColumnStripes="0"/>
</table>
</file>

<file path=xl/tables/table4.xml><?xml version="1.0" encoding="utf-8"?>
<table xmlns="http://schemas.openxmlformats.org/spreadsheetml/2006/main" id="2" name="Textbausteine_Inhalt" displayName="Textbausteine_Inhalt" ref="G1:K20" comment="" totalsRowShown="0">
  <autoFilter ref="G1:K20"/>
  <tableColumns count="5">
    <tableColumn id="1" name="Text ID"/>
    <tableColumn id="2" name="De"/>
    <tableColumn id="3" name="Fr"/>
    <tableColumn id="4" name="It"/>
    <tableColumn id="5" name="En"/>
  </tableColumns>
  <tableStyleInfo name="TableStyleMedium4" showFirstColumn="0" showLastColumn="0" showRowStripes="1" showColumnStripes="0"/>
</table>
</file>

<file path=xl/tables/table5.xml><?xml version="1.0" encoding="utf-8"?>
<table xmlns="http://schemas.openxmlformats.org/spreadsheetml/2006/main" id="5" name="Textbausteine_201" displayName="Textbausteine_201" ref="S1:W160" comment="" totalsRowShown="0">
  <autoFilter ref="S1:W160"/>
  <tableColumns count="5">
    <tableColumn id="1" name="Text ID"/>
    <tableColumn id="2" name="De"/>
    <tableColumn id="3" name="Fr"/>
    <tableColumn id="4" name="It"/>
    <tableColumn id="5" name="En"/>
  </tableColumns>
  <tableStyleInfo name="TableStyleMedium4" showFirstColumn="0" showLastColumn="0" showRowStripes="1" showColumnStripes="0"/>
</table>
</file>

<file path=xl/tables/table6.xml><?xml version="1.0" encoding="utf-8"?>
<table xmlns="http://schemas.openxmlformats.org/spreadsheetml/2006/main" id="6" name="Textbausteine_202" displayName="Textbausteine_202" ref="Y1:AC151" comment="" totalsRowShown="0">
  <autoFilter ref="Y1:AC151"/>
  <tableColumns count="5">
    <tableColumn id="1" name="Text ID"/>
    <tableColumn id="2" name="De"/>
    <tableColumn id="3" name="Fr"/>
    <tableColumn id="4" name="It"/>
    <tableColumn id="5" name="En"/>
  </tableColumns>
  <tableStyleInfo name="TableStyleMedium4" showFirstColumn="0" showLastColumn="0" showRowStripes="1" showColumnStripes="0"/>
</table>
</file>

<file path=xl/tables/table7.xml><?xml version="1.0" encoding="utf-8"?>
<table xmlns="http://schemas.openxmlformats.org/spreadsheetml/2006/main" id="7" name="Textbausteine_203" displayName="Textbausteine_203" ref="AE1:AI254" comment="" totalsRowShown="0">
  <autoFilter ref="AE1:AI254"/>
  <tableColumns count="5">
    <tableColumn id="1" name="Text ID"/>
    <tableColumn id="2" name="De"/>
    <tableColumn id="3" name="Fr"/>
    <tableColumn id="4" name="It"/>
    <tableColumn id="5" name="En"/>
  </tableColumns>
  <tableStyleInfo name="TableStyleMedium4" showFirstColumn="0" showLastColumn="0" showRowStripes="1" showColumnStripes="0"/>
</table>
</file>

<file path=xl/tables/table8.xml><?xml version="1.0" encoding="utf-8"?>
<table xmlns="http://schemas.openxmlformats.org/spreadsheetml/2006/main" id="9" name="Textbausteine_302" displayName="Textbausteine_302" ref="AK1:AO151" comment="" totalsRowShown="0">
  <autoFilter ref="AK1:AO151"/>
  <tableColumns count="5">
    <tableColumn id="1" name="Text ID"/>
    <tableColumn id="2" name="De"/>
    <tableColumn id="3" name="Fr"/>
    <tableColumn id="4" name="It"/>
    <tableColumn id="5" name="En"/>
  </tableColumns>
  <tableStyleInfo name="TableStyleMedium4" showFirstColumn="0" showLastColumn="0" showRowStripes="1" showColumnStripes="0"/>
</table>
</file>

<file path=xl/tables/table9.xml><?xml version="1.0" encoding="utf-8"?>
<table xmlns="http://schemas.openxmlformats.org/spreadsheetml/2006/main" id="10" name="Textbausteine_305" displayName="Textbausteine_305" ref="AQ1:AU151" comment="" totalsRowShown="0">
  <autoFilter ref="AQ1:AU151"/>
  <tableColumns count="5">
    <tableColumn id="1" name="Text ID"/>
    <tableColumn id="2" name="De"/>
    <tableColumn id="3" name="Fr"/>
    <tableColumn id="4" name="It"/>
    <tableColumn id="5" name="E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Post-Farben DM hell">
      <a:dk1>
        <a:sysClr val="windowText" lastClr="000000"/>
      </a:dk1>
      <a:lt1>
        <a:sysClr val="window" lastClr="FFFFFF"/>
      </a:lt1>
      <a:dk2>
        <a:srgbClr val="EBE4D1"/>
      </a:dk2>
      <a:lt2>
        <a:srgbClr val="FFCC00"/>
      </a:lt2>
      <a:accent1>
        <a:srgbClr val="0076A8"/>
      </a:accent1>
      <a:accent2>
        <a:srgbClr val="00968F"/>
      </a:accent2>
      <a:accent3>
        <a:srgbClr val="AA9D2E"/>
      </a:accent3>
      <a:accent4>
        <a:srgbClr val="7566A0"/>
      </a:accent4>
      <a:accent5>
        <a:srgbClr val="C5299B"/>
      </a:accent5>
      <a:accent6>
        <a:srgbClr val="E03C31"/>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ustainabledevelopment.un.org/?menu=1300" TargetMode="External" /><Relationship Id="rId2" Type="http://schemas.openxmlformats.org/officeDocument/2006/relationships/hyperlink" Target="https://www.unglobalcompact.org/" TargetMode="External" /><Relationship Id="rId3" Type="http://schemas.openxmlformats.org/officeDocument/2006/relationships/hyperlink" Target="https://sustainabledevelopment.un.org/?menu=1300" TargetMode="External" /><Relationship Id="rId4" Type="http://schemas.openxmlformats.org/officeDocument/2006/relationships/hyperlink" Target="https://www.unglobalcompact.org/" TargetMode="External" /><Relationship Id="rId5" Type="http://schemas.openxmlformats.org/officeDocument/2006/relationships/hyperlink" Target="https://sustainabledevelopment.un.org/?menu=1300" TargetMode="External" /><Relationship Id="rId6" Type="http://schemas.openxmlformats.org/officeDocument/2006/relationships/hyperlink" Target="https://www.unglobalcompact.org/" TargetMode="External" /><Relationship Id="rId7" Type="http://schemas.openxmlformats.org/officeDocument/2006/relationships/hyperlink" Target="https://sustainabledevelopment.un.org/?menu=1300" TargetMode="External" /><Relationship Id="rId8" Type="http://schemas.openxmlformats.org/officeDocument/2006/relationships/hyperlink" Target="https://www.unglobalcompact.org/" TargetMode="External" /></Relationships>
</file>

<file path=xl/worksheets/_rels/sheet1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table" Target="../tables/table4.x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table" Target="../tables/table9.xml" /><Relationship Id="rId8" Type="http://schemas.openxmlformats.org/officeDocument/2006/relationships/table" Target="../tables/table10.xml" /><Relationship Id="rId9" Type="http://schemas.openxmlformats.org/officeDocument/2006/relationships/table" Target="../tables/table11.xml" /><Relationship Id="rId10" Type="http://schemas.openxmlformats.org/officeDocument/2006/relationships/table" Target="../tables/table12.xml" /><Relationship Id="rId11" Type="http://schemas.openxmlformats.org/officeDocument/2006/relationships/table" Target="../tables/table13.xml" /><Relationship Id="rId12" Type="http://schemas.openxmlformats.org/officeDocument/2006/relationships/table" Target="../tables/table14.xml" /></Relationships>
</file>

<file path=xl/worksheets/sheet1.xml><?xml version="1.0" encoding="utf-8"?>
<worksheet xmlns="http://schemas.openxmlformats.org/spreadsheetml/2006/main" xmlns:r="http://schemas.openxmlformats.org/officeDocument/2006/relationships">
  <sheetPr>
    <tabColor rgb="FF004976"/>
  </sheetPr>
  <dimension ref="A2:F40"/>
  <sheetViews>
    <sheetView showGridLines="0" showRowColHeaders="0" tabSelected="1" zoomScalePageLayoutView="0" workbookViewId="0" topLeftCell="A1">
      <selection activeCell="F2" sqref="F2"/>
    </sheetView>
  </sheetViews>
  <sheetFormatPr defaultColWidth="10.75390625" defaultRowHeight="12.75" customHeight="1"/>
  <cols>
    <col min="1" max="2" width="2.50390625" style="146" customWidth="1"/>
    <col min="3" max="3" width="43.50390625" style="146" customWidth="1"/>
    <col min="4" max="4" width="73.375" style="298" customWidth="1"/>
    <col min="5" max="5" width="25.50390625" style="313" customWidth="1"/>
    <col min="6" max="6" width="14.125" style="307" customWidth="1"/>
    <col min="7" max="16384" width="10.75390625" style="146" customWidth="1"/>
  </cols>
  <sheetData>
    <row r="2" spans="1:6" s="150" customFormat="1" ht="25.5" customHeight="1">
      <c r="A2" s="157"/>
      <c r="B2" s="476" t="str">
        <f>UPPER(VLOOKUP(1,Textbausteine!$A$2:$E$67,Hilfsgrössen!$D$2,FALSE))</f>
        <v>CHIFFRES CLÉS DU RAPPORT ANNUEL 2019</v>
      </c>
      <c r="C2" s="476"/>
      <c r="D2" s="476"/>
      <c r="E2" s="314"/>
      <c r="F2" s="305" t="s">
        <v>86</v>
      </c>
    </row>
    <row r="3" spans="1:6" s="151" customFormat="1" ht="25.5" customHeight="1">
      <c r="A3" s="158"/>
      <c r="B3" s="478" t="str">
        <f>UPPER(VLOOKUP(2,Textbausteine!$A$2:$E$67,Hilfsgrössen!$D$2,FALSE))</f>
        <v>LA POSTE</v>
      </c>
      <c r="C3" s="478"/>
      <c r="D3" s="303"/>
      <c r="E3" s="315"/>
      <c r="F3" s="306"/>
    </row>
    <row r="6" spans="2:6" s="300" customFormat="1" ht="12.75" customHeight="1">
      <c r="B6" s="477" t="str">
        <f>VLOOKUP(3,Textbausteine!$A$2:$E$67,Hilfsgrössen!$D$2,FALSE)</f>
        <v>Informations générales</v>
      </c>
      <c r="C6" s="477"/>
      <c r="D6" s="304" t="str">
        <f>VLOOKUP(31,Textbausteine!$A$2:$E$67,Hilfsgrössen!$D$2,FALSE)</f>
        <v>Divulgations</v>
      </c>
      <c r="E6" s="316" t="s">
        <v>22</v>
      </c>
      <c r="F6" s="308" t="s">
        <v>25</v>
      </c>
    </row>
    <row r="7" spans="3:6" ht="36">
      <c r="C7" s="146" t="str">
        <f>VLOOKUP(7,Textbausteine!$A$2:$E$67,Hilfsgrössen!$D$2,FALSE)</f>
        <v>102 – Divulgations généraux</v>
      </c>
      <c r="D7" s="301" t="str">
        <f>VLOOKUP(1,Textbausteine!$M$2:$Q$345,Hilfsgrössen!$D$2,FALSE)&amp;", "&amp;VLOOKUP(2,Textbausteine!$M$2:$Q$345,Hilfsgrössen!$D$2,FALSE)&amp;", "&amp;VLOOKUP(3,Textbausteine!$M$2:$Q$345,Hilfsgrössen!$D$2,FALSE)&amp;", "&amp;VLOOKUP(4,Textbausteine!$M$2:$Q$345,Hilfsgrössen!$D$2,FALSE)&amp;", "&amp;VLOOKUP(5,Textbausteine!$M$2:$Q$345,Hilfsgrössen!$D$2,FALSE)&amp;", "&amp;VLOOKUP(6,Textbausteine!$M$2:$Q$345,Hilfsgrössen!$D$2,FALSE)&amp;", "&amp;VLOOKUP(7,Textbausteine!$M$2:$Q$345,Hilfsgrössen!$D$2,FALSE)&amp;", "&amp;VLOOKUP(8,Textbausteine!$M$2:$Q$345,Hilfsgrössen!$D$2,FALSE)&amp;", "&amp;VLOOKUP(9,Textbausteine!$M$2:$Q$345,Hilfsgrössen!$D$2,FALSE)&amp;", "&amp;VLOOKUP(10,Textbausteine!$M$2:$Q$345,Hilfsgrössen!$D$2,FALSE)&amp;", "&amp;VLOOKUP(11,Textbausteine!$M$2:$Q$345,Hilfsgrössen!$D$2,FALSE)</f>
        <v>Parts de marché, Financement, Cash-flow et investissements, Evolution des volumes, Volume trafic des paiements, Effectif, Répartition des sexes, Temps partiel, Rapports de travail, Chaîne de livraison, Satisfaction des clients</v>
      </c>
      <c r="E7" s="313" t="s">
        <v>661</v>
      </c>
      <c r="F7" s="307" t="s">
        <v>23</v>
      </c>
    </row>
    <row r="8" spans="3:6" ht="12.75" customHeight="1" hidden="1">
      <c r="C8" s="146" t="str">
        <f>VLOOKUP(52,Textbausteine!$A$2:$E$67,Hilfsgrössen!$D$2,FALSE)</f>
        <v>103 – Approche managériale</v>
      </c>
      <c r="E8" s="313" t="s">
        <v>676</v>
      </c>
      <c r="F8" s="307" t="s">
        <v>28</v>
      </c>
    </row>
    <row r="11" spans="2:6" s="300" customFormat="1" ht="12.75" customHeight="1">
      <c r="B11" s="477" t="str">
        <f>VLOOKUP(4,Textbausteine!$A$2:$E$67,Hilfsgrössen!$D$2,FALSE)</f>
        <v>Sujets économiques</v>
      </c>
      <c r="C11" s="477"/>
      <c r="D11" s="304" t="str">
        <f>VLOOKUP(31,Textbausteine!$A$2:$E$67,Hilfsgrössen!$D$2,FALSE)</f>
        <v>Divulgations</v>
      </c>
      <c r="E11" s="316" t="s">
        <v>22</v>
      </c>
      <c r="F11" s="308" t="s">
        <v>25</v>
      </c>
    </row>
    <row r="12" spans="3:6" ht="25.5" customHeight="1">
      <c r="C12" s="302" t="str">
        <f>VLOOKUP(8,Textbausteine!$A$2:$E$67,Hilfsgrössen!$D$2,FALSE)</f>
        <v>201 – Performance économique</v>
      </c>
      <c r="D12" s="301" t="str">
        <f>VLOOKUP(1,Textbausteine!$S$2:$W$160,Hilfsgrössen!$D$2,FALSE)&amp;", "&amp;VLOOKUP(2,Textbausteine!$S$2:$W$160,Hilfsgrössen!$D$2,FALSE)&amp;", "&amp;VLOOKUP(3,Textbausteine!$S$2:$W$160,Hilfsgrössen!$D$2,FALSE)</f>
        <v>Résultat financier, Caisse de pensions, Répartition de la valeur ajoutée</v>
      </c>
      <c r="E12" s="313" t="s">
        <v>662</v>
      </c>
      <c r="F12" s="307" t="s">
        <v>24</v>
      </c>
    </row>
    <row r="13" spans="3:6" ht="25.5" customHeight="1">
      <c r="C13" s="302" t="str">
        <f>VLOOKUP(9,Textbausteine!$A$2:$E$67,Hilfsgrössen!$D$2,FALSE)</f>
        <v>202 – Présence sur le marché</v>
      </c>
      <c r="D13" s="301" t="str">
        <f>VLOOKUP(1,Textbausteine!$Y$2:$AC$151,Hilfsgrössen!$D$2,FALSE)</f>
        <v>Indemnités</v>
      </c>
      <c r="E13" s="313" t="s">
        <v>661</v>
      </c>
      <c r="F13" s="307" t="s">
        <v>26</v>
      </c>
    </row>
    <row r="14" spans="3:6" ht="36">
      <c r="C14" s="302" t="str">
        <f>VLOOKUP(10,Textbausteine!$A$2:$E$67,Hilfsgrössen!$D$2,FALSE)</f>
        <v>203 – Impacts économiques indirects</v>
      </c>
      <c r="D14" s="301" t="str">
        <f>VLOOKUP(1,Textbausteine!$AE$2:$AI$254,Hilfsgrössen!$D$2,FALSE)&amp;", "&amp;VLOOKUP(2,Textbausteine!$AE$2:$AI$254,Hilfsgrössen!$D$2,FALSE)&amp;", "&amp;VLOOKUP(3,Textbausteine!$AE$2:$AI$254,Hilfsgrössen!$D$2,FALSE)&amp;", "&amp;VLOOKUP(4,Textbausteine!$AE$2:$AI$254,Hilfsgrössen!$D$2,FALSE)&amp;", "&amp;VLOOKUP(5,Textbausteine!$AE$2:$AI$254,Hilfsgrössen!$D$2,FALSE)&amp;", "&amp;VLOOKUP(6,Textbausteine!$AE$2:$AI$254,Hilfsgrössen!$D$2,FALSE)&amp;", "&amp;VLOOKUP(7,Textbausteine!$AE$2:$AI$254,Hilfsgrössen!$D$2,FALSE)</f>
        <v>Actions de bienfaisance et sponsoring, Points d'accès, Emplois dans les régions, Comparaison des prix des services postaux, Délais d'acheminement des services postaux, Temps d'attente dans les filiales, Délais de traitement des services financiers</v>
      </c>
      <c r="F14" s="307" t="s">
        <v>27</v>
      </c>
    </row>
    <row r="15" spans="3:6" ht="12.75" customHeight="1" hidden="1">
      <c r="C15" s="146" t="str">
        <f>VLOOKUP(11,Textbausteine!$A$2:$E$67,Hilfsgrössen!$D$2,FALSE)</f>
        <v>205 – Lutte contre la corruption</v>
      </c>
      <c r="E15" s="313" t="s">
        <v>663</v>
      </c>
      <c r="F15" s="307" t="s">
        <v>28</v>
      </c>
    </row>
    <row r="16" spans="3:6" ht="12.75" customHeight="1" hidden="1">
      <c r="C16" s="146" t="str">
        <f>VLOOKUP(12,Textbausteine!$A$2:$E$67,Hilfsgrössen!$D$2,FALSE)</f>
        <v>206 – Comportement anticoncurrentiel</v>
      </c>
      <c r="F16" s="307" t="s">
        <v>28</v>
      </c>
    </row>
    <row r="19" spans="2:6" s="300" customFormat="1" ht="12.75" customHeight="1">
      <c r="B19" s="477" t="str">
        <f>VLOOKUP(5,Textbausteine!$A$2:$E$67,Hilfsgrössen!$D$2,FALSE)</f>
        <v>Sujets environnementaux</v>
      </c>
      <c r="C19" s="477"/>
      <c r="D19" s="304" t="str">
        <f>VLOOKUP(31,Textbausteine!$A$2:$E$67,Hilfsgrössen!$D$2,FALSE)</f>
        <v>Divulgations</v>
      </c>
      <c r="E19" s="316" t="s">
        <v>22</v>
      </c>
      <c r="F19" s="308" t="s">
        <v>25</v>
      </c>
    </row>
    <row r="20" spans="3:6" ht="12.75" customHeight="1" hidden="1">
      <c r="C20" s="146" t="str">
        <f>VLOOKUP(13,Textbausteine!$A$2:$E$67,Hilfsgrössen!$D$2,FALSE)</f>
        <v>301 – Matières</v>
      </c>
      <c r="E20" s="313" t="s">
        <v>664</v>
      </c>
      <c r="F20" s="307" t="s">
        <v>29</v>
      </c>
    </row>
    <row r="21" spans="3:6" ht="25.5" customHeight="1">
      <c r="C21" s="302" t="str">
        <f>VLOOKUP(14,Textbausteine!$A$2:$E$67,Hilfsgrössen!$D$2,FALSE)</f>
        <v>302 – Energie</v>
      </c>
      <c r="D21" s="298" t="str">
        <f>VLOOKUP(1,Textbausteine!$AK$2:$AO$151,Hilfsgrössen!$D$2,FALSE)&amp;", "&amp;VLOOKUP(2,Textbausteine!$AK$2:$AO$151,Hilfsgrössen!$D$2,FALSE)</f>
        <v>Consommation énergétique au sein et en dehors de l'organisation, Autres indicateurs énergétiques</v>
      </c>
      <c r="E21" s="313" t="s">
        <v>665</v>
      </c>
      <c r="F21" s="307" t="s">
        <v>30</v>
      </c>
    </row>
    <row r="22" spans="3:6" ht="25.5" customHeight="1">
      <c r="C22" s="299" t="str">
        <f>VLOOKUP(15,Textbausteine!$A$2:$E$67,Hilfsgrössen!$D$2,FALSE)</f>
        <v>305 – Emissions</v>
      </c>
      <c r="D22" s="298" t="str">
        <f>VLOOKUP(1,Textbausteine!$AQ$2:$AU$151,Hilfsgrössen!$D$2,FALSE)&amp;", "&amp;VLOOKUP(2,Textbausteine!$AQ$2:$AU$151,Hilfsgrössen!$D$2,FALSE)&amp;", "&amp;VLOOKUP(3,Textbausteine!$AQ$2:$AU$151,Hilfsgrössen!$D$2,FALSE)&amp;", "&amp;VLOOKUP(4,Textbausteine!$AQ$2:$AU$151,Hilfsgrössen!$D$2,FALSE)&amp;", "&amp;VLOOKUP(5,Textbausteine!$AQ$2:$AU$151,Hilfsgrössen!$D$2,FALSE)</f>
        <v>Emissions de gaz à effet de serre, Intensité de gaz à effet de serre, Emissions de gaz à effet de serre compensées, Autres indicateurs des gaz à effet de serre, Emissions de polluants atmosphériques</v>
      </c>
      <c r="E22" s="313" t="s">
        <v>665</v>
      </c>
      <c r="F22" s="307" t="s">
        <v>31</v>
      </c>
    </row>
    <row r="23" spans="3:5" ht="12.75" customHeight="1" hidden="1">
      <c r="C23" s="146" t="str">
        <f>VLOOKUP(16,Textbausteine!$A$2:$E$67,Hilfsgrössen!$D$2,FALSE)</f>
        <v>308 – Evaluation environnementale des fournisseurs</v>
      </c>
      <c r="E23" s="313" t="s">
        <v>664</v>
      </c>
    </row>
    <row r="26" spans="2:6" s="300" customFormat="1" ht="12.75" customHeight="1">
      <c r="B26" s="477" t="str">
        <f>VLOOKUP(6,Textbausteine!$A$2:$E$67,Hilfsgrössen!$D$2,FALSE)</f>
        <v>Sujets sociaux</v>
      </c>
      <c r="C26" s="477"/>
      <c r="D26" s="304" t="str">
        <f>VLOOKUP(31,Textbausteine!$A$2:$E$67,Hilfsgrössen!$D$2,FALSE)</f>
        <v>Divulgations</v>
      </c>
      <c r="E26" s="316" t="s">
        <v>22</v>
      </c>
      <c r="F26" s="308" t="s">
        <v>25</v>
      </c>
    </row>
    <row r="27" spans="3:5" ht="25.5" customHeight="1">
      <c r="C27" s="299" t="str">
        <f>VLOOKUP(17,Textbausteine!$A$2:$E$67,Hilfsgrössen!$D$2,FALSE)</f>
        <v>401 – Emploi</v>
      </c>
      <c r="D27" s="298" t="str">
        <f>VLOOKUP(1,Textbausteine!$AW$2:$BA$156,Hilfsgrössen!$D$2,FALSE)&amp;", "&amp;VLOOKUP(2,Textbausteine!$AW$2:$BA$156,Hilfsgrössen!$D$2,FALSE)&amp;", "&amp;VLOOKUP(3,Textbausteine!$AW$2:$BA$156,Hilfsgrössen!$D$2,FALSE)</f>
        <v>Fluctuation du personnel et départs, Congé parental, Satisfaction du personnel, motivation et engagement</v>
      </c>
      <c r="E27" s="313" t="s">
        <v>661</v>
      </c>
    </row>
    <row r="28" spans="3:5" ht="12.75" customHeight="1" hidden="1">
      <c r="C28" s="146" t="str">
        <f>VLOOKUP(18,Textbausteine!$A$2:$E$67,Hilfsgrössen!$D$2,FALSE)</f>
        <v>402 – Relations employeur/employés</v>
      </c>
      <c r="E28" s="313" t="s">
        <v>666</v>
      </c>
    </row>
    <row r="29" spans="3:4" ht="25.5" customHeight="1">
      <c r="C29" s="299" t="str">
        <f>VLOOKUP(19,Textbausteine!$A$2:$E$67,Hilfsgrössen!$D$2,FALSE)</f>
        <v>403 – Santé et sécurité au travail</v>
      </c>
      <c r="D29" s="298" t="str">
        <f>VLOOKUP(1,Textbausteine!$BC$2:$BG$151,Hilfsgrössen!$D$2,FALSE)</f>
        <v>Gestion de la santé</v>
      </c>
    </row>
    <row r="30" spans="3:6" ht="25.5" customHeight="1">
      <c r="C30" s="299" t="str">
        <f>VLOOKUP(20,Textbausteine!$A$2:$E$67,Hilfsgrössen!$D$2,FALSE)</f>
        <v>404 – Formation et éducation</v>
      </c>
      <c r="D30" s="298" t="str">
        <f>VLOOKUP(1,Textbausteine!$BI$2:$BM$151,Hilfsgrössen!$D$2,FALSE)&amp;", "&amp;VLOOKUP(2,Textbausteine!$BI$2:$BM$151,Hilfsgrössen!$D$2,FALSE)&amp;", "&amp;VLOOKUP(3,Textbausteine!$BI$2:$BM$151,Hilfsgrössen!$D$2,FALSE)</f>
        <v>Apprentis, Relève, Centre de carrière</v>
      </c>
      <c r="E30" s="313" t="s">
        <v>661</v>
      </c>
      <c r="F30" s="307" t="s">
        <v>32</v>
      </c>
    </row>
    <row r="31" spans="3:6" ht="25.5" customHeight="1">
      <c r="C31" s="299" t="str">
        <f>VLOOKUP(21,Textbausteine!$A$2:$E$67,Hilfsgrössen!$D$2,FALSE)</f>
        <v>405 – Diversité et égalité des chances</v>
      </c>
      <c r="D31" s="298" t="str">
        <f>VLOOKUP(1,Textbausteine!$BO$2:$BS$151,Hilfsgrössen!$D$2,FALSE)&amp;", "&amp;VLOOKUP(2,Textbausteine!$BO$2:$BS$151,Hilfsgrössen!$D$2,FALSE)&amp;", "&amp;VLOOKUP(3,Textbausteine!$BO$2:$BS$151,Hilfsgrössen!$D$2,FALSE)&amp;", "&amp;VLOOKUP(4,Textbausteine!$BO$2:$BS$151,Hilfsgrössen!$D$2,FALSE)</f>
        <v>Femmes au sein du management, Diversité linguistique, Nationalité, Démographie (pyramide des âges)</v>
      </c>
      <c r="E31" s="313" t="s">
        <v>661</v>
      </c>
      <c r="F31" s="307" t="s">
        <v>33</v>
      </c>
    </row>
    <row r="32" spans="3:6" ht="12.75" customHeight="1" hidden="1">
      <c r="C32" s="146" t="str">
        <f>VLOOKUP(22,Textbausteine!$A$2:$E$67,Hilfsgrössen!$D$2,FALSE)</f>
        <v>406 – Non-discrimination</v>
      </c>
      <c r="E32" s="313" t="s">
        <v>661</v>
      </c>
      <c r="F32" s="307" t="s">
        <v>34</v>
      </c>
    </row>
    <row r="33" spans="3:6" ht="12.75" customHeight="1" hidden="1">
      <c r="C33" s="146" t="str">
        <f>VLOOKUP(23,Textbausteine!$A$2:$E$67,Hilfsgrössen!$D$2,FALSE)</f>
        <v>407 – Liberté syndicale et droit de négociation collective</v>
      </c>
      <c r="E33" s="313" t="s">
        <v>666</v>
      </c>
      <c r="F33" s="307" t="s">
        <v>23</v>
      </c>
    </row>
    <row r="34" spans="3:6" ht="12.75" customHeight="1" hidden="1">
      <c r="C34" s="146" t="str">
        <f>VLOOKUP(24,Textbausteine!$A$2:$E$67,Hilfsgrössen!$D$2,FALSE)</f>
        <v>408 – Travail des enfants</v>
      </c>
      <c r="E34" s="313" t="s">
        <v>667</v>
      </c>
      <c r="F34" s="307" t="s">
        <v>35</v>
      </c>
    </row>
    <row r="35" spans="3:6" ht="12.75" customHeight="1" hidden="1">
      <c r="C35" s="146" t="str">
        <f>VLOOKUP(25,Textbausteine!$A$2:$E$67,Hilfsgrössen!$D$2,FALSE)</f>
        <v>409 – Travail forcé ou obligatoire</v>
      </c>
      <c r="E35" s="313" t="s">
        <v>668</v>
      </c>
      <c r="F35" s="307" t="s">
        <v>23</v>
      </c>
    </row>
    <row r="36" spans="3:5" ht="12.75" customHeight="1" hidden="1">
      <c r="C36" s="146" t="str">
        <f>VLOOKUP(26,Textbausteine!$A$2:$E$67,Hilfsgrössen!$D$2,FALSE)</f>
        <v>412 – Evaluation des droits de l'homme</v>
      </c>
      <c r="E36" s="313" t="s">
        <v>669</v>
      </c>
    </row>
    <row r="37" spans="3:6" ht="12.75" customHeight="1" hidden="1">
      <c r="C37" s="146" t="str">
        <f>VLOOKUP(27,Textbausteine!$A$2:$E$67,Hilfsgrössen!$D$2,FALSE)</f>
        <v>413 – Communautés locales</v>
      </c>
      <c r="E37" s="313" t="s">
        <v>669</v>
      </c>
      <c r="F37" s="307" t="s">
        <v>36</v>
      </c>
    </row>
    <row r="38" spans="3:6" ht="12.75" customHeight="1" hidden="1">
      <c r="C38" s="146" t="str">
        <f>VLOOKUP(28,Textbausteine!$A$2:$E$67,Hilfsgrössen!$D$2,FALSE)</f>
        <v>414 – Evaluation sociale des fournisseurs</v>
      </c>
      <c r="E38" s="313" t="s">
        <v>670</v>
      </c>
      <c r="F38" s="307" t="s">
        <v>34</v>
      </c>
    </row>
    <row r="39" spans="3:6" ht="12.75" customHeight="1" hidden="1">
      <c r="C39" s="146" t="str">
        <f>VLOOKUP(29,Textbausteine!$A$2:$E$67,Hilfsgrössen!$D$2,FALSE)</f>
        <v>418 – Vie privée des clients</v>
      </c>
      <c r="F39" s="307" t="s">
        <v>28</v>
      </c>
    </row>
    <row r="40" spans="3:6" ht="12.75" customHeight="1" hidden="1">
      <c r="C40" s="146" t="str">
        <f>VLOOKUP(30,Textbausteine!$A$2:$E$67,Hilfsgrössen!$D$2,FALSE)</f>
        <v>419 – Conformité socioéconomique</v>
      </c>
      <c r="F40" s="307" t="s">
        <v>28</v>
      </c>
    </row>
  </sheetData>
  <sheetProtection sheet="1" objects="1" scenarios="1"/>
  <mergeCells count="6">
    <mergeCell ref="B2:D2"/>
    <mergeCell ref="B26:C26"/>
    <mergeCell ref="B3:C3"/>
    <mergeCell ref="B6:C6"/>
    <mergeCell ref="B11:C11"/>
    <mergeCell ref="B19:C19"/>
  </mergeCells>
  <dataValidations count="1">
    <dataValidation allowBlank="1" showInputMessage="1" showErrorMessage="1" sqref="F2"/>
  </dataValidations>
  <hyperlinks>
    <hyperlink ref="F6" r:id="rId1" display="SDG"/>
    <hyperlink ref="E6" r:id="rId2" display="UNGC"/>
    <hyperlink ref="F11" r:id="rId3" display="SDG"/>
    <hyperlink ref="E11" r:id="rId4" display="UNGC"/>
    <hyperlink ref="F19" r:id="rId5" display="SDG"/>
    <hyperlink ref="E19" r:id="rId6" display="UNGC"/>
    <hyperlink ref="F26" r:id="rId7" display="SDG"/>
    <hyperlink ref="E26" r:id="rId8" display="UNGC"/>
    <hyperlink ref="C7" location="GRI_102" display="GRI_102"/>
    <hyperlink ref="C12" location="GRI_201" display="GRI_201"/>
    <hyperlink ref="C13" location="GRI_202" display="GRI_202"/>
    <hyperlink ref="C14" location="GRI_203" display="GRI_203"/>
    <hyperlink ref="C21" location="GRI_302" display="GRI_302"/>
    <hyperlink ref="C22" location="GRI_305" display="GRI_305"/>
    <hyperlink ref="C27" location="GRI_401" display="GRI_401"/>
    <hyperlink ref="C29" location="GRI_403" display="GRI_403"/>
    <hyperlink ref="C31" location="GRI_405" display="GRI_405"/>
    <hyperlink ref="C30" location="GRI_404" display="GRI_404"/>
  </hyperlinks>
  <printOptions/>
  <pageMargins left="0.7" right="0.7" top="0.787401575" bottom="0.7874015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rgb="FF9E2A2F"/>
  </sheetPr>
  <dimension ref="A2:CD142"/>
  <sheetViews>
    <sheetView showGridLines="0" showRowColHeaders="0" zoomScale="90" zoomScaleNormal="90" zoomScalePageLayoutView="0" workbookViewId="0" topLeftCell="A1">
      <pane xSplit="7" topLeftCell="H1" activePane="topRight" state="frozen"/>
      <selection pane="topLeft" activeCell="B73" sqref="B73"/>
      <selection pane="topRight" activeCell="B3" sqref="B3:C3"/>
    </sheetView>
  </sheetViews>
  <sheetFormatPr defaultColWidth="10.75390625" defaultRowHeight="12.75" customHeight="1"/>
  <cols>
    <col min="1" max="1" width="2.50390625" style="91" customWidth="1"/>
    <col min="2" max="2" width="2.50390625" style="1" customWidth="1"/>
    <col min="3" max="3" width="73.375" style="9" customWidth="1"/>
    <col min="4" max="4" width="23.50390625" style="1" customWidth="1"/>
    <col min="5" max="5" width="10.00390625" style="37" customWidth="1"/>
    <col min="6" max="6" width="14.125" style="37" customWidth="1"/>
    <col min="7" max="7" width="2.50390625" style="47" customWidth="1"/>
    <col min="8" max="13" width="11.625" style="107" customWidth="1"/>
    <col min="14" max="14" width="11.625" style="20" customWidth="1"/>
    <col min="15" max="15" width="11.625" style="107" customWidth="1"/>
    <col min="16" max="81" width="11.625" style="11" customWidth="1"/>
    <col min="82" max="16384" width="10.75390625" style="1" customWidth="1"/>
  </cols>
  <sheetData>
    <row r="2" spans="1:81" s="153" customFormat="1" ht="25.5" customHeight="1">
      <c r="A2" s="88"/>
      <c r="B2" s="491" t="str">
        <f>UPPER(RIGHT(Inhaltsverzeichnis!$C$30,LEN(Inhaltsverzeichnis!$C$30)-FIND(" – ",Inhaltsverzeichnis!$C$30,1)-2))</f>
        <v>FORMATION ET ÉDUCATION</v>
      </c>
      <c r="C2" s="491"/>
      <c r="D2" s="481" t="str">
        <f>VLOOKUP(35,Textbausteine!$A$2:$E$67,Hilfsgrössen!$D$2,FALSE)</f>
        <v>retour à la table des matières</v>
      </c>
      <c r="E2" s="482"/>
      <c r="F2" s="145" t="s">
        <v>86</v>
      </c>
      <c r="G2" s="171"/>
      <c r="H2" s="136"/>
      <c r="I2" s="136"/>
      <c r="J2" s="136"/>
      <c r="K2" s="136"/>
      <c r="L2" s="136"/>
      <c r="M2" s="136"/>
      <c r="N2" s="116"/>
      <c r="O2" s="136"/>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row>
    <row r="3" spans="1:81" s="154" customFormat="1" ht="25.5" customHeight="1">
      <c r="A3" s="89"/>
      <c r="B3" s="486" t="str">
        <f>UPPER("GRI "&amp;LEFT(Inhaltsverzeichnis!$C$30,3))</f>
        <v>GRI 404</v>
      </c>
      <c r="C3" s="486"/>
      <c r="E3" s="38"/>
      <c r="F3" s="38"/>
      <c r="G3" s="45"/>
      <c r="H3" s="136"/>
      <c r="I3" s="136"/>
      <c r="J3" s="136"/>
      <c r="K3" s="136"/>
      <c r="L3" s="136"/>
      <c r="M3" s="136"/>
      <c r="N3" s="116"/>
      <c r="O3" s="136"/>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row>
    <row r="6" spans="1:81" s="31" customFormat="1" ht="12.75" customHeight="1">
      <c r="A6" s="90"/>
      <c r="B6" s="31" t="str">
        <f>VLOOKUP(31,Textbausteine!$A$2:$E$67,Hilfsgrössen!$D$2,FALSE)</f>
        <v>Divulgations</v>
      </c>
      <c r="C6" s="6"/>
      <c r="E6" s="39"/>
      <c r="F6" s="39"/>
      <c r="G6" s="46"/>
      <c r="H6" s="107"/>
      <c r="I6" s="107"/>
      <c r="J6" s="107"/>
      <c r="K6" s="107"/>
      <c r="L6" s="107"/>
      <c r="M6" s="107"/>
      <c r="N6" s="20"/>
      <c r="O6" s="107"/>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row>
    <row r="7" spans="2:4" ht="12.75" customHeight="1">
      <c r="B7" s="2"/>
      <c r="C7" s="148" t="str">
        <f>VLOOKUP(1,Textbausteine!$BI$2:$BM$151,Hilfsgrössen!$D$2,FALSE)</f>
        <v>Apprentis</v>
      </c>
      <c r="D7" s="4"/>
    </row>
    <row r="8" spans="2:4" ht="12.75" customHeight="1">
      <c r="B8" s="2"/>
      <c r="C8" s="148" t="str">
        <f>VLOOKUP(2,Textbausteine!$BI$2:$BM$151,Hilfsgrössen!$D$2,FALSE)</f>
        <v>Relève</v>
      </c>
      <c r="D8" s="4"/>
    </row>
    <row r="9" spans="2:3" ht="12.75" customHeight="1">
      <c r="B9" s="2"/>
      <c r="C9" s="148" t="str">
        <f>VLOOKUP(3,Textbausteine!$BI$2:$BM$151,Hilfsgrössen!$D$2,FALSE)</f>
        <v>Centre de carrière</v>
      </c>
    </row>
    <row r="10" ht="12.75" customHeight="1">
      <c r="B10" s="2"/>
    </row>
    <row r="11" ht="12.75" customHeight="1">
      <c r="B11" s="2"/>
    </row>
    <row r="12" spans="1:82" s="31" customFormat="1" ht="12.75" customHeight="1">
      <c r="A12" s="56" t="s">
        <v>807</v>
      </c>
      <c r="B12" s="480" t="str">
        <f>$C$7</f>
        <v>Apprentis</v>
      </c>
      <c r="C12" s="480"/>
      <c r="D12" s="6" t="str">
        <f>VLOOKUP(32,Textbausteine!$A$2:$E$67,Hilfsgrössen!$D$2,FALSE)</f>
        <v>Unité</v>
      </c>
      <c r="E12" s="39" t="str">
        <f>VLOOKUP(33,Textbausteine!$A$2:$E$67,Hilfsgrössen!$D$2,FALSE)</f>
        <v>Notes</v>
      </c>
      <c r="F12" s="39" t="str">
        <f>VLOOKUP(34,Textbausteine!$A$2:$E$67,Hilfsgrössen!$D$2,FALSE)</f>
        <v>GRI</v>
      </c>
      <c r="G12" s="47"/>
      <c r="H12" s="31">
        <v>2004</v>
      </c>
      <c r="I12" s="117">
        <v>2005</v>
      </c>
      <c r="J12" s="117">
        <v>2006</v>
      </c>
      <c r="K12" s="117">
        <v>2007</v>
      </c>
      <c r="L12" s="117">
        <v>2008</v>
      </c>
      <c r="M12" s="117">
        <v>2009</v>
      </c>
      <c r="N12" s="117">
        <v>2010</v>
      </c>
      <c r="O12" s="117">
        <v>2011</v>
      </c>
      <c r="P12" s="117">
        <v>2012</v>
      </c>
      <c r="Q12" s="117">
        <v>2013</v>
      </c>
      <c r="R12" s="117">
        <v>2014</v>
      </c>
      <c r="S12" s="117">
        <v>2015</v>
      </c>
      <c r="T12" s="117">
        <v>2016</v>
      </c>
      <c r="U12" s="117">
        <v>2017</v>
      </c>
      <c r="V12" s="117">
        <v>2018</v>
      </c>
      <c r="W12" s="245">
        <v>2019</v>
      </c>
      <c r="X12" s="7"/>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row>
    <row r="13" spans="1:82" s="31" customFormat="1" ht="12.75" customHeight="1">
      <c r="A13" s="90"/>
      <c r="B13" s="480"/>
      <c r="C13" s="480"/>
      <c r="D13" s="6"/>
      <c r="E13" s="40"/>
      <c r="F13" s="40"/>
      <c r="G13" s="47"/>
      <c r="I13" s="143"/>
      <c r="J13" s="143"/>
      <c r="K13" s="143"/>
      <c r="L13" s="143"/>
      <c r="M13" s="143"/>
      <c r="N13" s="143"/>
      <c r="O13" s="143"/>
      <c r="P13" s="143"/>
      <c r="Q13" s="143"/>
      <c r="R13" s="143"/>
      <c r="S13" s="143"/>
      <c r="T13" s="119"/>
      <c r="U13" s="119"/>
      <c r="V13" s="119"/>
      <c r="W13" s="246"/>
      <c r="X13" s="122"/>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row>
    <row r="14" spans="2:82" ht="12.75" customHeight="1">
      <c r="B14" s="8"/>
      <c r="D14" s="9"/>
      <c r="E14" s="40"/>
      <c r="F14" s="40"/>
      <c r="G14" s="48"/>
      <c r="H14" s="1"/>
      <c r="N14" s="107"/>
      <c r="P14" s="107"/>
      <c r="Q14" s="107"/>
      <c r="R14" s="107"/>
      <c r="S14" s="107"/>
      <c r="T14" s="20"/>
      <c r="U14" s="20"/>
      <c r="V14" s="20"/>
      <c r="W14" s="247"/>
      <c r="X14" s="13"/>
      <c r="CD14" s="11"/>
    </row>
    <row r="15" spans="2:82" ht="12.75" customHeight="1">
      <c r="B15" s="8" t="str">
        <f>VLOOKUP(37,Textbausteine!$A$2:$E$67,Hilfsgrössen!$D$2,FALSE)</f>
        <v>Groupe Suisse</v>
      </c>
      <c r="C15" s="8"/>
      <c r="D15" s="67"/>
      <c r="E15" s="12"/>
      <c r="F15" s="11"/>
      <c r="G15" s="48"/>
      <c r="H15" s="1"/>
      <c r="N15" s="107"/>
      <c r="P15" s="107"/>
      <c r="Q15" s="107"/>
      <c r="R15" s="107"/>
      <c r="S15" s="107"/>
      <c r="T15" s="20"/>
      <c r="U15" s="20"/>
      <c r="V15" s="20"/>
      <c r="W15" s="247"/>
      <c r="CD15" s="11"/>
    </row>
    <row r="16" spans="3:23" ht="12.75" customHeight="1">
      <c r="C16" s="9" t="str">
        <f>VLOOKUP(31,Textbausteine!$BI$2:$BM$151,Hilfsgrössen!$D$2,FALSE)</f>
        <v>Apprentis</v>
      </c>
      <c r="D16" s="265" t="str">
        <f>VLOOKUP(11,Textbausteine!$BI$2:$BM$151,Hilfsgrössen!$D$2,FALSE)</f>
        <v>Personnes</v>
      </c>
      <c r="E16" s="72" t="s">
        <v>77</v>
      </c>
      <c r="F16" s="11" t="s">
        <v>1309</v>
      </c>
      <c r="G16" s="49"/>
      <c r="H16" s="14">
        <v>1556</v>
      </c>
      <c r="I16" s="14">
        <v>1465</v>
      </c>
      <c r="J16" s="17">
        <v>1429</v>
      </c>
      <c r="K16" s="17">
        <v>1473</v>
      </c>
      <c r="L16" s="359">
        <v>1571</v>
      </c>
      <c r="M16" s="359">
        <v>1690</v>
      </c>
      <c r="N16" s="14">
        <v>1824</v>
      </c>
      <c r="O16" s="14">
        <v>1942</v>
      </c>
      <c r="P16" s="14">
        <v>2015</v>
      </c>
      <c r="Q16" s="17">
        <v>2024</v>
      </c>
      <c r="R16" s="17">
        <v>2035</v>
      </c>
      <c r="S16" s="17">
        <v>2077.1603333333333</v>
      </c>
      <c r="T16" s="14">
        <v>2118</v>
      </c>
      <c r="U16" s="14">
        <v>2115</v>
      </c>
      <c r="V16" s="14">
        <v>2001</v>
      </c>
      <c r="W16" s="360">
        <v>1894</v>
      </c>
    </row>
    <row r="17" spans="3:23" ht="12.75" customHeight="1">
      <c r="C17" s="19" t="str">
        <f>VLOOKUP(32,Textbausteine!$BI$2:$BM$151,Hilfsgrössen!$D$2,FALSE)</f>
        <v>Gestionnaire de commerce de détail</v>
      </c>
      <c r="D17" s="265" t="str">
        <f>VLOOKUP(11,Textbausteine!$BI$2:$BM$151,Hilfsgrössen!$D$2,FALSE)</f>
        <v>Personnes</v>
      </c>
      <c r="E17" s="72" t="s">
        <v>77</v>
      </c>
      <c r="F17" s="11" t="s">
        <v>1309</v>
      </c>
      <c r="G17" s="49"/>
      <c r="H17" s="14">
        <v>236</v>
      </c>
      <c r="I17" s="14">
        <v>377</v>
      </c>
      <c r="J17" s="17">
        <v>469</v>
      </c>
      <c r="K17" s="17">
        <v>514</v>
      </c>
      <c r="L17" s="359">
        <v>572</v>
      </c>
      <c r="M17" s="359">
        <v>645</v>
      </c>
      <c r="N17" s="14">
        <v>734</v>
      </c>
      <c r="O17" s="14">
        <v>814</v>
      </c>
      <c r="P17" s="14">
        <v>858</v>
      </c>
      <c r="Q17" s="17">
        <v>854</v>
      </c>
      <c r="R17" s="17">
        <v>827</v>
      </c>
      <c r="S17" s="17">
        <v>792.56275</v>
      </c>
      <c r="T17" s="14">
        <v>730</v>
      </c>
      <c r="U17" s="14">
        <v>651</v>
      </c>
      <c r="V17" s="14">
        <v>554</v>
      </c>
      <c r="W17" s="360">
        <v>459</v>
      </c>
    </row>
    <row r="18" spans="3:23" ht="12.75" customHeight="1">
      <c r="C18" s="266" t="str">
        <f>VLOOKUP(33,Textbausteine!$BI$2:$BM$151,Hilfsgrössen!$D$2,FALSE)</f>
        <v>Agent(e) relation client</v>
      </c>
      <c r="D18" s="265" t="str">
        <f>VLOOKUP(11,Textbausteine!$BI$2:$BM$151,Hilfsgrössen!$D$2,FALSE)</f>
        <v>Personnes</v>
      </c>
      <c r="E18" s="72" t="s">
        <v>77</v>
      </c>
      <c r="F18" s="11" t="s">
        <v>1309</v>
      </c>
      <c r="G18" s="49"/>
      <c r="H18" s="14" t="s">
        <v>1470</v>
      </c>
      <c r="I18" s="14" t="s">
        <v>1470</v>
      </c>
      <c r="J18" s="17" t="s">
        <v>1470</v>
      </c>
      <c r="K18" s="17" t="s">
        <v>1470</v>
      </c>
      <c r="L18" s="359" t="s">
        <v>1470</v>
      </c>
      <c r="M18" s="359" t="s">
        <v>1470</v>
      </c>
      <c r="N18" s="14" t="s">
        <v>1470</v>
      </c>
      <c r="O18" s="14" t="s">
        <v>1470</v>
      </c>
      <c r="P18" s="14" t="s">
        <v>1470</v>
      </c>
      <c r="Q18" s="14">
        <v>4</v>
      </c>
      <c r="R18" s="14">
        <v>9</v>
      </c>
      <c r="S18" s="14">
        <v>20</v>
      </c>
      <c r="T18" s="361">
        <v>33</v>
      </c>
      <c r="U18" s="361">
        <v>44</v>
      </c>
      <c r="V18" s="361">
        <v>53</v>
      </c>
      <c r="W18" s="362">
        <v>58</v>
      </c>
    </row>
    <row r="19" spans="1:23" s="11" customFormat="1" ht="12.75" customHeight="1">
      <c r="A19" s="91"/>
      <c r="B19" s="1"/>
      <c r="C19" s="19" t="str">
        <f>VLOOKUP(34,Textbausteine!$BI$2:$BM$151,Hilfsgrössen!$D$2,FALSE)</f>
        <v>Employé(e) de commerce</v>
      </c>
      <c r="D19" s="265" t="str">
        <f>VLOOKUP(11,Textbausteine!$BI$2:$BM$151,Hilfsgrössen!$D$2,FALSE)</f>
        <v>Personnes</v>
      </c>
      <c r="E19" s="72" t="s">
        <v>77</v>
      </c>
      <c r="F19" s="11" t="s">
        <v>1309</v>
      </c>
      <c r="G19" s="49"/>
      <c r="H19" s="14">
        <v>329</v>
      </c>
      <c r="I19" s="14">
        <v>212</v>
      </c>
      <c r="J19" s="17">
        <v>170</v>
      </c>
      <c r="K19" s="17">
        <v>196</v>
      </c>
      <c r="L19" s="359">
        <v>213</v>
      </c>
      <c r="M19" s="359">
        <v>219</v>
      </c>
      <c r="N19" s="14">
        <v>227</v>
      </c>
      <c r="O19" s="14">
        <v>240</v>
      </c>
      <c r="P19" s="14">
        <v>251</v>
      </c>
      <c r="Q19" s="17">
        <v>257</v>
      </c>
      <c r="R19" s="17">
        <v>255</v>
      </c>
      <c r="S19" s="17">
        <v>268.5088333333333</v>
      </c>
      <c r="T19" s="361">
        <v>286</v>
      </c>
      <c r="U19" s="361">
        <v>287</v>
      </c>
      <c r="V19" s="361">
        <v>261</v>
      </c>
      <c r="W19" s="362">
        <v>229</v>
      </c>
    </row>
    <row r="20" spans="1:23" s="11" customFormat="1" ht="12.75" customHeight="1">
      <c r="A20" s="91"/>
      <c r="B20" s="1"/>
      <c r="C20" s="19" t="str">
        <f>VLOOKUP(35,Textbausteine!$BI$2:$BM$151,Hilfsgrössen!$D$2,FALSE)</f>
        <v>Stagiaire commerce</v>
      </c>
      <c r="D20" s="265" t="str">
        <f>VLOOKUP(11,Textbausteine!$BI$2:$BM$151,Hilfsgrössen!$D$2,FALSE)</f>
        <v>Personnes</v>
      </c>
      <c r="E20" s="72" t="s">
        <v>77</v>
      </c>
      <c r="F20" s="11" t="s">
        <v>1309</v>
      </c>
      <c r="G20" s="49"/>
      <c r="H20" s="14">
        <v>50</v>
      </c>
      <c r="I20" s="14">
        <v>42</v>
      </c>
      <c r="J20" s="363">
        <v>34</v>
      </c>
      <c r="K20" s="17">
        <v>34</v>
      </c>
      <c r="L20" s="359">
        <v>35</v>
      </c>
      <c r="M20" s="359">
        <v>35</v>
      </c>
      <c r="N20" s="14">
        <v>36</v>
      </c>
      <c r="O20" s="14">
        <v>37</v>
      </c>
      <c r="P20" s="14">
        <v>43</v>
      </c>
      <c r="Q20" s="17">
        <v>46</v>
      </c>
      <c r="R20" s="17">
        <v>49</v>
      </c>
      <c r="S20" s="17">
        <v>53.67641666666624</v>
      </c>
      <c r="T20" s="14">
        <v>69</v>
      </c>
      <c r="U20" s="14">
        <v>82</v>
      </c>
      <c r="V20" s="14">
        <v>87</v>
      </c>
      <c r="W20" s="360">
        <v>83</v>
      </c>
    </row>
    <row r="21" spans="1:23" s="11" customFormat="1" ht="12.75" customHeight="1">
      <c r="A21" s="91"/>
      <c r="B21" s="1"/>
      <c r="C21" s="19" t="str">
        <f>VLOOKUP(36,Textbausteine!$BI$2:$BM$151,Hilfsgrössen!$D$2,FALSE)</f>
        <v>Logisticien/ne CFC distribution</v>
      </c>
      <c r="D21" s="265" t="str">
        <f>VLOOKUP(11,Textbausteine!$BI$2:$BM$151,Hilfsgrössen!$D$2,FALSE)</f>
        <v>Personnes</v>
      </c>
      <c r="E21" s="72" t="s">
        <v>77</v>
      </c>
      <c r="F21" s="11" t="s">
        <v>1309</v>
      </c>
      <c r="G21" s="49"/>
      <c r="H21" s="14">
        <v>611</v>
      </c>
      <c r="I21" s="14">
        <v>568</v>
      </c>
      <c r="J21" s="17">
        <v>541</v>
      </c>
      <c r="K21" s="17">
        <v>506</v>
      </c>
      <c r="L21" s="359">
        <v>514</v>
      </c>
      <c r="M21" s="359">
        <v>539</v>
      </c>
      <c r="N21" s="14">
        <v>564</v>
      </c>
      <c r="O21" s="14">
        <v>580</v>
      </c>
      <c r="P21" s="14">
        <v>578</v>
      </c>
      <c r="Q21" s="17">
        <v>574</v>
      </c>
      <c r="R21" s="17">
        <v>608</v>
      </c>
      <c r="S21" s="17">
        <v>657.5505833333333</v>
      </c>
      <c r="T21" s="17">
        <v>705</v>
      </c>
      <c r="U21" s="17">
        <v>741</v>
      </c>
      <c r="V21" s="17">
        <v>751</v>
      </c>
      <c r="W21" s="364">
        <v>773</v>
      </c>
    </row>
    <row r="22" spans="1:23" s="11" customFormat="1" ht="12.75" customHeight="1">
      <c r="A22" s="91"/>
      <c r="B22" s="1"/>
      <c r="C22" s="19" t="str">
        <f>VLOOKUP(37,Textbausteine!$BI$2:$BM$151,Hilfsgrössen!$D$2,FALSE)</f>
        <v>Logisticien/ne AFP distribution</v>
      </c>
      <c r="D22" s="265" t="str">
        <f>VLOOKUP(11,Textbausteine!$BI$2:$BM$151,Hilfsgrössen!$D$2,FALSE)</f>
        <v>Personnes</v>
      </c>
      <c r="E22" s="72" t="s">
        <v>77</v>
      </c>
      <c r="F22" s="11" t="s">
        <v>1309</v>
      </c>
      <c r="G22" s="49"/>
      <c r="H22" s="14">
        <v>110</v>
      </c>
      <c r="I22" s="14">
        <v>90</v>
      </c>
      <c r="J22" s="17">
        <v>74</v>
      </c>
      <c r="K22" s="17">
        <v>74</v>
      </c>
      <c r="L22" s="17">
        <v>78</v>
      </c>
      <c r="M22" s="359">
        <v>83</v>
      </c>
      <c r="N22" s="14">
        <v>92</v>
      </c>
      <c r="O22" s="14">
        <v>102</v>
      </c>
      <c r="P22" s="14">
        <v>116</v>
      </c>
      <c r="Q22" s="17">
        <v>122</v>
      </c>
      <c r="R22" s="17">
        <v>119</v>
      </c>
      <c r="S22" s="17">
        <v>112.87958333333333</v>
      </c>
      <c r="T22" s="17">
        <v>119</v>
      </c>
      <c r="U22" s="17">
        <v>119</v>
      </c>
      <c r="V22" s="17">
        <v>103</v>
      </c>
      <c r="W22" s="364">
        <v>100</v>
      </c>
    </row>
    <row r="23" spans="1:23" s="11" customFormat="1" ht="12.75" customHeight="1">
      <c r="A23" s="91"/>
      <c r="B23" s="1"/>
      <c r="C23" s="19" t="str">
        <f>VLOOKUP(38,Textbausteine!$BI$2:$BM$151,Hilfsgrössen!$D$2,FALSE)</f>
        <v>Logisticien/ne CFC stockage</v>
      </c>
      <c r="D23" s="265" t="str">
        <f>VLOOKUP(11,Textbausteine!$BI$2:$BM$151,Hilfsgrössen!$D$2,FALSE)</f>
        <v>Personnes</v>
      </c>
      <c r="E23" s="72" t="s">
        <v>77</v>
      </c>
      <c r="F23" s="11" t="s">
        <v>1309</v>
      </c>
      <c r="G23" s="49"/>
      <c r="H23" s="17">
        <v>6</v>
      </c>
      <c r="I23" s="17">
        <v>8</v>
      </c>
      <c r="J23" s="17">
        <v>11</v>
      </c>
      <c r="K23" s="17">
        <v>12</v>
      </c>
      <c r="L23" s="17">
        <v>14</v>
      </c>
      <c r="M23" s="17">
        <v>17</v>
      </c>
      <c r="N23" s="17">
        <v>15</v>
      </c>
      <c r="O23" s="17">
        <v>16</v>
      </c>
      <c r="P23" s="17">
        <v>17</v>
      </c>
      <c r="Q23" s="17">
        <v>11</v>
      </c>
      <c r="R23" s="17">
        <v>7</v>
      </c>
      <c r="S23" s="17">
        <v>4.583333333333333</v>
      </c>
      <c r="T23" s="17">
        <v>5</v>
      </c>
      <c r="U23" s="17">
        <v>8</v>
      </c>
      <c r="V23" s="17">
        <v>10</v>
      </c>
      <c r="W23" s="364">
        <v>13</v>
      </c>
    </row>
    <row r="24" spans="1:23" s="11" customFormat="1" ht="12.75" customHeight="1">
      <c r="A24" s="91"/>
      <c r="B24" s="1"/>
      <c r="C24" s="19" t="str">
        <f>VLOOKUP(39,Textbausteine!$BI$2:$BM$151,Hilfsgrössen!$D$2,FALSE)</f>
        <v>Conducteur/trice de véhicules lourds</v>
      </c>
      <c r="D24" s="265" t="str">
        <f>VLOOKUP(11,Textbausteine!$BI$2:$BM$151,Hilfsgrössen!$D$2,FALSE)</f>
        <v>Personnes</v>
      </c>
      <c r="E24" s="72" t="s">
        <v>77</v>
      </c>
      <c r="F24" s="11" t="s">
        <v>1309</v>
      </c>
      <c r="G24" s="49"/>
      <c r="H24" s="17">
        <v>33</v>
      </c>
      <c r="I24" s="17">
        <v>32</v>
      </c>
      <c r="J24" s="17">
        <v>32</v>
      </c>
      <c r="K24" s="17">
        <v>30</v>
      </c>
      <c r="L24" s="17">
        <v>33</v>
      </c>
      <c r="M24" s="17">
        <v>37</v>
      </c>
      <c r="N24" s="17">
        <v>36</v>
      </c>
      <c r="O24" s="17">
        <v>32</v>
      </c>
      <c r="P24" s="17">
        <v>28</v>
      </c>
      <c r="Q24" s="17">
        <v>28</v>
      </c>
      <c r="R24" s="17">
        <v>24</v>
      </c>
      <c r="S24" s="17">
        <v>18.002666666666666</v>
      </c>
      <c r="T24" s="17">
        <v>8</v>
      </c>
      <c r="U24" s="17">
        <v>3</v>
      </c>
      <c r="V24" s="17" t="s">
        <v>1470</v>
      </c>
      <c r="W24" s="364" t="s">
        <v>1470</v>
      </c>
    </row>
    <row r="25" spans="1:23" s="11" customFormat="1" ht="12.75" customHeight="1">
      <c r="A25" s="91"/>
      <c r="B25" s="1"/>
      <c r="C25" s="19" t="str">
        <f>VLOOKUP(40,Textbausteine!$BI$2:$BM$151,Hilfsgrössen!$D$2,FALSE)</f>
        <v>Informaticien/ne</v>
      </c>
      <c r="D25" s="265" t="str">
        <f>VLOOKUP(11,Textbausteine!$BI$2:$BM$151,Hilfsgrössen!$D$2,FALSE)</f>
        <v>Personnes</v>
      </c>
      <c r="E25" s="72" t="s">
        <v>77</v>
      </c>
      <c r="F25" s="11" t="s">
        <v>1309</v>
      </c>
      <c r="G25" s="49"/>
      <c r="H25" s="17">
        <v>89</v>
      </c>
      <c r="I25" s="17">
        <v>74</v>
      </c>
      <c r="J25" s="17">
        <v>72</v>
      </c>
      <c r="K25" s="17">
        <v>80</v>
      </c>
      <c r="L25" s="17">
        <v>84</v>
      </c>
      <c r="M25" s="17">
        <v>80</v>
      </c>
      <c r="N25" s="17">
        <v>80</v>
      </c>
      <c r="O25" s="17">
        <v>79</v>
      </c>
      <c r="P25" s="17">
        <v>82</v>
      </c>
      <c r="Q25" s="17">
        <v>85</v>
      </c>
      <c r="R25" s="17">
        <v>89</v>
      </c>
      <c r="S25" s="17">
        <v>98.01475</v>
      </c>
      <c r="T25" s="17">
        <v>105</v>
      </c>
      <c r="U25" s="17">
        <v>116</v>
      </c>
      <c r="V25" s="17">
        <v>119</v>
      </c>
      <c r="W25" s="364">
        <v>117</v>
      </c>
    </row>
    <row r="26" spans="1:23" s="11" customFormat="1" ht="12.75" customHeight="1">
      <c r="A26" s="91"/>
      <c r="B26" s="1"/>
      <c r="C26" s="19" t="str">
        <f>VLOOKUP(41,Textbausteine!$BI$2:$BM$151,Hilfsgrössen!$D$2,FALSE)</f>
        <v>Médiamaticien/ne</v>
      </c>
      <c r="D26" s="265" t="str">
        <f>VLOOKUP(11,Textbausteine!$BI$2:$BM$151,Hilfsgrössen!$D$2,FALSE)</f>
        <v>Personnes</v>
      </c>
      <c r="E26" s="72" t="s">
        <v>77</v>
      </c>
      <c r="F26" s="11" t="s">
        <v>1309</v>
      </c>
      <c r="G26" s="49"/>
      <c r="H26" s="17" t="s">
        <v>1470</v>
      </c>
      <c r="I26" s="17" t="s">
        <v>1470</v>
      </c>
      <c r="J26" s="17" t="s">
        <v>1470</v>
      </c>
      <c r="K26" s="17" t="s">
        <v>1470</v>
      </c>
      <c r="L26" s="17" t="s">
        <v>1470</v>
      </c>
      <c r="M26" s="17">
        <v>8</v>
      </c>
      <c r="N26" s="17">
        <v>14</v>
      </c>
      <c r="O26" s="17">
        <v>16</v>
      </c>
      <c r="P26" s="17">
        <v>16</v>
      </c>
      <c r="Q26" s="17">
        <v>17</v>
      </c>
      <c r="R26" s="17">
        <v>19</v>
      </c>
      <c r="S26" s="17">
        <v>22.75</v>
      </c>
      <c r="T26" s="17">
        <v>26</v>
      </c>
      <c r="U26" s="17">
        <v>32</v>
      </c>
      <c r="V26" s="17">
        <v>33</v>
      </c>
      <c r="W26" s="364">
        <v>31</v>
      </c>
    </row>
    <row r="27" spans="1:23" s="11" customFormat="1" ht="12.75" customHeight="1">
      <c r="A27" s="91"/>
      <c r="B27" s="1"/>
      <c r="C27" s="19" t="str">
        <f>VLOOKUP(42,Textbausteine!$BI$2:$BM$151,Hilfsgrössen!$D$2,FALSE)</f>
        <v>Automaticien/ne</v>
      </c>
      <c r="D27" s="265" t="str">
        <f>VLOOKUP(11,Textbausteine!$BI$2:$BM$151,Hilfsgrössen!$D$2,FALSE)</f>
        <v>Personnes</v>
      </c>
      <c r="E27" s="72" t="s">
        <v>77</v>
      </c>
      <c r="F27" s="11" t="s">
        <v>1309</v>
      </c>
      <c r="G27" s="49"/>
      <c r="H27" s="17">
        <v>20</v>
      </c>
      <c r="I27" s="17">
        <v>20</v>
      </c>
      <c r="J27" s="17">
        <v>18</v>
      </c>
      <c r="K27" s="17">
        <v>17</v>
      </c>
      <c r="L27" s="17">
        <v>17</v>
      </c>
      <c r="M27" s="17">
        <v>15</v>
      </c>
      <c r="N27" s="17">
        <v>13</v>
      </c>
      <c r="O27" s="17">
        <v>13</v>
      </c>
      <c r="P27" s="17">
        <v>14</v>
      </c>
      <c r="Q27" s="17">
        <v>16</v>
      </c>
      <c r="R27" s="17">
        <v>18</v>
      </c>
      <c r="S27" s="17">
        <v>17.569916666666668</v>
      </c>
      <c r="T27" s="17">
        <v>19</v>
      </c>
      <c r="U27" s="17">
        <v>21</v>
      </c>
      <c r="V27" s="17">
        <v>21</v>
      </c>
      <c r="W27" s="364">
        <v>22</v>
      </c>
    </row>
    <row r="28" spans="1:23" s="11" customFormat="1" ht="12.75" customHeight="1">
      <c r="A28" s="91"/>
      <c r="B28" s="1"/>
      <c r="C28" s="19" t="str">
        <f>VLOOKUP(43,Textbausteine!$BI$2:$BM$151,Hilfsgrössen!$D$2,FALSE)</f>
        <v>Spécialiste de l'entretien CFC</v>
      </c>
      <c r="D28" s="265" t="str">
        <f>VLOOKUP(11,Textbausteine!$BI$2:$BM$151,Hilfsgrössen!$D$2,FALSE)</f>
        <v>Personnes</v>
      </c>
      <c r="E28" s="72" t="s">
        <v>77</v>
      </c>
      <c r="F28" s="11" t="s">
        <v>1309</v>
      </c>
      <c r="G28" s="49"/>
      <c r="H28" s="17">
        <v>1</v>
      </c>
      <c r="I28" s="17">
        <v>4</v>
      </c>
      <c r="J28" s="17">
        <v>8</v>
      </c>
      <c r="K28" s="17">
        <v>10</v>
      </c>
      <c r="L28" s="17">
        <v>9</v>
      </c>
      <c r="M28" s="17">
        <v>9</v>
      </c>
      <c r="N28" s="17">
        <v>10</v>
      </c>
      <c r="O28" s="17">
        <v>10</v>
      </c>
      <c r="P28" s="17">
        <v>10</v>
      </c>
      <c r="Q28" s="17">
        <v>10</v>
      </c>
      <c r="R28" s="17">
        <v>11</v>
      </c>
      <c r="S28" s="17">
        <v>11.0615</v>
      </c>
      <c r="T28" s="17">
        <v>12</v>
      </c>
      <c r="U28" s="17">
        <v>11</v>
      </c>
      <c r="V28" s="17">
        <v>9</v>
      </c>
      <c r="W28" s="364">
        <v>9</v>
      </c>
    </row>
    <row r="29" spans="1:23" s="11" customFormat="1" ht="12.75" customHeight="1">
      <c r="A29" s="91"/>
      <c r="B29" s="1"/>
      <c r="C29" s="19" t="str">
        <f>VLOOKUP(44,Textbausteine!$BI$2:$BM$151,Hilfsgrössen!$D$2,FALSE)</f>
        <v>Spécialiste petite enfance</v>
      </c>
      <c r="D29" s="265" t="str">
        <f>VLOOKUP(11,Textbausteine!$BI$2:$BM$151,Hilfsgrössen!$D$2,FALSE)</f>
        <v>Personnes</v>
      </c>
      <c r="E29" s="72" t="s">
        <v>77</v>
      </c>
      <c r="F29" s="11" t="s">
        <v>1309</v>
      </c>
      <c r="G29" s="49"/>
      <c r="H29" s="17" t="s">
        <v>1470</v>
      </c>
      <c r="I29" s="17" t="s">
        <v>1470</v>
      </c>
      <c r="J29" s="17" t="s">
        <v>1470</v>
      </c>
      <c r="K29" s="17" t="s">
        <v>1470</v>
      </c>
      <c r="L29" s="17">
        <v>2</v>
      </c>
      <c r="M29" s="17">
        <v>3</v>
      </c>
      <c r="N29" s="17">
        <v>3</v>
      </c>
      <c r="O29" s="17">
        <v>3</v>
      </c>
      <c r="P29" s="17">
        <v>2</v>
      </c>
      <c r="Q29" s="17" t="s">
        <v>1470</v>
      </c>
      <c r="R29" s="17" t="s">
        <v>1470</v>
      </c>
      <c r="S29" s="17" t="s">
        <v>1470</v>
      </c>
      <c r="T29" s="17" t="s">
        <v>1470</v>
      </c>
      <c r="U29" s="17" t="s">
        <v>1470</v>
      </c>
      <c r="V29" s="17" t="s">
        <v>1470</v>
      </c>
      <c r="W29" s="364" t="s">
        <v>1470</v>
      </c>
    </row>
    <row r="30" spans="1:23" s="11" customFormat="1" ht="12.75" customHeight="1">
      <c r="A30" s="91"/>
      <c r="B30" s="1"/>
      <c r="C30" s="194"/>
      <c r="D30" s="194"/>
      <c r="E30" s="267"/>
      <c r="G30" s="49"/>
      <c r="H30" s="107"/>
      <c r="I30" s="107"/>
      <c r="J30" s="107"/>
      <c r="K30" s="107"/>
      <c r="L30" s="107"/>
      <c r="M30" s="107"/>
      <c r="N30" s="107"/>
      <c r="O30" s="107"/>
      <c r="T30" s="107"/>
      <c r="U30" s="107"/>
      <c r="V30" s="107"/>
      <c r="W30" s="248"/>
    </row>
    <row r="31" spans="1:23" s="11" customFormat="1" ht="12.75" customHeight="1">
      <c r="A31" s="91"/>
      <c r="B31" s="1"/>
      <c r="C31" s="67" t="str">
        <f>VLOOKUP(45,Textbausteine!$BI$2:$BM$151,Hilfsgrössen!$D$2,FALSE)</f>
        <v>Taux de formation</v>
      </c>
      <c r="D31" s="67" t="str">
        <f>VLOOKUP(12,Textbausteine!$BI$2:$BM$151,Hilfsgrössen!$D$2,FALSE)</f>
        <v>% des unités de personnel</v>
      </c>
      <c r="E31" s="72" t="s">
        <v>2658</v>
      </c>
      <c r="F31" s="11" t="s">
        <v>1309</v>
      </c>
      <c r="G31" s="49"/>
      <c r="H31" s="107">
        <v>3.8</v>
      </c>
      <c r="I31" s="107">
        <v>3.7</v>
      </c>
      <c r="J31" s="107">
        <v>3.7</v>
      </c>
      <c r="K31" s="107">
        <v>3.9</v>
      </c>
      <c r="L31" s="107">
        <v>4.1</v>
      </c>
      <c r="M31" s="107">
        <v>4.5</v>
      </c>
      <c r="N31" s="107">
        <v>4.8</v>
      </c>
      <c r="O31" s="107">
        <v>5.15150883079314</v>
      </c>
      <c r="P31" s="11">
        <v>5.3</v>
      </c>
      <c r="Q31" s="11">
        <v>5.4</v>
      </c>
      <c r="R31" s="11">
        <v>5.5</v>
      </c>
      <c r="S31" s="11">
        <v>5.7</v>
      </c>
      <c r="T31" s="107">
        <v>5.8</v>
      </c>
      <c r="U31" s="107">
        <v>6</v>
      </c>
      <c r="V31" s="107">
        <v>5.8</v>
      </c>
      <c r="W31" s="248">
        <v>5.7</v>
      </c>
    </row>
    <row r="32" spans="1:23" s="11" customFormat="1" ht="12.75" customHeight="1">
      <c r="A32" s="91"/>
      <c r="B32" s="1"/>
      <c r="C32" s="67" t="str">
        <f>VLOOKUP(46,Textbausteine!$BI$2:$BM$151,Hilfsgrössen!$D$2,FALSE)</f>
        <v>Embauche de personnes en formation</v>
      </c>
      <c r="D32" s="67" t="str">
        <f>VLOOKUP(11,Textbausteine!$BI$2:$BM$151,Hilfsgrössen!$D$2,FALSE)</f>
        <v>Personnes</v>
      </c>
      <c r="E32" s="72" t="s">
        <v>1359</v>
      </c>
      <c r="F32" s="11" t="s">
        <v>1309</v>
      </c>
      <c r="G32" s="49"/>
      <c r="H32" s="17">
        <v>479</v>
      </c>
      <c r="I32" s="17">
        <v>512</v>
      </c>
      <c r="J32" s="17">
        <v>566</v>
      </c>
      <c r="K32" s="17">
        <v>606</v>
      </c>
      <c r="L32" s="17">
        <v>633</v>
      </c>
      <c r="M32" s="17">
        <v>720</v>
      </c>
      <c r="N32" s="17">
        <v>748</v>
      </c>
      <c r="O32" s="17">
        <v>755</v>
      </c>
      <c r="P32" s="17">
        <v>775</v>
      </c>
      <c r="Q32" s="17">
        <v>778</v>
      </c>
      <c r="R32" s="17">
        <v>803</v>
      </c>
      <c r="S32" s="17">
        <v>837</v>
      </c>
      <c r="T32" s="17">
        <v>836</v>
      </c>
      <c r="U32" s="17">
        <v>756</v>
      </c>
      <c r="V32" s="17">
        <v>714</v>
      </c>
      <c r="W32" s="364">
        <v>762</v>
      </c>
    </row>
    <row r="33" spans="1:23" s="11" customFormat="1" ht="12.75" customHeight="1">
      <c r="A33" s="91"/>
      <c r="B33" s="1"/>
      <c r="C33" s="67" t="str">
        <f>VLOOKUP(47,Textbausteine!$BI$2:$BM$151,Hilfsgrössen!$D$2,FALSE)</f>
        <v>Part des personnes en formation embauchées</v>
      </c>
      <c r="D33" s="67" t="str">
        <f>VLOOKUP(13,Textbausteine!$BI$2:$BM$151,Hilfsgrössen!$D$2,FALSE)</f>
        <v>% des personnes</v>
      </c>
      <c r="E33" s="72" t="s">
        <v>1441</v>
      </c>
      <c r="F33" s="11" t="s">
        <v>1309</v>
      </c>
      <c r="G33" s="50"/>
      <c r="H33" s="17">
        <v>83</v>
      </c>
      <c r="I33" s="17">
        <v>81</v>
      </c>
      <c r="J33" s="17">
        <v>92</v>
      </c>
      <c r="K33" s="17">
        <v>91</v>
      </c>
      <c r="L33" s="17">
        <v>91</v>
      </c>
      <c r="M33" s="17">
        <v>82</v>
      </c>
      <c r="N33" s="17">
        <v>90</v>
      </c>
      <c r="O33" s="17">
        <v>90</v>
      </c>
      <c r="P33" s="17">
        <v>83</v>
      </c>
      <c r="Q33" s="17">
        <v>83</v>
      </c>
      <c r="R33" s="17">
        <v>87</v>
      </c>
      <c r="S33" s="17">
        <v>84</v>
      </c>
      <c r="T33" s="17">
        <v>68</v>
      </c>
      <c r="U33" s="17">
        <v>62</v>
      </c>
      <c r="V33" s="17">
        <v>76.9</v>
      </c>
      <c r="W33" s="364">
        <v>81</v>
      </c>
    </row>
    <row r="34" spans="1:23" s="11" customFormat="1" ht="12.75" customHeight="1">
      <c r="A34" s="147"/>
      <c r="B34" s="9"/>
      <c r="C34" s="77"/>
      <c r="D34" s="67"/>
      <c r="G34" s="49"/>
      <c r="H34" s="107"/>
      <c r="I34" s="107"/>
      <c r="J34" s="107"/>
      <c r="K34" s="107"/>
      <c r="L34" s="107"/>
      <c r="M34" s="107"/>
      <c r="N34" s="107"/>
      <c r="O34" s="107"/>
      <c r="T34" s="107"/>
      <c r="U34" s="107"/>
      <c r="V34" s="107"/>
      <c r="W34" s="107"/>
    </row>
    <row r="35" spans="1:81" s="107" customFormat="1" ht="12.75" customHeight="1">
      <c r="A35" s="91"/>
      <c r="B35" s="268" t="str">
        <f>VLOOKUP(131,Textbausteine!$BI$2:$BM$151,Hilfsgrössen!$D$2,FALSE)</f>
        <v>1) Groupe Suisse: données provenant du système du personnel; actuellement sans les données de 1000 unités de personnel ou 6113 personnes des sociétés du groupe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et notime Schweiz AG.</v>
      </c>
      <c r="C35" s="268"/>
      <c r="D35" s="268"/>
      <c r="E35" s="268"/>
      <c r="F35" s="312"/>
      <c r="G35" s="268"/>
      <c r="H35" s="268"/>
      <c r="I35" s="268"/>
      <c r="J35" s="268"/>
      <c r="K35" s="268"/>
      <c r="L35" s="268"/>
      <c r="M35" s="268"/>
      <c r="N35" s="268"/>
      <c r="O35" s="268"/>
      <c r="P35" s="268"/>
      <c r="Q35" s="268"/>
      <c r="R35" s="268"/>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row>
    <row r="36" spans="1:81" s="107" customFormat="1" ht="12.75" customHeight="1">
      <c r="A36" s="91"/>
      <c r="B36" s="268" t="str">
        <f>VLOOKUP(132,Textbausteine!$BI$2:$BM$151,Hilfsgrössen!$D$2,FALSE)</f>
        <v>2) Valeurs annuelles moyennes</v>
      </c>
      <c r="C36" s="268"/>
      <c r="D36" s="268"/>
      <c r="E36" s="268"/>
      <c r="F36" s="312"/>
      <c r="G36" s="268"/>
      <c r="H36" s="268"/>
      <c r="I36" s="268"/>
      <c r="J36" s="268"/>
      <c r="K36" s="268"/>
      <c r="L36" s="268"/>
      <c r="M36" s="268"/>
      <c r="N36" s="268"/>
      <c r="O36" s="268"/>
      <c r="P36" s="268"/>
      <c r="Q36" s="268"/>
      <c r="R36" s="268"/>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row>
    <row r="37" spans="1:81" s="107" customFormat="1" ht="12.75" customHeight="1">
      <c r="A37" s="91"/>
      <c r="B37" s="268" t="str">
        <f>VLOOKUP(133,Textbausteine!$BI$2:$BM$151,Hilfsgrössen!$D$2,FALSE)</f>
        <v>3) Une unité de personnel correspond à un poste à plein temps.</v>
      </c>
      <c r="C37" s="268"/>
      <c r="D37" s="268"/>
      <c r="E37" s="268"/>
      <c r="F37" s="312"/>
      <c r="G37" s="268"/>
      <c r="H37" s="268"/>
      <c r="I37" s="268"/>
      <c r="J37" s="268"/>
      <c r="K37" s="268"/>
      <c r="L37" s="268"/>
      <c r="M37" s="268"/>
      <c r="N37" s="268"/>
      <c r="O37" s="268"/>
      <c r="P37" s="268"/>
      <c r="Q37" s="268"/>
      <c r="R37" s="268"/>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row>
    <row r="38" spans="1:81" s="107" customFormat="1" ht="12.75" customHeight="1">
      <c r="A38" s="91"/>
      <c r="B38" s="268" t="str">
        <f>VLOOKUP(134,Textbausteine!$BI$2:$BM$151,Hilfsgrössen!$D$2,FALSE)</f>
        <v>4) Ajustement de la valeur 2018 en raison de changement de la méthode de calcul</v>
      </c>
      <c r="C38" s="268"/>
      <c r="D38" s="268"/>
      <c r="E38" s="268"/>
      <c r="F38" s="312"/>
      <c r="G38" s="268"/>
      <c r="H38" s="268"/>
      <c r="I38" s="268"/>
      <c r="J38" s="268"/>
      <c r="K38" s="268"/>
      <c r="L38" s="268"/>
      <c r="M38" s="268"/>
      <c r="N38" s="268"/>
      <c r="O38" s="268"/>
      <c r="P38" s="268"/>
      <c r="Q38" s="268"/>
      <c r="R38" s="268"/>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row>
    <row r="39" spans="1:81" s="107" customFormat="1" ht="12.75" customHeight="1">
      <c r="A39" s="91"/>
      <c r="B39" s="268" t="str">
        <f>VLOOKUP(135,Textbausteine!$BI$2:$BM$151,Hilfsgrössen!$D$2,FALSE)</f>
        <v>5) Valeur 2018 ajustée</v>
      </c>
      <c r="C39" s="268"/>
      <c r="D39" s="268"/>
      <c r="E39" s="268"/>
      <c r="F39" s="312"/>
      <c r="G39" s="268"/>
      <c r="H39" s="268"/>
      <c r="I39" s="268"/>
      <c r="J39" s="268"/>
      <c r="K39" s="268"/>
      <c r="L39" s="268"/>
      <c r="M39" s="268"/>
      <c r="N39" s="268"/>
      <c r="O39" s="268"/>
      <c r="P39" s="268"/>
      <c r="Q39" s="268"/>
      <c r="R39" s="268"/>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row>
    <row r="40" spans="1:81" s="107" customFormat="1" ht="12.75" customHeight="1">
      <c r="A40" s="91"/>
      <c r="B40" s="268" t="str">
        <f>VLOOKUP(136,Textbausteine!$BI$2:$BM$151,Hilfsgrössen!$D$2,FALSE)</f>
        <v>6) Groupe Suisse avec contrat d'apprentissage Formation professionnelle Poste</v>
      </c>
      <c r="C40" s="268"/>
      <c r="D40" s="268"/>
      <c r="E40" s="268"/>
      <c r="F40" s="312"/>
      <c r="G40" s="268"/>
      <c r="H40" s="268"/>
      <c r="I40" s="268"/>
      <c r="J40" s="268"/>
      <c r="K40" s="268"/>
      <c r="L40" s="268"/>
      <c r="M40" s="268"/>
      <c r="N40" s="268"/>
      <c r="O40" s="268"/>
      <c r="P40" s="268"/>
      <c r="Q40" s="268"/>
      <c r="R40" s="268"/>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row>
    <row r="41" spans="1:81" s="107" customFormat="1" ht="12.75" customHeight="1">
      <c r="A41" s="91"/>
      <c r="B41" s="268" t="str">
        <f>VLOOKUP(137,Textbausteine!$BI$2:$BM$151,Hilfsgrössen!$D$2,FALSE)</f>
        <v>7) Part des apprentis repris qui souhaitent être embauchés</v>
      </c>
      <c r="C41" s="268"/>
      <c r="D41" s="268"/>
      <c r="E41" s="268"/>
      <c r="F41" s="312"/>
      <c r="G41" s="268"/>
      <c r="H41" s="268"/>
      <c r="I41" s="268"/>
      <c r="J41" s="268"/>
      <c r="K41" s="268"/>
      <c r="L41" s="268"/>
      <c r="M41" s="268"/>
      <c r="N41" s="268"/>
      <c r="O41" s="268"/>
      <c r="P41" s="268"/>
      <c r="Q41" s="268"/>
      <c r="R41" s="268"/>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row>
    <row r="42" spans="1:81" s="107" customFormat="1" ht="12.75" customHeight="1">
      <c r="A42" s="91"/>
      <c r="B42" s="268"/>
      <c r="C42" s="268"/>
      <c r="D42" s="268"/>
      <c r="E42" s="268"/>
      <c r="F42" s="312"/>
      <c r="G42" s="268"/>
      <c r="H42" s="268"/>
      <c r="I42" s="268"/>
      <c r="J42" s="268"/>
      <c r="K42" s="268"/>
      <c r="L42" s="268"/>
      <c r="M42" s="268"/>
      <c r="N42" s="268"/>
      <c r="O42" s="268"/>
      <c r="P42" s="268"/>
      <c r="Q42" s="268"/>
      <c r="R42" s="268"/>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row>
    <row r="43" spans="1:81" s="107" customFormat="1" ht="12.75" customHeight="1">
      <c r="A43" s="91"/>
      <c r="B43" s="268"/>
      <c r="C43" s="268"/>
      <c r="D43" s="268"/>
      <c r="E43" s="268"/>
      <c r="F43" s="312"/>
      <c r="G43" s="268"/>
      <c r="H43" s="268"/>
      <c r="I43" s="268"/>
      <c r="J43" s="268"/>
      <c r="K43" s="268"/>
      <c r="L43" s="268"/>
      <c r="M43" s="268"/>
      <c r="N43" s="268"/>
      <c r="O43" s="268"/>
      <c r="P43" s="268"/>
      <c r="Q43" s="268"/>
      <c r="R43" s="268"/>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row>
    <row r="44" spans="1:81" s="31" customFormat="1" ht="12.75" customHeight="1">
      <c r="A44" s="56" t="s">
        <v>807</v>
      </c>
      <c r="B44" s="480" t="str">
        <f>$C$8</f>
        <v>Relève</v>
      </c>
      <c r="C44" s="480"/>
      <c r="D44" s="6" t="str">
        <f>VLOOKUP(32,Textbausteine!$A$2:$E$67,Hilfsgrössen!$D$2,FALSE)</f>
        <v>Unité</v>
      </c>
      <c r="E44" s="39" t="str">
        <f>VLOOKUP(33,Textbausteine!$A$2:$E$67,Hilfsgrössen!$D$2,FALSE)</f>
        <v>Notes</v>
      </c>
      <c r="F44" s="39" t="str">
        <f>VLOOKUP(34,Textbausteine!$A$2:$E$67,Hilfsgrössen!$D$2,FALSE)</f>
        <v>GRI</v>
      </c>
      <c r="G44" s="47"/>
      <c r="H44" s="31">
        <v>2004</v>
      </c>
      <c r="I44" s="117">
        <v>2005</v>
      </c>
      <c r="J44" s="117">
        <v>2006</v>
      </c>
      <c r="K44" s="117">
        <v>2007</v>
      </c>
      <c r="L44" s="117">
        <v>2008</v>
      </c>
      <c r="M44" s="117">
        <v>2009</v>
      </c>
      <c r="N44" s="117">
        <v>2010</v>
      </c>
      <c r="O44" s="117">
        <v>2011</v>
      </c>
      <c r="P44" s="117">
        <v>2012</v>
      </c>
      <c r="Q44" s="117">
        <v>2013</v>
      </c>
      <c r="R44" s="117">
        <v>2014</v>
      </c>
      <c r="S44" s="117">
        <v>2015</v>
      </c>
      <c r="T44" s="117">
        <v>2016</v>
      </c>
      <c r="U44" s="117">
        <v>2017</v>
      </c>
      <c r="V44" s="117">
        <v>2018</v>
      </c>
      <c r="W44" s="245">
        <v>2019</v>
      </c>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row>
    <row r="45" spans="1:81" s="31" customFormat="1" ht="12.75" customHeight="1">
      <c r="A45" s="90"/>
      <c r="B45" s="480"/>
      <c r="C45" s="480"/>
      <c r="D45" s="6"/>
      <c r="E45" s="40"/>
      <c r="F45" s="40"/>
      <c r="G45" s="47"/>
      <c r="I45" s="143"/>
      <c r="J45" s="143"/>
      <c r="K45" s="143"/>
      <c r="L45" s="143"/>
      <c r="M45" s="143"/>
      <c r="N45" s="143"/>
      <c r="O45" s="143"/>
      <c r="P45" s="143"/>
      <c r="Q45" s="143"/>
      <c r="R45" s="143"/>
      <c r="S45" s="143"/>
      <c r="T45" s="119"/>
      <c r="U45" s="119"/>
      <c r="V45" s="119"/>
      <c r="W45" s="246"/>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c r="BT45" s="128"/>
      <c r="BU45" s="128"/>
      <c r="BV45" s="128"/>
      <c r="BW45" s="128"/>
      <c r="BX45" s="128"/>
      <c r="BY45" s="128"/>
      <c r="BZ45" s="128"/>
      <c r="CA45" s="128"/>
      <c r="CB45" s="128"/>
      <c r="CC45" s="128"/>
    </row>
    <row r="46" spans="2:23" ht="12.75" customHeight="1">
      <c r="B46" s="8"/>
      <c r="D46" s="9"/>
      <c r="E46" s="40"/>
      <c r="F46" s="40"/>
      <c r="G46" s="48"/>
      <c r="H46" s="1"/>
      <c r="N46" s="107"/>
      <c r="P46" s="107"/>
      <c r="Q46" s="107"/>
      <c r="R46" s="107"/>
      <c r="S46" s="107"/>
      <c r="T46" s="20"/>
      <c r="U46" s="20"/>
      <c r="V46" s="20"/>
      <c r="W46" s="247"/>
    </row>
    <row r="47" spans="2:23" ht="12.75" customHeight="1">
      <c r="B47" s="8" t="str">
        <f>VLOOKUP(37,Textbausteine!$A$2:$E$67,Hilfsgrössen!$D$2,FALSE)</f>
        <v>Groupe Suisse</v>
      </c>
      <c r="C47" s="8"/>
      <c r="D47" s="67"/>
      <c r="E47" s="12"/>
      <c r="F47" s="11"/>
      <c r="G47" s="48"/>
      <c r="N47" s="107"/>
      <c r="T47" s="20"/>
      <c r="U47" s="20"/>
      <c r="V47" s="20"/>
      <c r="W47" s="247"/>
    </row>
    <row r="48" spans="1:82" s="107" customFormat="1" ht="12.75" customHeight="1">
      <c r="A48" s="91"/>
      <c r="B48" s="1"/>
      <c r="C48" s="269" t="str">
        <f>VLOOKUP(61,Textbausteine!$BI$2:$BM$151,Hilfsgrössen!$D$2,FALSE)</f>
        <v>Relève</v>
      </c>
      <c r="D48" s="265" t="str">
        <f>VLOOKUP(11,Textbausteine!$BI$2:$BM$151,Hilfsgrössen!$D$2,FALSE)</f>
        <v>Personnes</v>
      </c>
      <c r="E48" s="270" t="s">
        <v>77</v>
      </c>
      <c r="F48" s="11" t="s">
        <v>1309</v>
      </c>
      <c r="G48" s="267"/>
      <c r="H48" s="447">
        <v>50</v>
      </c>
      <c r="I48" s="447">
        <v>53</v>
      </c>
      <c r="J48" s="447">
        <v>62</v>
      </c>
      <c r="K48" s="447">
        <v>63</v>
      </c>
      <c r="L48" s="447">
        <v>89</v>
      </c>
      <c r="M48" s="447">
        <v>105</v>
      </c>
      <c r="N48" s="447">
        <v>101</v>
      </c>
      <c r="O48" s="448">
        <v>98</v>
      </c>
      <c r="P48" s="17">
        <v>82</v>
      </c>
      <c r="Q48" s="17">
        <v>89</v>
      </c>
      <c r="R48" s="449">
        <v>93</v>
      </c>
      <c r="S48" s="449">
        <v>87</v>
      </c>
      <c r="T48" s="449">
        <v>92</v>
      </c>
      <c r="U48" s="449">
        <v>69</v>
      </c>
      <c r="V48" s="449">
        <v>71</v>
      </c>
      <c r="W48" s="450">
        <v>72</v>
      </c>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row>
    <row r="49" spans="1:82" s="107" customFormat="1" ht="12.75" customHeight="1">
      <c r="A49" s="91"/>
      <c r="B49" s="1"/>
      <c r="C49" s="272" t="str">
        <f>VLOOKUP(62,Textbausteine!$BI$2:$BM$151,Hilfsgrössen!$D$2,FALSE)</f>
        <v>Programme Trainee</v>
      </c>
      <c r="D49" s="265" t="str">
        <f>VLOOKUP(11,Textbausteine!$BI$2:$BM$151,Hilfsgrössen!$D$2,FALSE)</f>
        <v>Personnes</v>
      </c>
      <c r="E49" s="267" t="s">
        <v>77</v>
      </c>
      <c r="F49" s="11" t="s">
        <v>1309</v>
      </c>
      <c r="G49" s="267"/>
      <c r="H49" s="449">
        <v>20</v>
      </c>
      <c r="I49" s="449">
        <v>18</v>
      </c>
      <c r="J49" s="449">
        <v>22</v>
      </c>
      <c r="K49" s="449">
        <v>19</v>
      </c>
      <c r="L49" s="449">
        <v>23</v>
      </c>
      <c r="M49" s="448">
        <v>40</v>
      </c>
      <c r="N49" s="448">
        <v>46</v>
      </c>
      <c r="O49" s="448">
        <v>53</v>
      </c>
      <c r="P49" s="17">
        <v>68</v>
      </c>
      <c r="Q49" s="17">
        <v>71</v>
      </c>
      <c r="R49" s="449">
        <v>74</v>
      </c>
      <c r="S49" s="449">
        <v>71</v>
      </c>
      <c r="T49" s="449">
        <v>59</v>
      </c>
      <c r="U49" s="449">
        <v>32</v>
      </c>
      <c r="V49" s="449">
        <v>30</v>
      </c>
      <c r="W49" s="450">
        <v>31</v>
      </c>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row>
    <row r="50" spans="1:82" s="107" customFormat="1" ht="12.75" customHeight="1">
      <c r="A50" s="91"/>
      <c r="B50" s="26"/>
      <c r="C50" s="272" t="str">
        <f>VLOOKUP(63,Textbausteine!$BI$2:$BM$151,Hilfsgrössen!$D$2,FALSE)</f>
        <v>Stagiaires</v>
      </c>
      <c r="D50" s="265" t="str">
        <f>VLOOKUP(11,Textbausteine!$BI$2:$BM$151,Hilfsgrössen!$D$2,FALSE)</f>
        <v>Personnes</v>
      </c>
      <c r="E50" s="267" t="s">
        <v>77</v>
      </c>
      <c r="F50" s="11" t="s">
        <v>1309</v>
      </c>
      <c r="G50" s="267"/>
      <c r="H50" s="449">
        <v>30</v>
      </c>
      <c r="I50" s="449">
        <v>35</v>
      </c>
      <c r="J50" s="449">
        <v>40</v>
      </c>
      <c r="K50" s="449">
        <v>44</v>
      </c>
      <c r="L50" s="449">
        <v>66</v>
      </c>
      <c r="M50" s="448">
        <v>65</v>
      </c>
      <c r="N50" s="448">
        <v>55</v>
      </c>
      <c r="O50" s="448">
        <v>45</v>
      </c>
      <c r="P50" s="17">
        <v>14</v>
      </c>
      <c r="Q50" s="17">
        <v>18</v>
      </c>
      <c r="R50" s="449">
        <v>19</v>
      </c>
      <c r="S50" s="449">
        <v>16</v>
      </c>
      <c r="T50" s="449">
        <v>33</v>
      </c>
      <c r="U50" s="449">
        <v>37</v>
      </c>
      <c r="V50" s="449">
        <v>41</v>
      </c>
      <c r="W50" s="450">
        <v>41</v>
      </c>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row>
    <row r="51" spans="1:23" s="11" customFormat="1" ht="12.75" customHeight="1">
      <c r="A51" s="147"/>
      <c r="B51" s="9"/>
      <c r="C51" s="77"/>
      <c r="D51" s="67"/>
      <c r="G51" s="49"/>
      <c r="H51" s="107"/>
      <c r="I51" s="107"/>
      <c r="J51" s="107"/>
      <c r="K51" s="107"/>
      <c r="L51" s="107"/>
      <c r="M51" s="107"/>
      <c r="N51" s="107"/>
      <c r="O51" s="107"/>
      <c r="T51" s="107"/>
      <c r="U51" s="107"/>
      <c r="V51" s="107"/>
      <c r="W51" s="107"/>
    </row>
    <row r="52" spans="1:81" s="107" customFormat="1" ht="12.75" customHeight="1">
      <c r="A52" s="91"/>
      <c r="B52" s="268" t="str">
        <f>VLOOKUP(141,Textbausteine!$BI$2:$BM$151,Hilfsgrössen!$D$2,FALSE)</f>
        <v>1) Groupe Suisse: données provenant du système du personnel; actuellement sans les données de 1000 unités de personnel ou 6113 personnes des sociétés du groupe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et notime Schweiz AG.</v>
      </c>
      <c r="C52" s="268"/>
      <c r="D52" s="268"/>
      <c r="E52" s="268"/>
      <c r="F52" s="312"/>
      <c r="G52" s="268"/>
      <c r="H52" s="268"/>
      <c r="I52" s="268"/>
      <c r="J52" s="268"/>
      <c r="K52" s="268"/>
      <c r="L52" s="268"/>
      <c r="M52" s="268"/>
      <c r="N52" s="268"/>
      <c r="O52" s="268"/>
      <c r="P52" s="268"/>
      <c r="Q52" s="268"/>
      <c r="R52" s="268"/>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row>
    <row r="53" spans="1:81" s="107" customFormat="1" ht="12.75" customHeight="1">
      <c r="A53" s="91"/>
      <c r="B53" s="268" t="str">
        <f>VLOOKUP(142,Textbausteine!$BI$2:$BM$151,Hilfsgrössen!$D$2,FALSE)</f>
        <v>2) Valeurs annuelles moyennes</v>
      </c>
      <c r="C53" s="268"/>
      <c r="D53" s="268"/>
      <c r="E53" s="268"/>
      <c r="F53" s="312"/>
      <c r="G53" s="268"/>
      <c r="H53" s="268"/>
      <c r="I53" s="268"/>
      <c r="J53" s="268"/>
      <c r="K53" s="268"/>
      <c r="L53" s="268"/>
      <c r="M53" s="268"/>
      <c r="N53" s="268"/>
      <c r="O53" s="268"/>
      <c r="P53" s="268"/>
      <c r="Q53" s="268"/>
      <c r="R53" s="268"/>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row>
    <row r="54" spans="1:81" s="107" customFormat="1" ht="12.75" customHeight="1">
      <c r="A54" s="91"/>
      <c r="B54" s="268"/>
      <c r="C54" s="268"/>
      <c r="D54" s="268"/>
      <c r="E54" s="268"/>
      <c r="F54" s="312"/>
      <c r="G54" s="268"/>
      <c r="H54" s="268"/>
      <c r="I54" s="268"/>
      <c r="J54" s="268"/>
      <c r="K54" s="268"/>
      <c r="L54" s="268"/>
      <c r="M54" s="268"/>
      <c r="N54" s="268"/>
      <c r="O54" s="268"/>
      <c r="P54" s="268"/>
      <c r="Q54" s="268"/>
      <c r="R54" s="268"/>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row>
    <row r="55" spans="1:81" s="107" customFormat="1" ht="12.75" customHeight="1">
      <c r="A55" s="91"/>
      <c r="B55" s="268"/>
      <c r="C55" s="268"/>
      <c r="D55" s="268"/>
      <c r="E55" s="268"/>
      <c r="F55" s="312"/>
      <c r="G55" s="268"/>
      <c r="H55" s="268"/>
      <c r="I55" s="268"/>
      <c r="J55" s="268"/>
      <c r="K55" s="268"/>
      <c r="L55" s="268"/>
      <c r="M55" s="268"/>
      <c r="N55" s="268"/>
      <c r="O55" s="268"/>
      <c r="P55" s="268"/>
      <c r="Q55" s="268"/>
      <c r="R55" s="268"/>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row>
    <row r="56" spans="1:81" s="31" customFormat="1" ht="12.75" customHeight="1">
      <c r="A56" s="56" t="s">
        <v>807</v>
      </c>
      <c r="B56" s="480" t="str">
        <f>$C$9</f>
        <v>Centre de carrière</v>
      </c>
      <c r="C56" s="480"/>
      <c r="D56" s="6" t="str">
        <f>VLOOKUP(32,Textbausteine!$A$2:$E$67,Hilfsgrössen!$D$2,FALSE)</f>
        <v>Unité</v>
      </c>
      <c r="E56" s="39" t="str">
        <f>VLOOKUP(33,Textbausteine!$A$2:$E$67,Hilfsgrössen!$D$2,FALSE)</f>
        <v>Notes</v>
      </c>
      <c r="F56" s="39" t="str">
        <f>VLOOKUP(34,Textbausteine!$A$2:$E$67,Hilfsgrössen!$D$2,FALSE)</f>
        <v>GRI</v>
      </c>
      <c r="G56" s="47"/>
      <c r="H56" s="31">
        <v>2004</v>
      </c>
      <c r="I56" s="117">
        <v>2005</v>
      </c>
      <c r="J56" s="117">
        <v>2006</v>
      </c>
      <c r="K56" s="117">
        <v>2007</v>
      </c>
      <c r="L56" s="117">
        <v>2008</v>
      </c>
      <c r="M56" s="117">
        <v>2009</v>
      </c>
      <c r="N56" s="117">
        <v>2010</v>
      </c>
      <c r="O56" s="117">
        <v>2011</v>
      </c>
      <c r="P56" s="117">
        <v>2012</v>
      </c>
      <c r="Q56" s="117">
        <v>2013</v>
      </c>
      <c r="R56" s="117">
        <v>2014</v>
      </c>
      <c r="S56" s="117">
        <v>2015</v>
      </c>
      <c r="T56" s="117">
        <v>2016</v>
      </c>
      <c r="U56" s="117">
        <v>2017</v>
      </c>
      <c r="V56" s="117">
        <v>2018</v>
      </c>
      <c r="W56" s="245">
        <v>2019</v>
      </c>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row>
    <row r="57" spans="1:81" s="31" customFormat="1" ht="12.75" customHeight="1">
      <c r="A57" s="90"/>
      <c r="B57" s="480"/>
      <c r="C57" s="480"/>
      <c r="D57" s="6"/>
      <c r="E57" s="40"/>
      <c r="F57" s="40"/>
      <c r="G57" s="47"/>
      <c r="I57" s="143"/>
      <c r="J57" s="143"/>
      <c r="K57" s="143"/>
      <c r="L57" s="143"/>
      <c r="M57" s="143"/>
      <c r="N57" s="143"/>
      <c r="O57" s="143"/>
      <c r="P57" s="143"/>
      <c r="Q57" s="143"/>
      <c r="R57" s="143"/>
      <c r="S57" s="143"/>
      <c r="T57" s="119"/>
      <c r="U57" s="119"/>
      <c r="V57" s="119"/>
      <c r="W57" s="246"/>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row>
    <row r="58" spans="2:23" ht="12.75" customHeight="1">
      <c r="B58" s="8"/>
      <c r="D58" s="9"/>
      <c r="E58" s="40"/>
      <c r="F58" s="40"/>
      <c r="G58" s="48"/>
      <c r="H58" s="1"/>
      <c r="N58" s="107"/>
      <c r="P58" s="107"/>
      <c r="Q58" s="107"/>
      <c r="R58" s="107"/>
      <c r="S58" s="107"/>
      <c r="T58" s="20"/>
      <c r="U58" s="20"/>
      <c r="V58" s="20"/>
      <c r="W58" s="247"/>
    </row>
    <row r="59" spans="2:23" ht="12.75" customHeight="1">
      <c r="B59" s="8" t="str">
        <f>VLOOKUP(37,Textbausteine!$A$2:$E$67,Hilfsgrössen!$D$2,FALSE)</f>
        <v>Groupe Suisse</v>
      </c>
      <c r="C59" s="8"/>
      <c r="D59" s="67"/>
      <c r="E59" s="12"/>
      <c r="F59" s="11"/>
      <c r="G59" s="48"/>
      <c r="N59" s="107"/>
      <c r="T59" s="20"/>
      <c r="U59" s="20"/>
      <c r="V59" s="20"/>
      <c r="W59" s="247"/>
    </row>
    <row r="60" spans="1:82" s="107" customFormat="1" ht="12.75" customHeight="1">
      <c r="A60" s="91"/>
      <c r="B60" s="1"/>
      <c r="C60" s="269" t="str">
        <f>VLOOKUP(81,Textbausteine!$BI$2:$BM$151,Hilfsgrössen!$D$2,FALSE)</f>
        <v>Conseils individuels par le Centre de carrière</v>
      </c>
      <c r="D60" s="265" t="str">
        <f>VLOOKUP(14,Textbausteine!$BI$2:$BM$151,Hilfsgrössen!$D$2,FALSE)</f>
        <v>Nombre</v>
      </c>
      <c r="E60" s="270"/>
      <c r="F60" s="11" t="s">
        <v>1309</v>
      </c>
      <c r="G60" s="267"/>
      <c r="H60" s="270">
        <v>1475</v>
      </c>
      <c r="I60" s="270">
        <v>1337</v>
      </c>
      <c r="J60" s="270">
        <v>1362</v>
      </c>
      <c r="K60" s="270">
        <v>1436</v>
      </c>
      <c r="L60" s="270">
        <v>716</v>
      </c>
      <c r="M60" s="270">
        <v>582</v>
      </c>
      <c r="N60" s="270">
        <v>562</v>
      </c>
      <c r="O60" s="196">
        <v>590</v>
      </c>
      <c r="P60" s="11">
        <v>687</v>
      </c>
      <c r="Q60" s="11">
        <v>772</v>
      </c>
      <c r="R60" s="267">
        <v>822</v>
      </c>
      <c r="S60" s="267">
        <v>751</v>
      </c>
      <c r="T60" s="267">
        <v>825</v>
      </c>
      <c r="U60" s="267">
        <v>1161</v>
      </c>
      <c r="V60" s="267">
        <v>1143</v>
      </c>
      <c r="W60" s="271">
        <v>810</v>
      </c>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row>
    <row r="61" spans="1:82" s="107" customFormat="1" ht="12.75" customHeight="1">
      <c r="A61" s="91"/>
      <c r="B61" s="1"/>
      <c r="C61" s="273" t="str">
        <f>VLOOKUP(82,Textbausteine!$BI$2:$BM$151,Hilfsgrössen!$D$2,FALSE)</f>
        <v>Séminaires de la Bourse de l'emploi</v>
      </c>
      <c r="D61" s="265" t="str">
        <f>VLOOKUP(14,Textbausteine!$BI$2:$BM$151,Hilfsgrössen!$D$2,FALSE)</f>
        <v>Nombre</v>
      </c>
      <c r="E61" s="267"/>
      <c r="F61" s="11" t="s">
        <v>1309</v>
      </c>
      <c r="G61" s="267"/>
      <c r="H61" s="449">
        <v>177</v>
      </c>
      <c r="I61" s="449">
        <v>126</v>
      </c>
      <c r="J61" s="449">
        <v>99</v>
      </c>
      <c r="K61" s="449">
        <v>102</v>
      </c>
      <c r="L61" s="449">
        <v>46</v>
      </c>
      <c r="M61" s="448">
        <v>54</v>
      </c>
      <c r="N61" s="448">
        <v>83</v>
      </c>
      <c r="O61" s="448">
        <v>50</v>
      </c>
      <c r="P61" s="17">
        <v>70</v>
      </c>
      <c r="Q61" s="17">
        <v>74</v>
      </c>
      <c r="R61" s="449">
        <v>71</v>
      </c>
      <c r="S61" s="449">
        <v>71</v>
      </c>
      <c r="T61" s="449">
        <v>70</v>
      </c>
      <c r="U61" s="449">
        <v>69</v>
      </c>
      <c r="V61" s="449">
        <v>39</v>
      </c>
      <c r="W61" s="450">
        <v>64</v>
      </c>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row>
    <row r="62" spans="1:82" s="107" customFormat="1" ht="12.75" customHeight="1">
      <c r="A62" s="91"/>
      <c r="B62" s="26"/>
      <c r="C62" s="273" t="str">
        <f>VLOOKUP(83,Textbausteine!$BI$2:$BM$151,Hilfsgrössen!$D$2,FALSE)</f>
        <v>Séminaires de la Bourse de l'emploi</v>
      </c>
      <c r="D62" s="265" t="str">
        <f>VLOOKUP(15,Textbausteine!$BI$2:$BM$151,Hilfsgrössen!$D$2,FALSE)</f>
        <v>Participants</v>
      </c>
      <c r="E62" s="267"/>
      <c r="F62" s="11" t="s">
        <v>1309</v>
      </c>
      <c r="G62" s="267"/>
      <c r="H62" s="267">
        <v>2388</v>
      </c>
      <c r="I62" s="267">
        <v>1762</v>
      </c>
      <c r="J62" s="267">
        <v>1497</v>
      </c>
      <c r="K62" s="267">
        <v>1309</v>
      </c>
      <c r="L62" s="267">
        <v>792</v>
      </c>
      <c r="M62" s="196">
        <v>834</v>
      </c>
      <c r="N62" s="196">
        <v>1393</v>
      </c>
      <c r="O62" s="196">
        <v>870</v>
      </c>
      <c r="P62" s="11">
        <v>1230</v>
      </c>
      <c r="Q62" s="11">
        <v>1188</v>
      </c>
      <c r="R62" s="267">
        <v>1173</v>
      </c>
      <c r="S62" s="267">
        <v>1208</v>
      </c>
      <c r="T62" s="267">
        <v>1248</v>
      </c>
      <c r="U62" s="267">
        <v>1208</v>
      </c>
      <c r="V62" s="267">
        <v>585</v>
      </c>
      <c r="W62" s="271">
        <v>543</v>
      </c>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row>
    <row r="63" spans="1:82" s="107" customFormat="1" ht="12.75" customHeight="1">
      <c r="A63" s="147"/>
      <c r="B63" s="26"/>
      <c r="C63" s="272"/>
      <c r="D63" s="194"/>
      <c r="E63" s="267"/>
      <c r="F63" s="11"/>
      <c r="G63" s="267"/>
      <c r="H63" s="267"/>
      <c r="I63" s="267"/>
      <c r="J63" s="267"/>
      <c r="K63" s="267"/>
      <c r="L63" s="267"/>
      <c r="M63" s="196"/>
      <c r="N63" s="196"/>
      <c r="O63" s="196"/>
      <c r="P63" s="11"/>
      <c r="Q63" s="11"/>
      <c r="R63" s="267"/>
      <c r="S63" s="267"/>
      <c r="T63" s="267"/>
      <c r="U63" s="267"/>
      <c r="V63" s="267"/>
      <c r="W63" s="267"/>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row>
    <row r="64" spans="1:81" s="107" customFormat="1" ht="12.75" customHeight="1">
      <c r="A64" s="91"/>
      <c r="B64" s="26"/>
      <c r="C64" s="9"/>
      <c r="D64" s="1"/>
      <c r="E64" s="11"/>
      <c r="F64" s="13"/>
      <c r="G64" s="49"/>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row>
    <row r="65" spans="1:81" s="107" customFormat="1" ht="12.75" customHeight="1">
      <c r="A65" s="91"/>
      <c r="B65" s="26"/>
      <c r="C65" s="9"/>
      <c r="D65" s="1"/>
      <c r="E65" s="11"/>
      <c r="F65" s="11"/>
      <c r="G65" s="50"/>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row>
    <row r="66" spans="1:81" s="107" customFormat="1" ht="12.75" customHeight="1">
      <c r="A66" s="91"/>
      <c r="B66" s="26"/>
      <c r="C66" s="9"/>
      <c r="D66" s="1"/>
      <c r="E66" s="11"/>
      <c r="F66" s="11"/>
      <c r="G66" s="49"/>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row>
    <row r="67" spans="1:81" s="107" customFormat="1" ht="12.75" customHeight="1">
      <c r="A67" s="91"/>
      <c r="B67" s="26"/>
      <c r="C67" s="9"/>
      <c r="D67" s="1"/>
      <c r="E67" s="11"/>
      <c r="F67" s="11"/>
      <c r="G67" s="49"/>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row>
    <row r="68" spans="1:81" s="107" customFormat="1" ht="12.75" customHeight="1">
      <c r="A68" s="91"/>
      <c r="B68" s="1"/>
      <c r="C68" s="9"/>
      <c r="D68" s="1"/>
      <c r="E68" s="11"/>
      <c r="F68" s="11"/>
      <c r="G68" s="49"/>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row>
    <row r="69" spans="1:81" s="107" customFormat="1" ht="12.75" customHeight="1">
      <c r="A69" s="91"/>
      <c r="B69" s="1"/>
      <c r="C69" s="9"/>
      <c r="D69" s="1"/>
      <c r="E69" s="11"/>
      <c r="F69" s="11"/>
      <c r="G69" s="49"/>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row>
    <row r="70" spans="1:81" s="107" customFormat="1" ht="12.75" customHeight="1">
      <c r="A70" s="91"/>
      <c r="B70" s="1"/>
      <c r="C70" s="9"/>
      <c r="D70" s="1"/>
      <c r="E70" s="11"/>
      <c r="F70" s="11"/>
      <c r="G70" s="49"/>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row>
    <row r="71" spans="1:81" s="107" customFormat="1" ht="12.75" customHeight="1">
      <c r="A71" s="91"/>
      <c r="B71" s="1"/>
      <c r="C71" s="9"/>
      <c r="D71" s="1"/>
      <c r="E71" s="11"/>
      <c r="F71" s="11"/>
      <c r="G71" s="49"/>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row>
    <row r="72" spans="1:81" s="107" customFormat="1" ht="12.75" customHeight="1">
      <c r="A72" s="91"/>
      <c r="B72" s="1"/>
      <c r="C72" s="9"/>
      <c r="D72" s="1"/>
      <c r="E72" s="11"/>
      <c r="F72" s="11"/>
      <c r="G72" s="49"/>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row>
    <row r="73" spans="1:81" s="107" customFormat="1" ht="12.75" customHeight="1">
      <c r="A73" s="91"/>
      <c r="B73" s="1"/>
      <c r="C73" s="9"/>
      <c r="D73" s="1"/>
      <c r="E73" s="11"/>
      <c r="F73" s="11"/>
      <c r="G73" s="49"/>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row>
    <row r="74" spans="1:81" s="107" customFormat="1" ht="12.75" customHeight="1">
      <c r="A74" s="91"/>
      <c r="B74" s="1"/>
      <c r="C74" s="9"/>
      <c r="D74" s="1"/>
      <c r="E74" s="13"/>
      <c r="F74" s="11"/>
      <c r="G74" s="49"/>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row>
    <row r="75" spans="1:81" s="107" customFormat="1" ht="12.75" customHeight="1">
      <c r="A75" s="91"/>
      <c r="B75" s="1"/>
      <c r="C75" s="9"/>
      <c r="D75" s="1"/>
      <c r="E75" s="13"/>
      <c r="F75" s="11"/>
      <c r="G75" s="49"/>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row>
    <row r="76" spans="1:81" s="107" customFormat="1" ht="12.75" customHeight="1">
      <c r="A76" s="91"/>
      <c r="B76" s="1"/>
      <c r="C76" s="9"/>
      <c r="D76" s="1"/>
      <c r="E76" s="13"/>
      <c r="F76" s="11"/>
      <c r="G76" s="49"/>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row>
    <row r="77" spans="1:81" s="107" customFormat="1" ht="12.75" customHeight="1">
      <c r="A77" s="91"/>
      <c r="B77" s="1"/>
      <c r="C77" s="9"/>
      <c r="D77" s="1"/>
      <c r="E77" s="11"/>
      <c r="F77" s="11"/>
      <c r="G77" s="49"/>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row>
    <row r="78" spans="1:81" s="107" customFormat="1" ht="12.75" customHeight="1">
      <c r="A78" s="91"/>
      <c r="B78" s="1"/>
      <c r="C78" s="9"/>
      <c r="D78" s="1"/>
      <c r="E78" s="11"/>
      <c r="F78" s="11"/>
      <c r="G78" s="49"/>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row>
    <row r="79" spans="1:81" s="107" customFormat="1" ht="12.75" customHeight="1">
      <c r="A79" s="91"/>
      <c r="B79" s="1"/>
      <c r="C79" s="9"/>
      <c r="D79" s="1"/>
      <c r="E79" s="41"/>
      <c r="F79" s="41"/>
      <c r="G79" s="49"/>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row>
    <row r="80" spans="1:81" s="107" customFormat="1" ht="12.75" customHeight="1">
      <c r="A80" s="91"/>
      <c r="B80" s="1"/>
      <c r="C80" s="9"/>
      <c r="D80" s="1"/>
      <c r="E80" s="41"/>
      <c r="F80" s="41"/>
      <c r="G80" s="5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row>
    <row r="81" spans="1:81" s="107" customFormat="1" ht="12.75" customHeight="1">
      <c r="A81" s="91"/>
      <c r="B81" s="1"/>
      <c r="C81" s="9"/>
      <c r="D81" s="1"/>
      <c r="E81" s="41"/>
      <c r="F81" s="41"/>
      <c r="G81" s="5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row>
    <row r="82" spans="1:81" s="107" customFormat="1" ht="12.75" customHeight="1">
      <c r="A82" s="91"/>
      <c r="B82" s="1"/>
      <c r="C82" s="9"/>
      <c r="D82" s="1"/>
      <c r="E82" s="42"/>
      <c r="F82" s="42"/>
      <c r="G82" s="51"/>
      <c r="N82" s="20"/>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row>
    <row r="83" spans="1:81" s="107" customFormat="1" ht="12.75" customHeight="1">
      <c r="A83" s="91"/>
      <c r="B83" s="1"/>
      <c r="C83" s="9"/>
      <c r="D83" s="1"/>
      <c r="E83" s="42"/>
      <c r="F83" s="42"/>
      <c r="G83" s="52"/>
      <c r="N83" s="20"/>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row>
    <row r="84" spans="1:81" s="107" customFormat="1" ht="12.75" customHeight="1">
      <c r="A84" s="91"/>
      <c r="B84" s="1"/>
      <c r="C84" s="9"/>
      <c r="D84" s="1"/>
      <c r="E84" s="43"/>
      <c r="F84" s="43"/>
      <c r="G84" s="52"/>
      <c r="N84" s="20"/>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row>
    <row r="85" spans="1:81" s="107" customFormat="1" ht="12.75" customHeight="1">
      <c r="A85" s="91"/>
      <c r="B85" s="1"/>
      <c r="C85" s="9"/>
      <c r="D85" s="1"/>
      <c r="E85" s="37"/>
      <c r="F85" s="37"/>
      <c r="G85" s="53"/>
      <c r="N85" s="20"/>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row>
    <row r="88" spans="1:81" s="107" customFormat="1" ht="12.75" customHeight="1">
      <c r="A88" s="91"/>
      <c r="B88" s="1"/>
      <c r="C88" s="9"/>
      <c r="D88" s="1"/>
      <c r="E88" s="40"/>
      <c r="F88" s="40"/>
      <c r="G88" s="47"/>
      <c r="N88" s="20"/>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row>
    <row r="89" spans="1:81" s="107" customFormat="1" ht="12.75" customHeight="1">
      <c r="A89" s="91"/>
      <c r="B89" s="1"/>
      <c r="C89" s="9"/>
      <c r="D89" s="1"/>
      <c r="E89" s="40"/>
      <c r="F89" s="40"/>
      <c r="G89" s="48"/>
      <c r="N89" s="20"/>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row>
    <row r="90" spans="1:81" s="107" customFormat="1" ht="12.75" customHeight="1">
      <c r="A90" s="91"/>
      <c r="B90" s="1"/>
      <c r="C90" s="9"/>
      <c r="D90" s="1"/>
      <c r="E90" s="13"/>
      <c r="F90" s="11"/>
      <c r="G90" s="48"/>
      <c r="N90" s="119"/>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row>
    <row r="91" spans="1:81" s="107" customFormat="1" ht="12.75" customHeight="1">
      <c r="A91" s="91"/>
      <c r="B91" s="1"/>
      <c r="C91" s="9"/>
      <c r="D91" s="1"/>
      <c r="E91" s="39"/>
      <c r="F91" s="39"/>
      <c r="G91" s="49"/>
      <c r="N91" s="119"/>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row>
    <row r="92" spans="1:81" s="107" customFormat="1" ht="12.75" customHeight="1">
      <c r="A92" s="91"/>
      <c r="B92" s="1"/>
      <c r="C92" s="9"/>
      <c r="D92" s="1"/>
      <c r="E92" s="13"/>
      <c r="F92" s="11"/>
      <c r="G92" s="46"/>
      <c r="N92" s="20"/>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row>
    <row r="93" spans="1:81" s="107" customFormat="1" ht="12.75" customHeight="1">
      <c r="A93" s="91"/>
      <c r="B93" s="1"/>
      <c r="C93" s="9"/>
      <c r="D93" s="1"/>
      <c r="E93" s="13"/>
      <c r="F93" s="11"/>
      <c r="G93" s="47"/>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row>
    <row r="94" spans="1:81" s="107" customFormat="1" ht="12.75" customHeight="1">
      <c r="A94" s="91"/>
      <c r="B94" s="1"/>
      <c r="C94" s="9"/>
      <c r="D94" s="1"/>
      <c r="E94" s="13"/>
      <c r="F94" s="11"/>
      <c r="G94" s="47"/>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row>
    <row r="95" spans="1:81" s="107" customFormat="1" ht="12.75" customHeight="1">
      <c r="A95" s="91"/>
      <c r="B95" s="1"/>
      <c r="C95" s="9"/>
      <c r="D95" s="1"/>
      <c r="E95" s="13"/>
      <c r="F95" s="11"/>
      <c r="G95" s="47"/>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row>
    <row r="96" spans="1:81" s="107" customFormat="1" ht="12.75" customHeight="1">
      <c r="A96" s="91"/>
      <c r="B96" s="1"/>
      <c r="C96" s="9"/>
      <c r="D96" s="1"/>
      <c r="E96" s="44"/>
      <c r="F96" s="44"/>
      <c r="G96" s="47"/>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row>
    <row r="97" spans="1:81" s="107" customFormat="1" ht="12.75" customHeight="1">
      <c r="A97" s="91"/>
      <c r="B97" s="1"/>
      <c r="C97" s="9"/>
      <c r="D97" s="1"/>
      <c r="E97" s="44"/>
      <c r="F97" s="44"/>
      <c r="G97" s="47"/>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row>
    <row r="98" spans="1:81" s="107" customFormat="1" ht="12.75" customHeight="1">
      <c r="A98" s="91"/>
      <c r="B98" s="1"/>
      <c r="C98" s="9"/>
      <c r="D98" s="1"/>
      <c r="E98" s="44"/>
      <c r="F98" s="44"/>
      <c r="G98" s="47"/>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row>
    <row r="99" spans="1:81" s="107" customFormat="1" ht="12.75" customHeight="1">
      <c r="A99" s="91"/>
      <c r="B99" s="1"/>
      <c r="C99" s="9"/>
      <c r="D99" s="1"/>
      <c r="E99" s="37"/>
      <c r="F99" s="37"/>
      <c r="G99" s="47"/>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row>
    <row r="100" spans="1:81" s="107" customFormat="1" ht="12.75" customHeight="1">
      <c r="A100" s="91"/>
      <c r="B100" s="1"/>
      <c r="C100" s="9"/>
      <c r="D100" s="1"/>
      <c r="E100" s="37"/>
      <c r="F100" s="37"/>
      <c r="G100" s="47"/>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row>
    <row r="101" spans="1:81" s="107" customFormat="1" ht="12.75" customHeight="1">
      <c r="A101" s="91"/>
      <c r="B101" s="1"/>
      <c r="C101" s="9"/>
      <c r="D101" s="1"/>
      <c r="E101" s="37"/>
      <c r="F101" s="37"/>
      <c r="G101" s="47"/>
      <c r="N101" s="119"/>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row>
    <row r="102" spans="1:81" s="107" customFormat="1" ht="12.75" customHeight="1">
      <c r="A102" s="91"/>
      <c r="B102" s="1"/>
      <c r="C102" s="9"/>
      <c r="D102" s="1"/>
      <c r="E102" s="37"/>
      <c r="F102" s="37"/>
      <c r="G102" s="47"/>
      <c r="N102" s="119"/>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row>
    <row r="106" spans="1:81" s="107" customFormat="1" ht="12.75" customHeight="1">
      <c r="A106" s="91"/>
      <c r="B106" s="1"/>
      <c r="C106" s="9"/>
      <c r="D106" s="1"/>
      <c r="E106" s="37"/>
      <c r="F106" s="37"/>
      <c r="G106" s="47"/>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row>
    <row r="107" spans="1:81" s="107" customFormat="1" ht="12.75" customHeight="1">
      <c r="A107" s="91"/>
      <c r="B107" s="1"/>
      <c r="C107" s="9"/>
      <c r="D107" s="1"/>
      <c r="E107" s="37"/>
      <c r="F107" s="37"/>
      <c r="G107" s="47"/>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row>
    <row r="108" spans="1:81" s="107" customFormat="1" ht="12.75" customHeight="1">
      <c r="A108" s="91"/>
      <c r="B108" s="1"/>
      <c r="C108" s="9"/>
      <c r="D108" s="1"/>
      <c r="E108" s="37"/>
      <c r="F108" s="37"/>
      <c r="G108" s="47"/>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row>
    <row r="109" spans="1:81" s="107" customFormat="1" ht="12.75" customHeight="1">
      <c r="A109" s="91"/>
      <c r="B109" s="1"/>
      <c r="C109" s="9"/>
      <c r="D109" s="1"/>
      <c r="E109" s="37"/>
      <c r="F109" s="37"/>
      <c r="G109" s="47"/>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row>
    <row r="110" spans="1:81" s="107" customFormat="1" ht="12.75" customHeight="1">
      <c r="A110" s="91"/>
      <c r="B110" s="1"/>
      <c r="C110" s="9"/>
      <c r="D110" s="1"/>
      <c r="E110" s="37"/>
      <c r="F110" s="37"/>
      <c r="G110" s="47"/>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row>
    <row r="111" spans="1:81" s="107" customFormat="1" ht="12.75" customHeight="1">
      <c r="A111" s="91"/>
      <c r="B111" s="1"/>
      <c r="C111" s="9"/>
      <c r="D111" s="1"/>
      <c r="E111" s="37"/>
      <c r="F111" s="37"/>
      <c r="G111" s="47"/>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row>
    <row r="112" spans="1:81" s="107" customFormat="1" ht="12.75" customHeight="1">
      <c r="A112" s="91"/>
      <c r="B112" s="1"/>
      <c r="C112" s="9"/>
      <c r="D112" s="1"/>
      <c r="E112" s="37"/>
      <c r="F112" s="37"/>
      <c r="G112" s="47"/>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row>
    <row r="113" spans="1:81" s="107" customFormat="1" ht="12.75" customHeight="1">
      <c r="A113" s="91"/>
      <c r="B113" s="1"/>
      <c r="C113" s="9"/>
      <c r="D113" s="1"/>
      <c r="E113" s="37"/>
      <c r="F113" s="37"/>
      <c r="G113" s="47"/>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row>
    <row r="114" spans="1:81" s="107" customFormat="1" ht="12.75" customHeight="1">
      <c r="A114" s="91"/>
      <c r="B114" s="1"/>
      <c r="C114" s="9"/>
      <c r="D114" s="1"/>
      <c r="E114" s="37"/>
      <c r="F114" s="37"/>
      <c r="G114" s="47"/>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row>
    <row r="115" spans="1:81" s="107" customFormat="1" ht="12.75" customHeight="1">
      <c r="A115" s="91"/>
      <c r="B115" s="1"/>
      <c r="C115" s="9"/>
      <c r="D115" s="1"/>
      <c r="E115" s="37"/>
      <c r="F115" s="37"/>
      <c r="G115" s="49"/>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row>
    <row r="116" spans="1:81" s="107" customFormat="1" ht="12.75" customHeight="1">
      <c r="A116" s="91"/>
      <c r="B116" s="1"/>
      <c r="C116" s="9"/>
      <c r="D116" s="1"/>
      <c r="E116" s="37"/>
      <c r="F116" s="37"/>
      <c r="G116" s="49"/>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row>
    <row r="117" spans="1:81" s="107" customFormat="1" ht="12.75" customHeight="1">
      <c r="A117" s="91"/>
      <c r="B117" s="1"/>
      <c r="C117" s="9"/>
      <c r="D117" s="1"/>
      <c r="E117" s="37"/>
      <c r="F117" s="37"/>
      <c r="G117" s="49"/>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row>
    <row r="118" spans="1:81" s="107" customFormat="1" ht="12.75" customHeight="1">
      <c r="A118" s="91"/>
      <c r="B118" s="1"/>
      <c r="C118" s="9"/>
      <c r="D118" s="1"/>
      <c r="E118" s="37"/>
      <c r="F118" s="37"/>
      <c r="G118" s="49"/>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row>
    <row r="119" spans="1:81" s="107" customFormat="1" ht="12.75" customHeight="1">
      <c r="A119" s="91"/>
      <c r="B119" s="1"/>
      <c r="C119" s="9"/>
      <c r="D119" s="1"/>
      <c r="E119" s="37"/>
      <c r="F119" s="37"/>
      <c r="G119" s="49"/>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row>
    <row r="120" spans="1:81" s="107" customFormat="1" ht="12.75" customHeight="1">
      <c r="A120" s="91"/>
      <c r="B120" s="1"/>
      <c r="C120" s="9"/>
      <c r="D120" s="1"/>
      <c r="E120" s="37"/>
      <c r="F120" s="37"/>
      <c r="G120" s="49"/>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row>
    <row r="121" spans="1:81" s="107" customFormat="1" ht="12.75" customHeight="1">
      <c r="A121" s="91"/>
      <c r="B121" s="1"/>
      <c r="C121" s="9"/>
      <c r="D121" s="1"/>
      <c r="E121" s="37"/>
      <c r="F121" s="37"/>
      <c r="G121" s="49"/>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row>
    <row r="122" spans="1:81" s="107" customFormat="1" ht="12.75" customHeight="1">
      <c r="A122" s="91"/>
      <c r="B122" s="1"/>
      <c r="C122" s="9"/>
      <c r="D122" s="1"/>
      <c r="E122" s="37"/>
      <c r="F122" s="37"/>
      <c r="G122" s="47"/>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row>
    <row r="123" spans="1:81" s="107" customFormat="1" ht="12.75" customHeight="1">
      <c r="A123" s="91"/>
      <c r="B123" s="1"/>
      <c r="C123" s="9"/>
      <c r="D123" s="1"/>
      <c r="E123" s="37"/>
      <c r="F123" s="37"/>
      <c r="G123" s="47"/>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row>
    <row r="127" spans="1:81" s="107" customFormat="1" ht="12.75" customHeight="1">
      <c r="A127" s="91"/>
      <c r="B127" s="1"/>
      <c r="C127" s="9"/>
      <c r="D127" s="1"/>
      <c r="E127" s="37"/>
      <c r="F127" s="37"/>
      <c r="G127" s="48"/>
      <c r="N127" s="20"/>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row>
    <row r="128" spans="1:81" s="107" customFormat="1" ht="12.75" customHeight="1">
      <c r="A128" s="91"/>
      <c r="B128" s="1"/>
      <c r="C128" s="9"/>
      <c r="D128" s="1"/>
      <c r="E128" s="37"/>
      <c r="F128" s="37"/>
      <c r="G128" s="48"/>
      <c r="N128" s="20"/>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row>
    <row r="129" spans="1:81" s="107" customFormat="1" ht="12.75" customHeight="1">
      <c r="A129" s="91"/>
      <c r="B129" s="1"/>
      <c r="C129" s="9"/>
      <c r="D129" s="1"/>
      <c r="E129" s="37"/>
      <c r="F129" s="37"/>
      <c r="G129" s="49"/>
      <c r="N129" s="20"/>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row>
    <row r="130" spans="1:81" s="107" customFormat="1" ht="12.75" customHeight="1">
      <c r="A130" s="91"/>
      <c r="B130" s="1"/>
      <c r="C130" s="9"/>
      <c r="D130" s="1"/>
      <c r="E130" s="37"/>
      <c r="F130" s="37"/>
      <c r="G130" s="46"/>
      <c r="N130" s="119"/>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row>
    <row r="131" spans="1:81" s="107" customFormat="1" ht="12.75" customHeight="1">
      <c r="A131" s="91"/>
      <c r="B131" s="1"/>
      <c r="C131" s="9"/>
      <c r="D131" s="1"/>
      <c r="E131" s="37"/>
      <c r="F131" s="37"/>
      <c r="G131" s="49"/>
      <c r="N131" s="119"/>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row>
    <row r="132" spans="1:81" s="107" customFormat="1" ht="12.75" customHeight="1">
      <c r="A132" s="91"/>
      <c r="B132" s="1"/>
      <c r="C132" s="9"/>
      <c r="D132" s="1"/>
      <c r="E132" s="37"/>
      <c r="F132" s="37"/>
      <c r="G132" s="49"/>
      <c r="N132" s="20"/>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row>
    <row r="133" spans="1:81" s="107" customFormat="1" ht="12.75" customHeight="1">
      <c r="A133" s="91"/>
      <c r="B133" s="1"/>
      <c r="C133" s="9"/>
      <c r="D133" s="1"/>
      <c r="E133" s="37"/>
      <c r="F133" s="37"/>
      <c r="G133" s="49"/>
      <c r="N133" s="20"/>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row>
    <row r="134" spans="1:81" s="107" customFormat="1" ht="12.75" customHeight="1">
      <c r="A134" s="91"/>
      <c r="B134" s="1"/>
      <c r="C134" s="9"/>
      <c r="D134" s="1"/>
      <c r="E134" s="37"/>
      <c r="F134" s="37"/>
      <c r="G134" s="49"/>
      <c r="N134" s="20"/>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row>
    <row r="135" spans="1:81" s="107" customFormat="1" ht="12.75" customHeight="1">
      <c r="A135" s="91"/>
      <c r="B135" s="1"/>
      <c r="C135" s="9"/>
      <c r="D135" s="1"/>
      <c r="E135" s="37"/>
      <c r="F135" s="37"/>
      <c r="G135" s="54"/>
      <c r="N135" s="140"/>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row>
    <row r="136" spans="1:81" s="107" customFormat="1" ht="12.75" customHeight="1">
      <c r="A136" s="91"/>
      <c r="B136" s="1"/>
      <c r="C136" s="9"/>
      <c r="D136" s="1"/>
      <c r="E136" s="37"/>
      <c r="F136" s="37"/>
      <c r="G136" s="54"/>
      <c r="N136" s="140"/>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row>
    <row r="137" spans="1:81" s="107" customFormat="1" ht="12.75" customHeight="1">
      <c r="A137" s="91"/>
      <c r="B137" s="1"/>
      <c r="C137" s="9"/>
      <c r="D137" s="1"/>
      <c r="E137" s="37"/>
      <c r="F137" s="37"/>
      <c r="G137" s="54"/>
      <c r="N137" s="140"/>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row>
    <row r="138" spans="1:81" s="107" customFormat="1" ht="12.75" customHeight="1">
      <c r="A138" s="91"/>
      <c r="B138" s="1"/>
      <c r="C138" s="9"/>
      <c r="D138" s="1"/>
      <c r="E138" s="37"/>
      <c r="F138" s="37"/>
      <c r="G138" s="47"/>
      <c r="N138" s="140"/>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row>
    <row r="139" spans="1:81" s="107" customFormat="1" ht="12.75" customHeight="1">
      <c r="A139" s="91"/>
      <c r="B139" s="1"/>
      <c r="C139" s="9"/>
      <c r="D139" s="1"/>
      <c r="E139" s="37"/>
      <c r="F139" s="37"/>
      <c r="G139" s="47"/>
      <c r="N139" s="140"/>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row>
    <row r="140" spans="1:81" s="107" customFormat="1" ht="12.75" customHeight="1">
      <c r="A140" s="91"/>
      <c r="B140" s="1"/>
      <c r="C140" s="9"/>
      <c r="D140" s="1"/>
      <c r="E140" s="37"/>
      <c r="F140" s="37"/>
      <c r="G140" s="47"/>
      <c r="N140" s="140"/>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row>
    <row r="141" spans="1:81" s="107" customFormat="1" ht="12.75" customHeight="1">
      <c r="A141" s="91"/>
      <c r="B141" s="1"/>
      <c r="C141" s="9"/>
      <c r="D141" s="1"/>
      <c r="E141" s="37"/>
      <c r="F141" s="37"/>
      <c r="G141" s="47"/>
      <c r="N141" s="140"/>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row>
    <row r="142" spans="1:81" s="107" customFormat="1" ht="12.75" customHeight="1">
      <c r="A142" s="91"/>
      <c r="B142" s="1"/>
      <c r="C142" s="9"/>
      <c r="D142" s="1"/>
      <c r="E142" s="37"/>
      <c r="F142" s="37"/>
      <c r="G142" s="47"/>
      <c r="N142" s="140"/>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row>
  </sheetData>
  <sheetProtection sheet="1" objects="1" scenarios="1"/>
  <mergeCells count="6">
    <mergeCell ref="B56:C57"/>
    <mergeCell ref="B2:C2"/>
    <mergeCell ref="D2:E2"/>
    <mergeCell ref="B3:C3"/>
    <mergeCell ref="B12:C13"/>
    <mergeCell ref="B44:C45"/>
  </mergeCells>
  <conditionalFormatting sqref="H12:CC15 H30:CC31 X16:CC29 X32:CC33 H34:CC47 H51:CC60 X48:CC50 H62:CC10003 X61:CC61">
    <cfRule type="expression" priority="6" dxfId="0">
      <formula>AND($D12&lt;&gt;"",H$12&lt;&gt;"",H12="")</formula>
    </cfRule>
    <cfRule type="expression" priority="7" dxfId="1">
      <formula>AND($A12="",ABS(H12)=0)</formula>
    </cfRule>
    <cfRule type="expression" priority="9" dxfId="35">
      <formula>AND($A12="",ABS(H12)&lt;100)</formula>
    </cfRule>
    <cfRule type="expression" priority="10" dxfId="1">
      <formula>AND($A12="",ABS(H12)&gt;=100)</formula>
    </cfRule>
  </conditionalFormatting>
  <conditionalFormatting sqref="H1:CC15 H30:CC30 X16:CC29 X31:CC33 H51:CC59 X48:CC50 X60:CC62 H34:CC47 H63:CC65536">
    <cfRule type="expression" priority="8" dxfId="1">
      <formula>AND($A1="",ABS(H1)&lt;10)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A12" location="GRI_404" display="Ó"/>
    <hyperlink ref="D2" location="Home" display="Home"/>
    <hyperlink ref="C7" location="GRI_404_2a" display="Lernpersonal"/>
    <hyperlink ref="C8" location="GRI_404_2b" display="Nachwuchskräfte"/>
    <hyperlink ref="C9" location="GRI_404_2c" display="Aktivitäten Arbeitsmarktzentrum"/>
    <hyperlink ref="A44" location="GRI_404" display="Ó"/>
    <hyperlink ref="A56" location="GRI_404" display="Ó"/>
  </hyperlinks>
  <printOptions/>
  <pageMargins left="0.7" right="0.7" top="0.787401575" bottom="0.787401575" header="0.3" footer="0.3"/>
  <pageSetup horizontalDpi="600" verticalDpi="600" orientation="portrait" paperSize="9"/>
  <ignoredErrors>
    <ignoredError sqref="E33" twoDigitTextYear="1"/>
  </ignoredErrors>
</worksheet>
</file>

<file path=xl/worksheets/sheet11.xml><?xml version="1.0" encoding="utf-8"?>
<worksheet xmlns="http://schemas.openxmlformats.org/spreadsheetml/2006/main" xmlns:r="http://schemas.openxmlformats.org/officeDocument/2006/relationships">
  <sheetPr>
    <tabColor rgb="FF9E2A2F"/>
  </sheetPr>
  <dimension ref="A2:CI158"/>
  <sheetViews>
    <sheetView showGridLines="0" showRowColHeaders="0" zoomScale="90" zoomScaleNormal="90" zoomScalePageLayoutView="0" workbookViewId="0" topLeftCell="A1">
      <pane xSplit="7" topLeftCell="H1" activePane="topRight" state="frozen"/>
      <selection pane="topLeft" activeCell="B73" sqref="B73"/>
      <selection pane="topRight" activeCell="B3" sqref="B3:C3"/>
    </sheetView>
  </sheetViews>
  <sheetFormatPr defaultColWidth="10.75390625" defaultRowHeight="12.75" customHeight="1"/>
  <cols>
    <col min="1" max="1" width="2.50390625" style="91" customWidth="1"/>
    <col min="2" max="2" width="2.50390625" style="1" customWidth="1"/>
    <col min="3" max="3" width="73.375" style="1" customWidth="1"/>
    <col min="4" max="4" width="23.50390625" style="1" customWidth="1"/>
    <col min="5" max="5" width="9.50390625" style="37" customWidth="1"/>
    <col min="6" max="6" width="14.125" style="37" customWidth="1"/>
    <col min="7" max="7" width="2.50390625" style="47" customWidth="1"/>
    <col min="8" max="13" width="12.00390625" style="37" customWidth="1"/>
    <col min="14" max="19" width="11.625" style="107" customWidth="1"/>
    <col min="20" max="23" width="11.625" style="20" customWidth="1"/>
    <col min="24" max="87" width="11.625" style="11" customWidth="1"/>
    <col min="88" max="16384" width="10.75390625" style="1" customWidth="1"/>
  </cols>
  <sheetData>
    <row r="2" spans="1:87" s="153" customFormat="1" ht="25.5" customHeight="1">
      <c r="A2" s="88"/>
      <c r="B2" s="485" t="str">
        <f>UPPER(RIGHT(Inhaltsverzeichnis!$C$31,LEN(Inhaltsverzeichnis!$C$31)-FIND(" – ",Inhaltsverzeichnis!$C$31,1)-2))</f>
        <v>DIVERSITÉ ET ÉGALITÉ DES CHANCES</v>
      </c>
      <c r="C2" s="485"/>
      <c r="D2" s="481" t="str">
        <f>VLOOKUP(35,Textbausteine!$A$2:$E$67,Hilfsgrössen!$D$2,FALSE)</f>
        <v>retour à la table des matières</v>
      </c>
      <c r="E2" s="482"/>
      <c r="F2" s="145" t="s">
        <v>86</v>
      </c>
      <c r="G2" s="171"/>
      <c r="H2" s="92"/>
      <c r="I2" s="92"/>
      <c r="J2" s="92"/>
      <c r="K2" s="92"/>
      <c r="L2" s="92"/>
      <c r="M2" s="92"/>
      <c r="N2" s="136"/>
      <c r="O2" s="136"/>
      <c r="P2" s="136"/>
      <c r="Q2" s="136"/>
      <c r="R2" s="136"/>
      <c r="S2" s="136"/>
      <c r="T2" s="116"/>
      <c r="U2" s="116"/>
      <c r="V2" s="116"/>
      <c r="W2" s="116"/>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row>
    <row r="3" spans="1:87" s="154" customFormat="1" ht="25.5" customHeight="1">
      <c r="A3" s="89"/>
      <c r="B3" s="486" t="str">
        <f>UPPER("GRI "&amp;LEFT(Inhaltsverzeichnis!$C$31,3))</f>
        <v>GRI 405</v>
      </c>
      <c r="C3" s="486"/>
      <c r="E3" s="38"/>
      <c r="F3" s="38"/>
      <c r="G3" s="45"/>
      <c r="H3" s="38"/>
      <c r="I3" s="38"/>
      <c r="J3" s="38"/>
      <c r="K3" s="38"/>
      <c r="L3" s="38"/>
      <c r="M3" s="38"/>
      <c r="N3" s="136"/>
      <c r="O3" s="136"/>
      <c r="P3" s="136"/>
      <c r="Q3" s="136"/>
      <c r="R3" s="136"/>
      <c r="S3" s="136"/>
      <c r="T3" s="116"/>
      <c r="U3" s="116"/>
      <c r="V3" s="116"/>
      <c r="W3" s="116"/>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row>
    <row r="6" spans="1:87" s="31" customFormat="1" ht="12.75" customHeight="1">
      <c r="A6" s="90"/>
      <c r="B6" s="31" t="str">
        <f>VLOOKUP(31,Textbausteine!$A$2:$E$67,Hilfsgrössen!$D$2,FALSE)</f>
        <v>Divulgations</v>
      </c>
      <c r="E6" s="39"/>
      <c r="F6" s="39"/>
      <c r="G6" s="46"/>
      <c r="H6" s="39"/>
      <c r="I6" s="39"/>
      <c r="J6" s="39"/>
      <c r="K6" s="39"/>
      <c r="L6" s="39"/>
      <c r="M6" s="39"/>
      <c r="N6" s="107"/>
      <c r="O6" s="107"/>
      <c r="P6" s="107"/>
      <c r="Q6" s="107"/>
      <c r="R6" s="107"/>
      <c r="S6" s="107"/>
      <c r="T6" s="20"/>
      <c r="U6" s="20"/>
      <c r="V6" s="20"/>
      <c r="W6" s="20"/>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row>
    <row r="7" spans="1:87" ht="12" customHeight="1">
      <c r="A7" s="81"/>
      <c r="B7" s="2"/>
      <c r="C7" s="148" t="str">
        <f>VLOOKUP(1,Textbausteine!$BO$2:$BS$151,Hilfsgrössen!$D$2,FALSE)</f>
        <v>Femmes au sein du management</v>
      </c>
      <c r="D7" s="4"/>
      <c r="N7" s="37"/>
      <c r="O7" s="37"/>
      <c r="P7" s="37"/>
      <c r="Q7" s="37"/>
      <c r="R7" s="37"/>
      <c r="S7" s="37"/>
      <c r="W7" s="112"/>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row>
    <row r="8" spans="1:87" ht="12" customHeight="1">
      <c r="A8" s="81"/>
      <c r="B8" s="2"/>
      <c r="C8" s="148" t="str">
        <f>VLOOKUP(2,Textbausteine!$BO$2:$BS$151,Hilfsgrössen!$D$2,FALSE)</f>
        <v>Diversité linguistique</v>
      </c>
      <c r="D8" s="4"/>
      <c r="N8" s="37"/>
      <c r="O8" s="37"/>
      <c r="P8" s="37"/>
      <c r="Q8" s="37"/>
      <c r="R8" s="37"/>
      <c r="S8" s="37"/>
      <c r="W8" s="11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row>
    <row r="9" spans="1:87" ht="12" customHeight="1">
      <c r="A9" s="81"/>
      <c r="B9" s="2"/>
      <c r="C9" s="148" t="str">
        <f>VLOOKUP(3,Textbausteine!$BO$2:$BS$151,Hilfsgrössen!$D$2,FALSE)</f>
        <v>Nationalité</v>
      </c>
      <c r="D9" s="4"/>
      <c r="E9" s="40"/>
      <c r="F9" s="40"/>
      <c r="G9" s="48"/>
      <c r="N9" s="37"/>
      <c r="O9" s="37"/>
      <c r="P9" s="37"/>
      <c r="Q9" s="37"/>
      <c r="R9" s="37"/>
      <c r="S9" s="37"/>
      <c r="W9" s="112"/>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row>
    <row r="10" spans="1:87" ht="12" customHeight="1">
      <c r="A10" s="81"/>
      <c r="B10" s="2"/>
      <c r="C10" s="148" t="str">
        <f>VLOOKUP(4,Textbausteine!$BO$2:$BS$151,Hilfsgrössen!$D$2,FALSE)</f>
        <v>Démographie (pyramide des âges)</v>
      </c>
      <c r="D10" s="4"/>
      <c r="E10" s="40"/>
      <c r="F10" s="40"/>
      <c r="G10" s="48"/>
      <c r="N10" s="37"/>
      <c r="O10" s="37"/>
      <c r="P10" s="37"/>
      <c r="Q10" s="37"/>
      <c r="R10" s="37"/>
      <c r="S10" s="37"/>
      <c r="W10" s="112"/>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row>
    <row r="11" spans="2:13" ht="12.75" customHeight="1">
      <c r="B11" s="2"/>
      <c r="H11" s="114"/>
      <c r="I11" s="114"/>
      <c r="J11" s="114"/>
      <c r="K11" s="114"/>
      <c r="L11" s="114"/>
      <c r="M11" s="114"/>
    </row>
    <row r="12" ht="12.75" customHeight="1">
      <c r="B12" s="2"/>
    </row>
    <row r="13" spans="1:87" s="31" customFormat="1" ht="12.75" customHeight="1">
      <c r="A13" s="56" t="s">
        <v>807</v>
      </c>
      <c r="B13" s="480" t="str">
        <f>$C$7</f>
        <v>Femmes au sein du management</v>
      </c>
      <c r="C13" s="480"/>
      <c r="D13" s="6" t="str">
        <f>VLOOKUP(32,Textbausteine!$A$2:$E$67,Hilfsgrössen!$D$2,FALSE)</f>
        <v>Unité</v>
      </c>
      <c r="E13" s="39" t="str">
        <f>VLOOKUP(33,Textbausteine!$A$2:$E$67,Hilfsgrössen!$D$2,FALSE)</f>
        <v>Notes</v>
      </c>
      <c r="F13" s="39" t="str">
        <f>VLOOKUP(34,Textbausteine!$A$2:$E$67,Hilfsgrössen!$D$2,FALSE)</f>
        <v>GRI</v>
      </c>
      <c r="G13" s="47"/>
      <c r="H13" s="113">
        <v>2004</v>
      </c>
      <c r="I13" s="113">
        <v>2005</v>
      </c>
      <c r="J13" s="113">
        <v>2006</v>
      </c>
      <c r="K13" s="113">
        <v>2007</v>
      </c>
      <c r="L13" s="113">
        <v>2008</v>
      </c>
      <c r="M13" s="113">
        <v>2009</v>
      </c>
      <c r="N13" s="117">
        <v>2010</v>
      </c>
      <c r="O13" s="117">
        <v>2011</v>
      </c>
      <c r="P13" s="117">
        <v>2012</v>
      </c>
      <c r="Q13" s="117">
        <v>2013</v>
      </c>
      <c r="R13" s="117">
        <v>2014</v>
      </c>
      <c r="S13" s="117">
        <v>2015</v>
      </c>
      <c r="T13" s="117">
        <v>2016</v>
      </c>
      <c r="U13" s="117">
        <v>2017</v>
      </c>
      <c r="V13" s="117">
        <v>2018</v>
      </c>
      <c r="W13" s="245">
        <v>2019</v>
      </c>
      <c r="X13" s="7"/>
      <c r="Y13" s="7"/>
      <c r="Z13" s="7"/>
      <c r="AA13" s="7"/>
      <c r="AB13" s="7"/>
      <c r="AC13" s="7"/>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row>
    <row r="14" spans="1:87" s="31" customFormat="1" ht="12.75" customHeight="1">
      <c r="A14" s="90"/>
      <c r="B14" s="480"/>
      <c r="C14" s="480"/>
      <c r="D14" s="6"/>
      <c r="E14" s="40"/>
      <c r="F14" s="40"/>
      <c r="G14" s="47"/>
      <c r="H14" s="115"/>
      <c r="I14" s="115"/>
      <c r="J14" s="115"/>
      <c r="K14" s="115"/>
      <c r="L14" s="115"/>
      <c r="M14" s="115"/>
      <c r="N14" s="143"/>
      <c r="O14" s="143"/>
      <c r="P14" s="143"/>
      <c r="Q14" s="143"/>
      <c r="R14" s="143"/>
      <c r="S14" s="143"/>
      <c r="T14" s="119"/>
      <c r="U14" s="119"/>
      <c r="V14" s="119"/>
      <c r="W14" s="246"/>
      <c r="X14" s="129"/>
      <c r="Y14" s="122"/>
      <c r="Z14" s="122"/>
      <c r="AA14" s="122"/>
      <c r="AB14" s="122"/>
      <c r="AC14" s="122"/>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row>
    <row r="15" spans="2:29" ht="12.75" customHeight="1">
      <c r="B15" s="8"/>
      <c r="C15" s="9"/>
      <c r="D15" s="9"/>
      <c r="E15" s="40"/>
      <c r="F15" s="40"/>
      <c r="G15" s="48"/>
      <c r="H15" s="115"/>
      <c r="I15" s="115"/>
      <c r="J15" s="115"/>
      <c r="K15" s="115"/>
      <c r="L15" s="115"/>
      <c r="M15" s="115"/>
      <c r="W15" s="247"/>
      <c r="X15" s="12"/>
      <c r="Y15" s="13"/>
      <c r="Z15" s="13"/>
      <c r="AA15" s="13"/>
      <c r="AB15" s="13"/>
      <c r="AC15" s="13"/>
    </row>
    <row r="16" spans="2:23" ht="12.75" customHeight="1">
      <c r="B16" s="8" t="str">
        <f>VLOOKUP(37,Textbausteine!$A$2:$E$67,Hilfsgrössen!$D$2,FALSE)</f>
        <v>Groupe Suisse</v>
      </c>
      <c r="C16" s="8"/>
      <c r="D16" s="67"/>
      <c r="E16" s="12"/>
      <c r="F16" s="11"/>
      <c r="G16" s="48"/>
      <c r="H16" s="115"/>
      <c r="I16" s="115"/>
      <c r="J16" s="115"/>
      <c r="K16" s="115"/>
      <c r="L16" s="115"/>
      <c r="M16" s="115"/>
      <c r="W16" s="247"/>
    </row>
    <row r="17" spans="3:29" ht="12.75" customHeight="1">
      <c r="C17" s="192" t="str">
        <f>VLOOKUP(31,Textbausteine!$BO$2:$BS$151,Hilfsgrössen!$D$2,FALSE)</f>
        <v>Part de femmes cadres</v>
      </c>
      <c r="D17" s="67" t="str">
        <f>VLOOKUP(11,Textbausteine!$BO$2:$BS$151,Hilfsgrössen!$D$2,FALSE)</f>
        <v>% des personnes</v>
      </c>
      <c r="E17" s="11" t="s">
        <v>1612</v>
      </c>
      <c r="F17" s="11" t="s">
        <v>787</v>
      </c>
      <c r="G17" s="49"/>
      <c r="H17" s="274" t="s">
        <v>1470</v>
      </c>
      <c r="I17" s="274" t="s">
        <v>1470</v>
      </c>
      <c r="J17" s="274" t="s">
        <v>1470</v>
      </c>
      <c r="K17" s="274" t="s">
        <v>1470</v>
      </c>
      <c r="L17" s="13">
        <v>20.2</v>
      </c>
      <c r="M17" s="13">
        <v>20.5</v>
      </c>
      <c r="N17" s="20">
        <v>21.5</v>
      </c>
      <c r="O17" s="20">
        <v>22.1</v>
      </c>
      <c r="P17" s="107">
        <v>21.8</v>
      </c>
      <c r="Q17" s="107">
        <v>22.7</v>
      </c>
      <c r="R17" s="137">
        <v>22.6</v>
      </c>
      <c r="S17" s="137">
        <v>22.5075798109506</v>
      </c>
      <c r="T17" s="20">
        <v>23.5</v>
      </c>
      <c r="U17" s="20">
        <v>23.2</v>
      </c>
      <c r="V17" s="20">
        <v>22.71</v>
      </c>
      <c r="W17" s="247">
        <v>23.3</v>
      </c>
      <c r="X17" s="14"/>
      <c r="Y17" s="17"/>
      <c r="Z17" s="17"/>
      <c r="AA17" s="17"/>
      <c r="AB17" s="17"/>
      <c r="AC17" s="17"/>
    </row>
    <row r="18" spans="3:28" ht="12.75" customHeight="1">
      <c r="C18" s="192" t="str">
        <f>VLOOKUP(32,Textbausteine!$BO$2:$BS$151,Hilfsgrössen!$D$2,FALSE)</f>
        <v>Part de femmes cadres échelon supérieur</v>
      </c>
      <c r="D18" s="67" t="str">
        <f>VLOOKUP(11,Textbausteine!$BO$2:$BS$151,Hilfsgrössen!$D$2,FALSE)</f>
        <v>% des personnes</v>
      </c>
      <c r="E18" s="11" t="s">
        <v>77</v>
      </c>
      <c r="F18" s="11" t="s">
        <v>787</v>
      </c>
      <c r="G18" s="49"/>
      <c r="H18" s="275">
        <v>9.2</v>
      </c>
      <c r="I18" s="275">
        <v>10.1</v>
      </c>
      <c r="J18" s="397">
        <v>9.8</v>
      </c>
      <c r="K18" s="397">
        <v>9.3</v>
      </c>
      <c r="L18" s="389">
        <v>7.7</v>
      </c>
      <c r="M18" s="389">
        <v>8.7</v>
      </c>
      <c r="N18" s="389">
        <v>8.2</v>
      </c>
      <c r="O18" s="389">
        <v>7.6</v>
      </c>
      <c r="P18" s="367">
        <v>8</v>
      </c>
      <c r="Q18" s="367">
        <v>9.3</v>
      </c>
      <c r="R18" s="408">
        <v>11</v>
      </c>
      <c r="S18" s="408">
        <v>12.3438492483591</v>
      </c>
      <c r="T18" s="421">
        <v>12.3</v>
      </c>
      <c r="U18" s="421">
        <v>13.4</v>
      </c>
      <c r="V18" s="421">
        <v>15.96</v>
      </c>
      <c r="W18" s="451">
        <v>17.1</v>
      </c>
      <c r="X18" s="14"/>
      <c r="Y18" s="14"/>
      <c r="Z18" s="14"/>
      <c r="AA18" s="14"/>
      <c r="AB18" s="14"/>
    </row>
    <row r="19" spans="3:29" ht="12.75" customHeight="1">
      <c r="C19" s="276" t="str">
        <f>VLOOKUP(33,Textbausteine!$BO$2:$BS$151,Hilfsgrössen!$D$2,FALSE)</f>
        <v>Part de femmes cadres échelons moyen et inférieur</v>
      </c>
      <c r="D19" s="67" t="str">
        <f>VLOOKUP(11,Textbausteine!$BO$2:$BS$151,Hilfsgrössen!$D$2,FALSE)</f>
        <v>% des personnes</v>
      </c>
      <c r="E19" s="11" t="s">
        <v>1612</v>
      </c>
      <c r="F19" s="11" t="s">
        <v>787</v>
      </c>
      <c r="G19" s="49"/>
      <c r="H19" s="274" t="s">
        <v>1470</v>
      </c>
      <c r="I19" s="274" t="s">
        <v>1470</v>
      </c>
      <c r="J19" s="274" t="s">
        <v>1470</v>
      </c>
      <c r="K19" s="274" t="s">
        <v>1470</v>
      </c>
      <c r="L19" s="13">
        <v>21.3</v>
      </c>
      <c r="M19" s="16">
        <v>21.5</v>
      </c>
      <c r="N19" s="20">
        <v>22.6</v>
      </c>
      <c r="O19" s="20">
        <v>23.2</v>
      </c>
      <c r="P19" s="107">
        <v>23</v>
      </c>
      <c r="Q19" s="107">
        <v>23.7</v>
      </c>
      <c r="R19" s="137">
        <v>23.6</v>
      </c>
      <c r="S19" s="137">
        <v>23.4424601242526</v>
      </c>
      <c r="T19" s="119">
        <v>24.2</v>
      </c>
      <c r="U19" s="119">
        <v>23.9</v>
      </c>
      <c r="V19" s="119">
        <v>23.22</v>
      </c>
      <c r="W19" s="246">
        <v>23.8</v>
      </c>
      <c r="X19" s="14"/>
      <c r="Y19" s="17"/>
      <c r="Z19" s="17"/>
      <c r="AA19" s="17"/>
      <c r="AB19" s="17"/>
      <c r="AC19" s="17"/>
    </row>
    <row r="20" spans="3:28" ht="12.75" customHeight="1">
      <c r="C20" s="192" t="str">
        <f>VLOOKUP(34,Textbausteine!$BO$2:$BS$151,Hilfsgrössen!$D$2,FALSE)</f>
        <v>Part de femmes au Conseil d'administration (CA) de La Poste Suisse SA</v>
      </c>
      <c r="D20" s="67" t="str">
        <f>VLOOKUP(11,Textbausteine!$BO$2:$BS$151,Hilfsgrössen!$D$2,FALSE)</f>
        <v>% des personnes</v>
      </c>
      <c r="E20" s="11">
        <v>1</v>
      </c>
      <c r="F20" s="11" t="s">
        <v>787</v>
      </c>
      <c r="G20" s="49"/>
      <c r="H20" s="277">
        <v>10</v>
      </c>
      <c r="I20" s="277">
        <v>10</v>
      </c>
      <c r="J20" s="277">
        <v>20</v>
      </c>
      <c r="K20" s="277">
        <v>22.2</v>
      </c>
      <c r="L20" s="224">
        <v>20</v>
      </c>
      <c r="M20" s="16">
        <v>25</v>
      </c>
      <c r="N20" s="20">
        <v>22.2</v>
      </c>
      <c r="O20" s="20">
        <v>22.2</v>
      </c>
      <c r="P20" s="138">
        <v>22.2</v>
      </c>
      <c r="Q20" s="107">
        <v>22.2</v>
      </c>
      <c r="R20" s="137">
        <v>33.3</v>
      </c>
      <c r="S20" s="137">
        <v>33.3</v>
      </c>
      <c r="T20" s="20">
        <v>33.3</v>
      </c>
      <c r="U20" s="20">
        <v>33.3</v>
      </c>
      <c r="V20" s="20">
        <v>33.3</v>
      </c>
      <c r="W20" s="247">
        <v>33.3</v>
      </c>
      <c r="X20" s="14"/>
      <c r="Y20" s="17"/>
      <c r="Z20" s="17"/>
      <c r="AA20" s="17"/>
      <c r="AB20" s="17"/>
    </row>
    <row r="21" spans="3:29" ht="12.75" customHeight="1">
      <c r="C21" s="192" t="str">
        <f>VLOOKUP(35,Textbausteine!$BO$2:$BS$151,Hilfsgrössen!$D$2,FALSE)</f>
        <v>Part de femmes à la Direction du groupe (DG) La Poste Suisse SA</v>
      </c>
      <c r="D21" s="67" t="str">
        <f>VLOOKUP(11,Textbausteine!$BO$2:$BS$151,Hilfsgrössen!$D$2,FALSE)</f>
        <v>% des personnes</v>
      </c>
      <c r="E21" s="11">
        <v>1</v>
      </c>
      <c r="F21" s="11" t="s">
        <v>787</v>
      </c>
      <c r="G21" s="49"/>
      <c r="H21" s="277">
        <v>0</v>
      </c>
      <c r="I21" s="277">
        <v>0</v>
      </c>
      <c r="J21" s="277">
        <v>0</v>
      </c>
      <c r="K21" s="277">
        <v>0</v>
      </c>
      <c r="L21" s="224">
        <v>0</v>
      </c>
      <c r="M21" s="16">
        <v>0</v>
      </c>
      <c r="N21" s="20">
        <v>0</v>
      </c>
      <c r="O21" s="20">
        <v>0</v>
      </c>
      <c r="P21" s="107">
        <v>11.1</v>
      </c>
      <c r="Q21" s="107">
        <v>12.5</v>
      </c>
      <c r="R21" s="137">
        <v>12.5</v>
      </c>
      <c r="S21" s="137">
        <v>12.1</v>
      </c>
      <c r="T21" s="107">
        <v>11.1</v>
      </c>
      <c r="U21" s="107">
        <v>20.5</v>
      </c>
      <c r="V21" s="107">
        <v>22.86</v>
      </c>
      <c r="W21" s="248">
        <v>11.1</v>
      </c>
      <c r="X21" s="14"/>
      <c r="Y21" s="17"/>
      <c r="Z21" s="17"/>
      <c r="AA21" s="17"/>
      <c r="AB21" s="17"/>
      <c r="AC21" s="17"/>
    </row>
    <row r="22" spans="3:29" ht="12.75" customHeight="1">
      <c r="C22" s="192" t="str">
        <f>VLOOKUP(36,Textbausteine!$BO$2:$BS$151,Hilfsgrössen!$D$2,FALSE)</f>
        <v>Part de femmes aux CA, à la DG et dans les organes de direction du groupe</v>
      </c>
      <c r="D22" s="67" t="str">
        <f>VLOOKUP(11,Textbausteine!$BO$2:$BS$151,Hilfsgrössen!$D$2,FALSE)</f>
        <v>% des personnes</v>
      </c>
      <c r="E22" s="11" t="s">
        <v>77</v>
      </c>
      <c r="F22" s="11" t="s">
        <v>787</v>
      </c>
      <c r="G22" s="49"/>
      <c r="H22" s="277">
        <v>5.3</v>
      </c>
      <c r="I22" s="277">
        <v>5.3</v>
      </c>
      <c r="J22" s="277">
        <v>10</v>
      </c>
      <c r="K22" s="277">
        <v>11.1</v>
      </c>
      <c r="L22" s="72">
        <v>10.5</v>
      </c>
      <c r="M22" s="16">
        <v>11.8</v>
      </c>
      <c r="N22" s="20">
        <v>11.1</v>
      </c>
      <c r="O22" s="20">
        <v>11.1</v>
      </c>
      <c r="P22" s="107">
        <v>13.5</v>
      </c>
      <c r="Q22" s="107">
        <v>15.8</v>
      </c>
      <c r="R22" s="107">
        <v>18.4</v>
      </c>
      <c r="S22" s="137">
        <v>18.4</v>
      </c>
      <c r="T22" s="107">
        <v>21.1</v>
      </c>
      <c r="U22" s="107">
        <v>26.3</v>
      </c>
      <c r="V22" s="107">
        <v>23</v>
      </c>
      <c r="W22" s="248">
        <v>26.4</v>
      </c>
      <c r="X22" s="13"/>
      <c r="AC22" s="17"/>
    </row>
    <row r="23" spans="1:87" s="9" customFormat="1" ht="12.75" customHeight="1">
      <c r="A23" s="147"/>
      <c r="C23" s="192"/>
      <c r="D23" s="67"/>
      <c r="E23" s="11"/>
      <c r="F23" s="11"/>
      <c r="G23" s="49"/>
      <c r="H23" s="277"/>
      <c r="I23" s="277"/>
      <c r="J23" s="277"/>
      <c r="K23" s="277"/>
      <c r="L23" s="72"/>
      <c r="M23" s="16"/>
      <c r="N23" s="20"/>
      <c r="O23" s="20"/>
      <c r="P23" s="107"/>
      <c r="Q23" s="107"/>
      <c r="R23" s="107"/>
      <c r="S23" s="137"/>
      <c r="T23" s="107"/>
      <c r="U23" s="107"/>
      <c r="V23" s="107"/>
      <c r="W23" s="107"/>
      <c r="X23" s="13"/>
      <c r="Y23" s="11"/>
      <c r="Z23" s="11"/>
      <c r="AA23" s="11"/>
      <c r="AB23" s="11"/>
      <c r="AC23" s="17"/>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row>
    <row r="24" spans="2:23" ht="12.75" customHeight="1">
      <c r="B24" s="26" t="str">
        <f>VLOOKUP(131,Textbausteine!$BO$2:$BS$151,Hilfsgrössen!$D$2,FALSE)</f>
        <v>1) Valeurs annuelles moyennes</v>
      </c>
      <c r="E24" s="11"/>
      <c r="F24" s="11"/>
      <c r="G24" s="49"/>
      <c r="H24" s="69"/>
      <c r="I24" s="69"/>
      <c r="J24" s="69"/>
      <c r="K24" s="69"/>
      <c r="L24" s="69"/>
      <c r="M24" s="69"/>
      <c r="T24" s="107"/>
      <c r="U24" s="107"/>
      <c r="V24" s="107"/>
      <c r="W24" s="107"/>
    </row>
    <row r="25" spans="2:23" ht="12.75" customHeight="1">
      <c r="B25" s="26" t="str">
        <f>VLOOKUP(132,Textbausteine!$BO$2:$BS$151,Hilfsgrössen!$D$2,FALSE)</f>
        <v>2) Groupe Suisse: données provenant du système du personnel; actuellement sans les données de 1000 unités de personnel ou 6113 personnes des sociétés du groupe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et notime Schweiz AG.</v>
      </c>
      <c r="E25" s="11"/>
      <c r="F25" s="11"/>
      <c r="G25" s="49"/>
      <c r="H25" s="69"/>
      <c r="I25" s="69"/>
      <c r="J25" s="69"/>
      <c r="K25" s="69"/>
      <c r="L25" s="69"/>
      <c r="M25" s="69"/>
      <c r="T25" s="107"/>
      <c r="U25" s="107"/>
      <c r="V25" s="107"/>
      <c r="W25" s="107"/>
    </row>
    <row r="26" spans="2:23" ht="12.75" customHeight="1">
      <c r="B26" s="26" t="str">
        <f>VLOOKUP(133,Textbausteine!$BO$2:$BS$151,Hilfsgrössen!$D$2,FALSE)</f>
        <v>3) Les cadres sont des collaborateurs qui exercent des fonctions de direction ou de spécialistes ou d'autres fonctions supérieures.</v>
      </c>
      <c r="E26" s="11"/>
      <c r="F26" s="11"/>
      <c r="G26" s="49"/>
      <c r="H26" s="69"/>
      <c r="I26" s="69"/>
      <c r="J26" s="69"/>
      <c r="K26" s="69"/>
      <c r="L26" s="69"/>
      <c r="M26" s="69"/>
      <c r="T26" s="107"/>
      <c r="U26" s="107"/>
      <c r="V26" s="107"/>
      <c r="W26" s="107"/>
    </row>
    <row r="27" spans="5:23" ht="12.75" customHeight="1">
      <c r="E27" s="11"/>
      <c r="F27" s="11"/>
      <c r="G27" s="49"/>
      <c r="H27" s="69"/>
      <c r="I27" s="69"/>
      <c r="J27" s="69"/>
      <c r="K27" s="69"/>
      <c r="L27" s="69"/>
      <c r="M27" s="69"/>
      <c r="T27" s="107"/>
      <c r="U27" s="107"/>
      <c r="V27" s="107"/>
      <c r="W27" s="107"/>
    </row>
    <row r="28" spans="5:23" ht="12.75" customHeight="1">
      <c r="E28" s="11"/>
      <c r="F28" s="11"/>
      <c r="G28" s="49"/>
      <c r="H28" s="69"/>
      <c r="I28" s="69"/>
      <c r="J28" s="69"/>
      <c r="K28" s="69"/>
      <c r="L28" s="69"/>
      <c r="M28" s="69"/>
      <c r="T28" s="107"/>
      <c r="U28" s="107"/>
      <c r="V28" s="107"/>
      <c r="W28" s="107"/>
    </row>
    <row r="29" spans="1:87" s="31" customFormat="1" ht="12.75" customHeight="1">
      <c r="A29" s="56" t="s">
        <v>807</v>
      </c>
      <c r="B29" s="480" t="str">
        <f>$C$8</f>
        <v>Diversité linguistique</v>
      </c>
      <c r="C29" s="480"/>
      <c r="D29" s="6" t="str">
        <f>VLOOKUP(32,Textbausteine!$A$2:$E$67,Hilfsgrössen!$D$2,FALSE)</f>
        <v>Unité</v>
      </c>
      <c r="E29" s="39" t="str">
        <f>VLOOKUP(33,Textbausteine!$A$2:$E$67,Hilfsgrössen!$D$2,FALSE)</f>
        <v>Notes</v>
      </c>
      <c r="F29" s="39" t="str">
        <f>VLOOKUP(34,Textbausteine!$A$2:$E$67,Hilfsgrössen!$D$2,FALSE)</f>
        <v>GRI</v>
      </c>
      <c r="G29" s="47"/>
      <c r="H29" s="117">
        <v>2004</v>
      </c>
      <c r="I29" s="117">
        <v>2005</v>
      </c>
      <c r="J29" s="117">
        <v>2006</v>
      </c>
      <c r="K29" s="117">
        <v>2007</v>
      </c>
      <c r="L29" s="117">
        <v>2008</v>
      </c>
      <c r="M29" s="117">
        <v>2009</v>
      </c>
      <c r="N29" s="117">
        <v>2010</v>
      </c>
      <c r="O29" s="117">
        <v>2011</v>
      </c>
      <c r="P29" s="117">
        <v>2012</v>
      </c>
      <c r="Q29" s="117">
        <v>2013</v>
      </c>
      <c r="R29" s="117">
        <v>2014</v>
      </c>
      <c r="S29" s="117">
        <v>2015</v>
      </c>
      <c r="T29" s="117">
        <v>2016</v>
      </c>
      <c r="U29" s="117">
        <v>2017</v>
      </c>
      <c r="V29" s="117">
        <v>2018</v>
      </c>
      <c r="W29" s="245">
        <v>2019</v>
      </c>
      <c r="X29" s="7"/>
      <c r="Y29" s="7"/>
      <c r="Z29" s="7"/>
      <c r="AA29" s="7"/>
      <c r="AB29" s="7"/>
      <c r="AC29" s="7"/>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row>
    <row r="30" spans="1:87" s="31" customFormat="1" ht="12.75" customHeight="1">
      <c r="A30" s="90"/>
      <c r="B30" s="480"/>
      <c r="C30" s="480"/>
      <c r="D30" s="6"/>
      <c r="E30" s="40"/>
      <c r="F30" s="40"/>
      <c r="G30" s="47"/>
      <c r="H30" s="69"/>
      <c r="I30" s="69"/>
      <c r="J30" s="69"/>
      <c r="K30" s="69"/>
      <c r="L30" s="69"/>
      <c r="M30" s="69"/>
      <c r="N30" s="143"/>
      <c r="O30" s="143"/>
      <c r="P30" s="143"/>
      <c r="Q30" s="143"/>
      <c r="R30" s="143"/>
      <c r="S30" s="143"/>
      <c r="T30" s="119"/>
      <c r="U30" s="119"/>
      <c r="V30" s="119"/>
      <c r="W30" s="246"/>
      <c r="X30" s="129"/>
      <c r="Y30" s="122"/>
      <c r="Z30" s="122"/>
      <c r="AA30" s="122"/>
      <c r="AB30" s="122"/>
      <c r="AC30" s="122"/>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row>
    <row r="31" spans="2:29" ht="12.75" customHeight="1">
      <c r="B31" s="8"/>
      <c r="C31" s="9"/>
      <c r="D31" s="9"/>
      <c r="E31" s="40"/>
      <c r="F31" s="40"/>
      <c r="G31" s="48"/>
      <c r="H31" s="69"/>
      <c r="I31" s="69"/>
      <c r="J31" s="69"/>
      <c r="K31" s="69"/>
      <c r="L31" s="69"/>
      <c r="M31" s="69"/>
      <c r="W31" s="247"/>
      <c r="X31" s="12"/>
      <c r="Y31" s="13"/>
      <c r="Z31" s="13"/>
      <c r="AA31" s="13"/>
      <c r="AB31" s="13"/>
      <c r="AC31" s="13"/>
    </row>
    <row r="32" spans="2:23" ht="12.75" customHeight="1">
      <c r="B32" s="8" t="str">
        <f>VLOOKUP(37,Textbausteine!$A$2:$E$67,Hilfsgrössen!$D$2,FALSE)</f>
        <v>Groupe Suisse</v>
      </c>
      <c r="C32" s="8"/>
      <c r="D32" s="67"/>
      <c r="E32" s="12"/>
      <c r="F32" s="11"/>
      <c r="G32" s="48"/>
      <c r="H32" s="71"/>
      <c r="I32" s="71"/>
      <c r="J32" s="71"/>
      <c r="K32" s="71"/>
      <c r="L32" s="71"/>
      <c r="M32" s="71"/>
      <c r="W32" s="247"/>
    </row>
    <row r="33" spans="3:23" ht="12.75" customHeight="1">
      <c r="C33" s="192" t="str">
        <f>VLOOKUP(51,Textbausteine!$BO$2:$BS$151,Hilfsgrössen!$D$2,FALSE)</f>
        <v>Langue maternelle allemande</v>
      </c>
      <c r="D33" s="236" t="str">
        <f>VLOOKUP(11,Textbausteine!$BO$2:$BS$151,Hilfsgrössen!$D$2,FALSE)</f>
        <v>% des personnes</v>
      </c>
      <c r="E33" s="11" t="s">
        <v>1612</v>
      </c>
      <c r="F33" s="11" t="s">
        <v>787</v>
      </c>
      <c r="G33" s="49"/>
      <c r="H33" s="241">
        <v>67</v>
      </c>
      <c r="I33" s="241">
        <v>67</v>
      </c>
      <c r="J33" s="241">
        <v>67.1</v>
      </c>
      <c r="K33" s="241">
        <v>67</v>
      </c>
      <c r="L33" s="278">
        <v>66.9</v>
      </c>
      <c r="M33" s="222">
        <v>67.6</v>
      </c>
      <c r="N33" s="107">
        <v>72</v>
      </c>
      <c r="O33" s="107">
        <v>73.1</v>
      </c>
      <c r="P33" s="107">
        <v>72.1</v>
      </c>
      <c r="Q33" s="107">
        <v>71.8445</v>
      </c>
      <c r="R33" s="107">
        <v>71.2</v>
      </c>
      <c r="S33" s="107">
        <v>70.7</v>
      </c>
      <c r="T33" s="107">
        <v>70.5</v>
      </c>
      <c r="U33" s="107">
        <v>70.2</v>
      </c>
      <c r="V33" s="107">
        <v>69.81</v>
      </c>
      <c r="W33" s="248">
        <v>68.8</v>
      </c>
    </row>
    <row r="34" spans="3:23" ht="12.75" customHeight="1">
      <c r="C34" s="192" t="str">
        <f>VLOOKUP(52,Textbausteine!$BO$2:$BS$151,Hilfsgrössen!$D$2,FALSE)</f>
        <v>Langue maternelle française</v>
      </c>
      <c r="D34" s="67" t="str">
        <f>VLOOKUP(11,Textbausteine!$BO$2:$BS$151,Hilfsgrössen!$D$2,FALSE)</f>
        <v>% des personnes</v>
      </c>
      <c r="E34" s="11" t="s">
        <v>1612</v>
      </c>
      <c r="F34" s="11" t="s">
        <v>787</v>
      </c>
      <c r="G34" s="49"/>
      <c r="H34" s="241">
        <v>20.8</v>
      </c>
      <c r="I34" s="241">
        <v>21</v>
      </c>
      <c r="J34" s="241">
        <v>21</v>
      </c>
      <c r="K34" s="241">
        <v>20.9</v>
      </c>
      <c r="L34" s="278">
        <v>20.4</v>
      </c>
      <c r="M34" s="222">
        <v>20.2</v>
      </c>
      <c r="N34" s="107">
        <v>17.7</v>
      </c>
      <c r="O34" s="107">
        <v>17.5</v>
      </c>
      <c r="P34" s="107">
        <v>17.3</v>
      </c>
      <c r="Q34" s="107">
        <v>17.13615</v>
      </c>
      <c r="R34" s="107">
        <v>17.3</v>
      </c>
      <c r="S34" s="107">
        <v>17.2</v>
      </c>
      <c r="T34" s="107">
        <v>17</v>
      </c>
      <c r="U34" s="107">
        <v>16.8</v>
      </c>
      <c r="V34" s="107">
        <v>16.57</v>
      </c>
      <c r="W34" s="248">
        <v>16.5</v>
      </c>
    </row>
    <row r="35" spans="3:23" ht="12.75" customHeight="1">
      <c r="C35" s="192" t="str">
        <f>VLOOKUP(53,Textbausteine!$BO$2:$BS$151,Hilfsgrössen!$D$2,FALSE)</f>
        <v>Langue maternelle italienne</v>
      </c>
      <c r="D35" s="67" t="str">
        <f>VLOOKUP(11,Textbausteine!$BO$2:$BS$151,Hilfsgrössen!$D$2,FALSE)</f>
        <v>% des personnes</v>
      </c>
      <c r="E35" s="11" t="s">
        <v>1612</v>
      </c>
      <c r="F35" s="11" t="s">
        <v>787</v>
      </c>
      <c r="G35" s="49"/>
      <c r="H35" s="241">
        <v>7.5</v>
      </c>
      <c r="I35" s="241">
        <v>7.5</v>
      </c>
      <c r="J35" s="241">
        <v>7.5</v>
      </c>
      <c r="K35" s="241">
        <v>7.4</v>
      </c>
      <c r="L35" s="278">
        <v>7.2</v>
      </c>
      <c r="M35" s="222">
        <v>7</v>
      </c>
      <c r="N35" s="107">
        <v>6</v>
      </c>
      <c r="O35" s="107">
        <v>5.8</v>
      </c>
      <c r="P35" s="107">
        <v>5.8</v>
      </c>
      <c r="Q35" s="107">
        <v>5.8</v>
      </c>
      <c r="R35" s="107">
        <v>5.9</v>
      </c>
      <c r="S35" s="107">
        <v>6</v>
      </c>
      <c r="T35" s="107">
        <v>6</v>
      </c>
      <c r="U35" s="107">
        <v>6</v>
      </c>
      <c r="V35" s="107">
        <v>6.03</v>
      </c>
      <c r="W35" s="248">
        <v>6.07</v>
      </c>
    </row>
    <row r="36" spans="3:23" ht="12.75" customHeight="1">
      <c r="C36" s="192" t="str">
        <f>VLOOKUP(54,Textbausteine!$BO$2:$BS$151,Hilfsgrössen!$D$2,FALSE)</f>
        <v>Langue maternelle romanche</v>
      </c>
      <c r="D36" s="67" t="str">
        <f>VLOOKUP(11,Textbausteine!$BO$2:$BS$151,Hilfsgrössen!$D$2,FALSE)</f>
        <v>% des personnes</v>
      </c>
      <c r="E36" s="11" t="s">
        <v>1612</v>
      </c>
      <c r="F36" s="11" t="s">
        <v>787</v>
      </c>
      <c r="G36" s="49"/>
      <c r="H36" s="279">
        <v>1.1</v>
      </c>
      <c r="I36" s="280">
        <v>0.9</v>
      </c>
      <c r="J36" s="280">
        <v>0.8</v>
      </c>
      <c r="K36" s="280">
        <v>0.7</v>
      </c>
      <c r="L36" s="279">
        <v>0.7</v>
      </c>
      <c r="M36" s="279">
        <v>0.6</v>
      </c>
      <c r="N36" s="107">
        <v>0.5</v>
      </c>
      <c r="O36" s="107">
        <v>0.4</v>
      </c>
      <c r="P36" s="107">
        <v>0.4</v>
      </c>
      <c r="Q36" s="107">
        <v>0.4</v>
      </c>
      <c r="R36" s="107">
        <v>0.4</v>
      </c>
      <c r="S36" s="107">
        <v>0.4</v>
      </c>
      <c r="T36" s="107">
        <v>0.4</v>
      </c>
      <c r="U36" s="107">
        <v>0.4</v>
      </c>
      <c r="V36" s="107">
        <v>0.37</v>
      </c>
      <c r="W36" s="248">
        <v>0.36</v>
      </c>
    </row>
    <row r="37" spans="3:23" ht="12.75" customHeight="1">
      <c r="C37" s="192" t="str">
        <f>VLOOKUP(55,Textbausteine!$BO$2:$BS$151,Hilfsgrössen!$D$2,FALSE)</f>
        <v>Autre langue maternelle</v>
      </c>
      <c r="D37" s="236" t="str">
        <f>VLOOKUP(11,Textbausteine!$BO$2:$BS$151,Hilfsgrössen!$D$2,FALSE)</f>
        <v>% des personnes</v>
      </c>
      <c r="E37" s="11" t="s">
        <v>1612</v>
      </c>
      <c r="F37" s="11" t="s">
        <v>787</v>
      </c>
      <c r="G37" s="49"/>
      <c r="H37" s="241">
        <v>3.6000000000000085</v>
      </c>
      <c r="I37" s="241">
        <v>3.5999999999999943</v>
      </c>
      <c r="J37" s="241">
        <v>3.6000000000000085</v>
      </c>
      <c r="K37" s="241">
        <v>3.999999999999986</v>
      </c>
      <c r="L37" s="241">
        <v>4.799999999999983</v>
      </c>
      <c r="M37" s="241">
        <v>4.6000000000000085</v>
      </c>
      <c r="N37" s="107">
        <v>3.8</v>
      </c>
      <c r="O37" s="107">
        <v>3.200000000000003</v>
      </c>
      <c r="P37" s="107">
        <v>4.4</v>
      </c>
      <c r="Q37" s="107">
        <v>4.8</v>
      </c>
      <c r="R37" s="107">
        <v>5.3</v>
      </c>
      <c r="S37" s="107">
        <v>5.7</v>
      </c>
      <c r="T37" s="107">
        <v>6.1</v>
      </c>
      <c r="U37" s="107">
        <v>6.6</v>
      </c>
      <c r="V37" s="107">
        <v>7.23</v>
      </c>
      <c r="W37" s="248">
        <v>8.18</v>
      </c>
    </row>
    <row r="38" spans="1:87" s="9" customFormat="1" ht="12.75" customHeight="1">
      <c r="A38" s="147"/>
      <c r="C38" s="192"/>
      <c r="D38" s="67"/>
      <c r="E38" s="11"/>
      <c r="F38" s="11"/>
      <c r="G38" s="49"/>
      <c r="H38" s="241"/>
      <c r="I38" s="241"/>
      <c r="J38" s="241"/>
      <c r="K38" s="241"/>
      <c r="L38" s="241"/>
      <c r="M38" s="241"/>
      <c r="N38" s="107"/>
      <c r="O38" s="107"/>
      <c r="P38" s="107"/>
      <c r="Q38" s="107"/>
      <c r="R38" s="107"/>
      <c r="S38" s="107"/>
      <c r="T38" s="137"/>
      <c r="U38" s="137"/>
      <c r="V38" s="137"/>
      <c r="W38" s="137"/>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row>
    <row r="39" spans="2:23" ht="12.75" customHeight="1">
      <c r="B39" s="26" t="str">
        <f>VLOOKUP(141,Textbausteine!$BO$2:$BS$151,Hilfsgrössen!$D$2,FALSE)</f>
        <v>1) Valeurs annuelles moyennes</v>
      </c>
      <c r="E39" s="11"/>
      <c r="F39" s="11"/>
      <c r="G39" s="49"/>
      <c r="H39" s="69"/>
      <c r="I39" s="69"/>
      <c r="J39" s="69"/>
      <c r="K39" s="69"/>
      <c r="L39" s="69"/>
      <c r="M39" s="69"/>
      <c r="T39" s="107"/>
      <c r="U39" s="107"/>
      <c r="V39" s="107"/>
      <c r="W39" s="107"/>
    </row>
    <row r="40" spans="2:23" ht="12.75" customHeight="1">
      <c r="B40" s="26" t="str">
        <f>VLOOKUP(142,Textbausteine!$BO$2:$BS$151,Hilfsgrössen!$D$2,FALSE)</f>
        <v>2) Groupe Suisse: données provenant du système du personnel; actuellement sans les données de 1000 unités de personnel ou 6113 personnes des sociétés du groupe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et notime Schweiz AG.</v>
      </c>
      <c r="E40" s="11"/>
      <c r="F40" s="11"/>
      <c r="G40" s="49"/>
      <c r="H40" s="69"/>
      <c r="I40" s="69"/>
      <c r="J40" s="69"/>
      <c r="K40" s="69"/>
      <c r="L40" s="69"/>
      <c r="M40" s="69"/>
      <c r="T40" s="107"/>
      <c r="U40" s="107"/>
      <c r="V40" s="107"/>
      <c r="W40" s="107"/>
    </row>
    <row r="41" spans="2:23" ht="12.75" customHeight="1">
      <c r="B41" s="26" t="str">
        <f>VLOOKUP(143,Textbausteine!$BO$2:$BS$151,Hilfsgrössen!$D$2,FALSE)</f>
        <v>3) Sans les apprentis</v>
      </c>
      <c r="E41" s="11"/>
      <c r="F41" s="11"/>
      <c r="G41" s="49"/>
      <c r="H41" s="69"/>
      <c r="I41" s="69"/>
      <c r="J41" s="69"/>
      <c r="K41" s="69"/>
      <c r="L41" s="69"/>
      <c r="M41" s="69"/>
      <c r="T41" s="107"/>
      <c r="U41" s="107"/>
      <c r="V41" s="107"/>
      <c r="W41" s="107"/>
    </row>
    <row r="42" spans="3:23" ht="12.75" customHeight="1">
      <c r="C42" s="192"/>
      <c r="D42" s="236"/>
      <c r="E42" s="11"/>
      <c r="F42" s="11"/>
      <c r="G42" s="49"/>
      <c r="H42" s="241"/>
      <c r="I42" s="241"/>
      <c r="J42" s="241"/>
      <c r="K42" s="241"/>
      <c r="L42" s="241"/>
      <c r="M42" s="241"/>
      <c r="T42" s="137"/>
      <c r="U42" s="137"/>
      <c r="V42" s="137"/>
      <c r="W42" s="137"/>
    </row>
    <row r="43" spans="5:23" ht="12.75" customHeight="1">
      <c r="E43" s="11"/>
      <c r="F43" s="11"/>
      <c r="G43" s="49"/>
      <c r="T43" s="137"/>
      <c r="U43" s="137"/>
      <c r="V43" s="137"/>
      <c r="W43" s="137"/>
    </row>
    <row r="44" spans="1:87" s="31" customFormat="1" ht="12.75" customHeight="1">
      <c r="A44" s="56" t="s">
        <v>807</v>
      </c>
      <c r="B44" s="480" t="str">
        <f>$C$9</f>
        <v>Nationalité</v>
      </c>
      <c r="C44" s="480"/>
      <c r="D44" s="6" t="str">
        <f>VLOOKUP(32,Textbausteine!$A$2:$E$67,Hilfsgrössen!$D$2,FALSE)</f>
        <v>Unité</v>
      </c>
      <c r="E44" s="39" t="str">
        <f>VLOOKUP(33,Textbausteine!$A$2:$E$67,Hilfsgrössen!$D$2,FALSE)</f>
        <v>Notes</v>
      </c>
      <c r="F44" s="39" t="str">
        <f>VLOOKUP(34,Textbausteine!$A$2:$E$67,Hilfsgrössen!$D$2,FALSE)</f>
        <v>GRI</v>
      </c>
      <c r="G44" s="47"/>
      <c r="H44" s="117">
        <v>2004</v>
      </c>
      <c r="I44" s="117">
        <v>2005</v>
      </c>
      <c r="J44" s="117">
        <v>2006</v>
      </c>
      <c r="K44" s="117">
        <v>2007</v>
      </c>
      <c r="L44" s="117">
        <v>2008</v>
      </c>
      <c r="M44" s="117">
        <v>2009</v>
      </c>
      <c r="N44" s="117">
        <v>2010</v>
      </c>
      <c r="O44" s="117">
        <v>2011</v>
      </c>
      <c r="P44" s="117">
        <v>2012</v>
      </c>
      <c r="Q44" s="117">
        <v>2013</v>
      </c>
      <c r="R44" s="117">
        <v>2014</v>
      </c>
      <c r="S44" s="117">
        <v>2015</v>
      </c>
      <c r="T44" s="117">
        <v>2016</v>
      </c>
      <c r="U44" s="117">
        <v>2017</v>
      </c>
      <c r="V44" s="117">
        <v>2018</v>
      </c>
      <c r="W44" s="245">
        <v>2019</v>
      </c>
      <c r="X44" s="7"/>
      <c r="Y44" s="7"/>
      <c r="Z44" s="7"/>
      <c r="AA44" s="7"/>
      <c r="AB44" s="7"/>
      <c r="AC44" s="7"/>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row>
    <row r="45" spans="1:87" s="31" customFormat="1" ht="12.75" customHeight="1">
      <c r="A45" s="90"/>
      <c r="B45" s="480"/>
      <c r="C45" s="480"/>
      <c r="D45" s="6"/>
      <c r="E45" s="40"/>
      <c r="F45" s="40"/>
      <c r="G45" s="47"/>
      <c r="H45" s="69"/>
      <c r="I45" s="69"/>
      <c r="J45" s="69"/>
      <c r="K45" s="69"/>
      <c r="L45" s="69"/>
      <c r="M45" s="69"/>
      <c r="N45" s="143"/>
      <c r="O45" s="143"/>
      <c r="P45" s="143"/>
      <c r="Q45" s="143"/>
      <c r="R45" s="143"/>
      <c r="S45" s="143"/>
      <c r="T45" s="119"/>
      <c r="U45" s="119"/>
      <c r="V45" s="119"/>
      <c r="W45" s="246"/>
      <c r="X45" s="129"/>
      <c r="Y45" s="122"/>
      <c r="Z45" s="122"/>
      <c r="AA45" s="122"/>
      <c r="AB45" s="122"/>
      <c r="AC45" s="122"/>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c r="BT45" s="128"/>
      <c r="BU45" s="128"/>
      <c r="BV45" s="128"/>
      <c r="BW45" s="128"/>
      <c r="BX45" s="128"/>
      <c r="BY45" s="128"/>
      <c r="BZ45" s="128"/>
      <c r="CA45" s="128"/>
      <c r="CB45" s="128"/>
      <c r="CC45" s="128"/>
      <c r="CD45" s="128"/>
      <c r="CE45" s="128"/>
      <c r="CF45" s="128"/>
      <c r="CG45" s="128"/>
      <c r="CH45" s="128"/>
      <c r="CI45" s="128"/>
    </row>
    <row r="46" spans="2:29" ht="12.75" customHeight="1">
      <c r="B46" s="8"/>
      <c r="C46" s="9"/>
      <c r="D46" s="9"/>
      <c r="E46" s="40"/>
      <c r="F46" s="40"/>
      <c r="G46" s="48"/>
      <c r="H46" s="69"/>
      <c r="I46" s="69"/>
      <c r="J46" s="69"/>
      <c r="K46" s="69"/>
      <c r="L46" s="69"/>
      <c r="M46" s="69"/>
      <c r="W46" s="247"/>
      <c r="X46" s="12"/>
      <c r="Y46" s="13"/>
      <c r="Z46" s="13"/>
      <c r="AA46" s="13"/>
      <c r="AB46" s="13"/>
      <c r="AC46" s="13"/>
    </row>
    <row r="47" spans="2:23" ht="12.75" customHeight="1">
      <c r="B47" s="8" t="str">
        <f>VLOOKUP(37,Textbausteine!$A$2:$E$67,Hilfsgrössen!$D$2,FALSE)</f>
        <v>Groupe Suisse</v>
      </c>
      <c r="C47" s="8"/>
      <c r="D47" s="67"/>
      <c r="E47" s="12"/>
      <c r="F47" s="11"/>
      <c r="G47" s="48"/>
      <c r="H47" s="69"/>
      <c r="I47" s="69"/>
      <c r="J47" s="69"/>
      <c r="K47" s="69"/>
      <c r="L47" s="69"/>
      <c r="M47" s="69"/>
      <c r="W47" s="247"/>
    </row>
    <row r="48" spans="3:23" ht="12.75" customHeight="1">
      <c r="C48" s="192" t="str">
        <f>VLOOKUP(71,Textbausteine!$BO$2:$BS$151,Hilfsgrössen!$D$2,FALSE)</f>
        <v>Suisse</v>
      </c>
      <c r="D48" s="236" t="str">
        <f>VLOOKUP(11,Textbausteine!$BO$2:$BS$151,Hilfsgrössen!$D$2,FALSE)</f>
        <v>% des personnes</v>
      </c>
      <c r="E48" s="11" t="s">
        <v>1612</v>
      </c>
      <c r="F48" s="13" t="s">
        <v>787</v>
      </c>
      <c r="G48" s="49"/>
      <c r="H48" s="241">
        <v>89.1</v>
      </c>
      <c r="I48" s="241">
        <v>89.4</v>
      </c>
      <c r="J48" s="241">
        <v>89.6</v>
      </c>
      <c r="K48" s="241">
        <v>89.8</v>
      </c>
      <c r="L48" s="222">
        <v>88.8</v>
      </c>
      <c r="M48" s="222">
        <v>88.1</v>
      </c>
      <c r="N48" s="107">
        <v>87</v>
      </c>
      <c r="O48" s="107">
        <v>86.4</v>
      </c>
      <c r="P48" s="107">
        <v>85.7</v>
      </c>
      <c r="Q48" s="107">
        <v>85.1</v>
      </c>
      <c r="R48" s="107">
        <v>84.6</v>
      </c>
      <c r="S48" s="107">
        <v>84.1</v>
      </c>
      <c r="T48" s="107">
        <v>83.5</v>
      </c>
      <c r="U48" s="107">
        <v>82.9</v>
      </c>
      <c r="V48" s="107">
        <v>82.27</v>
      </c>
      <c r="W48" s="248">
        <v>81.4</v>
      </c>
    </row>
    <row r="49" spans="3:23" ht="12.75" customHeight="1">
      <c r="C49" s="192" t="str">
        <f>VLOOKUP(72,Textbausteine!$BO$2:$BS$151,Hilfsgrössen!$D$2,FALSE)</f>
        <v>Etranger</v>
      </c>
      <c r="D49" s="236" t="str">
        <f>VLOOKUP(11,Textbausteine!$BO$2:$BS$151,Hilfsgrössen!$D$2,FALSE)</f>
        <v>% des personnes</v>
      </c>
      <c r="E49" s="11" t="s">
        <v>1612</v>
      </c>
      <c r="F49" s="11" t="s">
        <v>787</v>
      </c>
      <c r="G49" s="50"/>
      <c r="H49" s="241">
        <v>10.9</v>
      </c>
      <c r="I49" s="241">
        <v>10.6</v>
      </c>
      <c r="J49" s="241">
        <v>10.4</v>
      </c>
      <c r="K49" s="241">
        <v>10.2</v>
      </c>
      <c r="L49" s="222">
        <v>11.2</v>
      </c>
      <c r="M49" s="222">
        <v>11.9</v>
      </c>
      <c r="N49" s="107">
        <v>13</v>
      </c>
      <c r="O49" s="107">
        <v>13.6</v>
      </c>
      <c r="P49" s="107">
        <v>14.299999999999997</v>
      </c>
      <c r="Q49" s="107">
        <v>14.9</v>
      </c>
      <c r="R49" s="107">
        <v>15.4</v>
      </c>
      <c r="S49" s="107">
        <v>15.900000000000006</v>
      </c>
      <c r="T49" s="107">
        <v>16.5</v>
      </c>
      <c r="U49" s="107">
        <v>17.1</v>
      </c>
      <c r="V49" s="107">
        <v>17.73</v>
      </c>
      <c r="W49" s="248">
        <v>18.6</v>
      </c>
    </row>
    <row r="50" spans="3:23" ht="12.75" customHeight="1">
      <c r="C50" s="281" t="str">
        <f>VLOOKUP(73,Textbausteine!$BO$2:$BS$151,Hilfsgrössen!$D$2,FALSE)</f>
        <v>Italie</v>
      </c>
      <c r="D50" s="236" t="str">
        <f>VLOOKUP(11,Textbausteine!$BO$2:$BS$151,Hilfsgrössen!$D$2,FALSE)</f>
        <v>% des personnes</v>
      </c>
      <c r="E50" s="11" t="s">
        <v>1612</v>
      </c>
      <c r="F50" s="11" t="s">
        <v>787</v>
      </c>
      <c r="G50" s="49"/>
      <c r="H50" s="241">
        <v>35</v>
      </c>
      <c r="I50" s="241">
        <v>35.1</v>
      </c>
      <c r="J50" s="241">
        <v>34.6</v>
      </c>
      <c r="K50" s="241">
        <v>34.3</v>
      </c>
      <c r="L50" s="278">
        <v>31.2</v>
      </c>
      <c r="M50" s="222">
        <v>29.2</v>
      </c>
      <c r="N50" s="107">
        <v>27.1</v>
      </c>
      <c r="O50" s="107">
        <v>25.9</v>
      </c>
      <c r="P50" s="107">
        <v>24.7</v>
      </c>
      <c r="Q50" s="107">
        <v>23.4</v>
      </c>
      <c r="R50" s="107">
        <v>23</v>
      </c>
      <c r="S50" s="107">
        <v>22.6</v>
      </c>
      <c r="T50" s="107">
        <v>22.1</v>
      </c>
      <c r="U50" s="107">
        <v>21.4</v>
      </c>
      <c r="V50" s="107">
        <v>20.79</v>
      </c>
      <c r="W50" s="248">
        <v>19.7</v>
      </c>
    </row>
    <row r="51" spans="3:23" ht="12.75" customHeight="1">
      <c r="C51" s="281" t="str">
        <f>VLOOKUP(74,Textbausteine!$BO$2:$BS$151,Hilfsgrössen!$D$2,FALSE)</f>
        <v>Allemagne</v>
      </c>
      <c r="D51" s="236" t="str">
        <f>VLOOKUP(11,Textbausteine!$BO$2:$BS$151,Hilfsgrössen!$D$2,FALSE)</f>
        <v>% des personnes</v>
      </c>
      <c r="E51" s="11" t="s">
        <v>1612</v>
      </c>
      <c r="F51" s="11" t="s">
        <v>787</v>
      </c>
      <c r="G51" s="49"/>
      <c r="H51" s="241">
        <v>3.7</v>
      </c>
      <c r="I51" s="241">
        <v>4.4</v>
      </c>
      <c r="J51" s="241">
        <v>5.2</v>
      </c>
      <c r="K51" s="241">
        <v>6.5</v>
      </c>
      <c r="L51" s="278">
        <v>8.4</v>
      </c>
      <c r="M51" s="222">
        <v>10.3</v>
      </c>
      <c r="N51" s="107">
        <v>10.2</v>
      </c>
      <c r="O51" s="107">
        <v>11.1</v>
      </c>
      <c r="P51" s="107">
        <v>11.6</v>
      </c>
      <c r="Q51" s="107">
        <v>12</v>
      </c>
      <c r="R51" s="107">
        <v>12.1</v>
      </c>
      <c r="S51" s="107">
        <v>12.2</v>
      </c>
      <c r="T51" s="107">
        <v>12.3</v>
      </c>
      <c r="U51" s="107">
        <v>12.4</v>
      </c>
      <c r="V51" s="107">
        <v>12.58</v>
      </c>
      <c r="W51" s="248">
        <v>12.45</v>
      </c>
    </row>
    <row r="52" spans="3:23" ht="12.75" customHeight="1">
      <c r="C52" s="281" t="str">
        <f>VLOOKUP(75,Textbausteine!$BO$2:$BS$151,Hilfsgrössen!$D$2,FALSE)</f>
        <v>Espagne</v>
      </c>
      <c r="D52" s="236" t="str">
        <f>VLOOKUP(11,Textbausteine!$BO$2:$BS$151,Hilfsgrössen!$D$2,FALSE)</f>
        <v>% des personnes</v>
      </c>
      <c r="E52" s="11" t="s">
        <v>1612</v>
      </c>
      <c r="F52" s="13" t="s">
        <v>787</v>
      </c>
      <c r="G52" s="49"/>
      <c r="H52" s="241">
        <v>15.8</v>
      </c>
      <c r="I52" s="241">
        <v>14.9</v>
      </c>
      <c r="J52" s="241">
        <v>13.9</v>
      </c>
      <c r="K52" s="241">
        <v>12.1</v>
      </c>
      <c r="L52" s="278">
        <v>9.7</v>
      </c>
      <c r="M52" s="222">
        <v>8.8</v>
      </c>
      <c r="N52" s="107">
        <v>7.7</v>
      </c>
      <c r="O52" s="107">
        <v>7.2</v>
      </c>
      <c r="P52" s="107">
        <v>7</v>
      </c>
      <c r="Q52" s="107">
        <v>6.6</v>
      </c>
      <c r="R52" s="107">
        <v>6.4</v>
      </c>
      <c r="S52" s="107">
        <v>6.2</v>
      </c>
      <c r="T52" s="107">
        <v>5.8</v>
      </c>
      <c r="U52" s="107">
        <v>5.6</v>
      </c>
      <c r="V52" s="107">
        <v>5.37</v>
      </c>
      <c r="W52" s="248">
        <v>4.91</v>
      </c>
    </row>
    <row r="53" spans="3:23" ht="12.75" customHeight="1">
      <c r="C53" s="281" t="str">
        <f>VLOOKUP(76,Textbausteine!$BO$2:$BS$151,Hilfsgrössen!$D$2,FALSE)</f>
        <v>Portugal</v>
      </c>
      <c r="D53" s="236" t="str">
        <f>VLOOKUP(11,Textbausteine!$BO$2:$BS$151,Hilfsgrössen!$D$2,FALSE)</f>
        <v>% des personnes</v>
      </c>
      <c r="E53" s="11" t="s">
        <v>1612</v>
      </c>
      <c r="F53" s="13" t="s">
        <v>787</v>
      </c>
      <c r="G53" s="50"/>
      <c r="H53" s="241">
        <v>8.4</v>
      </c>
      <c r="I53" s="241">
        <v>8.4</v>
      </c>
      <c r="J53" s="241">
        <v>8.4</v>
      </c>
      <c r="K53" s="241">
        <v>8.5</v>
      </c>
      <c r="L53" s="278">
        <v>7.7</v>
      </c>
      <c r="M53" s="222">
        <v>7.9</v>
      </c>
      <c r="N53" s="107">
        <v>7.2</v>
      </c>
      <c r="O53" s="107">
        <v>7.2</v>
      </c>
      <c r="P53" s="107">
        <v>7.1</v>
      </c>
      <c r="Q53" s="107">
        <v>7.6</v>
      </c>
      <c r="R53" s="107">
        <v>8.1</v>
      </c>
      <c r="S53" s="107">
        <v>8.5</v>
      </c>
      <c r="T53" s="107">
        <v>8.9</v>
      </c>
      <c r="U53" s="107">
        <v>9.3</v>
      </c>
      <c r="V53" s="107">
        <v>9.55</v>
      </c>
      <c r="W53" s="248">
        <v>9.82</v>
      </c>
    </row>
    <row r="54" spans="3:23" ht="12.75" customHeight="1">
      <c r="C54" s="281" t="str">
        <f>VLOOKUP(77,Textbausteine!$BO$2:$BS$151,Hilfsgrössen!$D$2,FALSE)</f>
        <v>Turquie</v>
      </c>
      <c r="D54" s="236" t="str">
        <f>VLOOKUP(11,Textbausteine!$BO$2:$BS$151,Hilfsgrössen!$D$2,FALSE)</f>
        <v>% des personnes</v>
      </c>
      <c r="E54" s="11" t="s">
        <v>1612</v>
      </c>
      <c r="F54" s="11" t="s">
        <v>787</v>
      </c>
      <c r="G54" s="50"/>
      <c r="H54" s="241">
        <v>7.1</v>
      </c>
      <c r="I54" s="241">
        <v>6.9</v>
      </c>
      <c r="J54" s="241">
        <v>6.6</v>
      </c>
      <c r="K54" s="241">
        <v>6.3</v>
      </c>
      <c r="L54" s="278">
        <v>6.3</v>
      </c>
      <c r="M54" s="222">
        <v>6.2</v>
      </c>
      <c r="N54" s="107">
        <v>6.6</v>
      </c>
      <c r="O54" s="107">
        <v>6</v>
      </c>
      <c r="P54" s="107">
        <v>5.9</v>
      </c>
      <c r="Q54" s="107">
        <v>5.7</v>
      </c>
      <c r="R54" s="107">
        <v>5.6</v>
      </c>
      <c r="S54" s="107">
        <v>5.4</v>
      </c>
      <c r="T54" s="107">
        <v>5.2</v>
      </c>
      <c r="U54" s="107">
        <v>5.3</v>
      </c>
      <c r="V54" s="107">
        <v>5.29</v>
      </c>
      <c r="W54" s="248">
        <v>5.61</v>
      </c>
    </row>
    <row r="55" spans="3:23" ht="12.75" customHeight="1">
      <c r="C55" s="281" t="str">
        <f>VLOOKUP(78,Textbausteine!$BO$2:$BS$151,Hilfsgrössen!$D$2,FALSE)</f>
        <v>France</v>
      </c>
      <c r="D55" s="236" t="str">
        <f>VLOOKUP(11,Textbausteine!$BO$2:$BS$151,Hilfsgrössen!$D$2,FALSE)</f>
        <v>% des personnes</v>
      </c>
      <c r="E55" s="11" t="s">
        <v>1612</v>
      </c>
      <c r="F55" s="11" t="s">
        <v>787</v>
      </c>
      <c r="G55" s="49"/>
      <c r="H55" s="241">
        <v>4.2</v>
      </c>
      <c r="I55" s="241">
        <v>4.6</v>
      </c>
      <c r="J55" s="241">
        <v>4.9</v>
      </c>
      <c r="K55" s="241">
        <v>5.2</v>
      </c>
      <c r="L55" s="278">
        <v>5.8</v>
      </c>
      <c r="M55" s="222">
        <v>6.6</v>
      </c>
      <c r="N55" s="107">
        <v>5.8</v>
      </c>
      <c r="O55" s="107">
        <v>6.2</v>
      </c>
      <c r="P55" s="107">
        <v>6.3</v>
      </c>
      <c r="Q55" s="107">
        <v>6.4</v>
      </c>
      <c r="R55" s="107">
        <v>6.6</v>
      </c>
      <c r="S55" s="107">
        <v>6.9</v>
      </c>
      <c r="T55" s="107">
        <v>6.9</v>
      </c>
      <c r="U55" s="107">
        <v>6.9</v>
      </c>
      <c r="V55" s="107">
        <v>7.02</v>
      </c>
      <c r="W55" s="248">
        <v>7.02</v>
      </c>
    </row>
    <row r="56" spans="3:23" ht="12.75" customHeight="1">
      <c r="C56" s="281" t="str">
        <f>VLOOKUP(79,Textbausteine!$BO$2:$BS$151,Hilfsgrössen!$D$2,FALSE)</f>
        <v>Autres pays</v>
      </c>
      <c r="D56" s="67" t="str">
        <f>VLOOKUP(11,Textbausteine!$BO$2:$BS$151,Hilfsgrössen!$D$2,FALSE)</f>
        <v>% des personnes</v>
      </c>
      <c r="E56" s="11" t="s">
        <v>1612</v>
      </c>
      <c r="F56" s="13" t="s">
        <v>787</v>
      </c>
      <c r="G56" s="49"/>
      <c r="H56" s="222">
        <v>25.799999999999997</v>
      </c>
      <c r="I56" s="222">
        <v>25.700000000000003</v>
      </c>
      <c r="J56" s="222">
        <v>26.39999999999999</v>
      </c>
      <c r="K56" s="222">
        <v>27.099999999999994</v>
      </c>
      <c r="L56" s="222">
        <v>30.900000000000006</v>
      </c>
      <c r="M56" s="222">
        <v>31</v>
      </c>
      <c r="N56" s="107">
        <v>35.4</v>
      </c>
      <c r="O56" s="107">
        <v>36.39999999999999</v>
      </c>
      <c r="P56" s="107">
        <v>37.400000000000006</v>
      </c>
      <c r="Q56" s="107">
        <v>38.3</v>
      </c>
      <c r="R56" s="107">
        <v>38.2</v>
      </c>
      <c r="S56" s="107">
        <v>38.2</v>
      </c>
      <c r="T56" s="107">
        <v>38.8</v>
      </c>
      <c r="U56" s="107">
        <v>39.1</v>
      </c>
      <c r="V56" s="107">
        <v>39.41</v>
      </c>
      <c r="W56" s="248">
        <v>40.5</v>
      </c>
    </row>
    <row r="57" spans="3:23" ht="12.75" customHeight="1">
      <c r="C57" s="192" t="str">
        <f>VLOOKUP(80,Textbausteine!$BO$2:$BS$151,Hilfsgrössen!$D$2,FALSE)</f>
        <v>Nationalités représentées</v>
      </c>
      <c r="D57" s="67" t="str">
        <f>VLOOKUP(12,Textbausteine!$BO$2:$BS$151,Hilfsgrössen!$D$2,FALSE)</f>
        <v>Nombre</v>
      </c>
      <c r="E57" s="11" t="s">
        <v>1612</v>
      </c>
      <c r="F57" s="13" t="s">
        <v>787</v>
      </c>
      <c r="G57" s="50"/>
      <c r="H57" s="282">
        <v>114</v>
      </c>
      <c r="I57" s="282">
        <v>111</v>
      </c>
      <c r="J57" s="282">
        <v>115</v>
      </c>
      <c r="K57" s="282">
        <v>119</v>
      </c>
      <c r="L57" s="278">
        <v>121</v>
      </c>
      <c r="M57" s="225">
        <v>117</v>
      </c>
      <c r="N57" s="107">
        <v>133</v>
      </c>
      <c r="O57" s="107">
        <v>140</v>
      </c>
      <c r="P57" s="107">
        <v>140</v>
      </c>
      <c r="Q57" s="107">
        <v>144</v>
      </c>
      <c r="R57" s="107">
        <v>142</v>
      </c>
      <c r="S57" s="107">
        <v>142</v>
      </c>
      <c r="T57" s="107">
        <v>143</v>
      </c>
      <c r="U57" s="107">
        <v>140</v>
      </c>
      <c r="V57" s="107">
        <v>138</v>
      </c>
      <c r="W57" s="248">
        <v>140</v>
      </c>
    </row>
    <row r="58" spans="1:87" s="9" customFormat="1" ht="12.75" customHeight="1">
      <c r="A58" s="147"/>
      <c r="C58" s="192"/>
      <c r="D58" s="67"/>
      <c r="E58" s="13"/>
      <c r="F58" s="13"/>
      <c r="G58" s="50"/>
      <c r="H58" s="282"/>
      <c r="I58" s="282"/>
      <c r="J58" s="282"/>
      <c r="K58" s="282"/>
      <c r="L58" s="278"/>
      <c r="M58" s="225"/>
      <c r="N58" s="107"/>
      <c r="O58" s="107"/>
      <c r="P58" s="107"/>
      <c r="Q58" s="107"/>
      <c r="R58" s="107"/>
      <c r="S58" s="107"/>
      <c r="T58" s="107"/>
      <c r="U58" s="107"/>
      <c r="V58" s="107"/>
      <c r="W58" s="107"/>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row>
    <row r="59" spans="2:23" ht="12.75" customHeight="1">
      <c r="B59" s="26" t="str">
        <f>VLOOKUP(141,Textbausteine!$BO$2:$BS$151,Hilfsgrössen!$D$2,FALSE)</f>
        <v>1) Valeurs annuelles moyennes</v>
      </c>
      <c r="E59" s="11"/>
      <c r="F59" s="11"/>
      <c r="G59" s="49"/>
      <c r="H59" s="69"/>
      <c r="I59" s="69"/>
      <c r="J59" s="69"/>
      <c r="K59" s="69"/>
      <c r="L59" s="69"/>
      <c r="M59" s="69"/>
      <c r="T59" s="107"/>
      <c r="U59" s="107"/>
      <c r="V59" s="107"/>
      <c r="W59" s="107"/>
    </row>
    <row r="60" spans="2:23" ht="12.75" customHeight="1">
      <c r="B60" s="26" t="str">
        <f>VLOOKUP(142,Textbausteine!$BO$2:$BS$151,Hilfsgrössen!$D$2,FALSE)</f>
        <v>2) Groupe Suisse: données provenant du système du personnel; actuellement sans les données de 1000 unités de personnel ou 6113 personnes des sociétés du groupe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et notime Schweiz AG.</v>
      </c>
      <c r="E60" s="11"/>
      <c r="F60" s="11"/>
      <c r="G60" s="49"/>
      <c r="H60" s="69"/>
      <c r="I60" s="69"/>
      <c r="J60" s="69"/>
      <c r="K60" s="69"/>
      <c r="L60" s="69"/>
      <c r="M60" s="69"/>
      <c r="T60" s="107"/>
      <c r="U60" s="107"/>
      <c r="V60" s="107"/>
      <c r="W60" s="107"/>
    </row>
    <row r="61" spans="2:23" ht="12.75" customHeight="1">
      <c r="B61" s="26" t="str">
        <f>VLOOKUP(143,Textbausteine!$BO$2:$BS$151,Hilfsgrössen!$D$2,FALSE)</f>
        <v>3) Sans les apprentis</v>
      </c>
      <c r="E61" s="11"/>
      <c r="F61" s="11"/>
      <c r="G61" s="49"/>
      <c r="H61" s="69"/>
      <c r="I61" s="69"/>
      <c r="J61" s="69"/>
      <c r="K61" s="69"/>
      <c r="L61" s="69"/>
      <c r="M61" s="69"/>
      <c r="T61" s="107"/>
      <c r="U61" s="107"/>
      <c r="V61" s="107"/>
      <c r="W61" s="107"/>
    </row>
    <row r="62" spans="1:87" s="9" customFormat="1" ht="12.75" customHeight="1">
      <c r="A62" s="147"/>
      <c r="C62" s="192"/>
      <c r="D62" s="67"/>
      <c r="E62" s="13"/>
      <c r="F62" s="13"/>
      <c r="G62" s="50"/>
      <c r="H62" s="282"/>
      <c r="I62" s="282"/>
      <c r="J62" s="282"/>
      <c r="K62" s="282"/>
      <c r="L62" s="278"/>
      <c r="M62" s="225"/>
      <c r="N62" s="107"/>
      <c r="O62" s="107"/>
      <c r="P62" s="107"/>
      <c r="Q62" s="107"/>
      <c r="R62" s="107"/>
      <c r="S62" s="107"/>
      <c r="T62" s="107"/>
      <c r="U62" s="107"/>
      <c r="V62" s="107"/>
      <c r="W62" s="107"/>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row>
    <row r="63" spans="1:87" s="9" customFormat="1" ht="12.75" customHeight="1">
      <c r="A63" s="147"/>
      <c r="C63" s="281"/>
      <c r="D63" s="67"/>
      <c r="E63" s="13"/>
      <c r="F63" s="11"/>
      <c r="G63" s="50"/>
      <c r="H63" s="69"/>
      <c r="I63" s="69"/>
      <c r="J63" s="69"/>
      <c r="K63" s="69"/>
      <c r="L63" s="69"/>
      <c r="M63" s="69"/>
      <c r="N63" s="107"/>
      <c r="O63" s="107"/>
      <c r="P63" s="107"/>
      <c r="Q63" s="107"/>
      <c r="R63" s="107"/>
      <c r="S63" s="107"/>
      <c r="T63" s="107"/>
      <c r="U63" s="107"/>
      <c r="V63" s="107"/>
      <c r="W63" s="107"/>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row>
    <row r="64" spans="1:87" s="31" customFormat="1" ht="12.75" customHeight="1">
      <c r="A64" s="56" t="s">
        <v>807</v>
      </c>
      <c r="B64" s="480" t="str">
        <f>$C$10</f>
        <v>Démographie (pyramide des âges)</v>
      </c>
      <c r="C64" s="480"/>
      <c r="D64" s="6" t="str">
        <f>VLOOKUP(32,Textbausteine!$A$2:$E$67,Hilfsgrössen!$D$2,FALSE)</f>
        <v>Unité</v>
      </c>
      <c r="E64" s="39" t="str">
        <f>VLOOKUP(33,Textbausteine!$A$2:$E$67,Hilfsgrössen!$D$2,FALSE)</f>
        <v>Notes</v>
      </c>
      <c r="F64" s="39" t="str">
        <f>VLOOKUP(34,Textbausteine!$A$2:$E$67,Hilfsgrössen!$D$2,FALSE)</f>
        <v>GRI</v>
      </c>
      <c r="G64" s="47"/>
      <c r="H64" s="113">
        <v>2004</v>
      </c>
      <c r="I64" s="113">
        <v>2005</v>
      </c>
      <c r="J64" s="113">
        <v>2006</v>
      </c>
      <c r="K64" s="113">
        <v>2007</v>
      </c>
      <c r="L64" s="113">
        <v>2008</v>
      </c>
      <c r="M64" s="113">
        <v>2009</v>
      </c>
      <c r="N64" s="117">
        <v>2010</v>
      </c>
      <c r="O64" s="117">
        <v>2011</v>
      </c>
      <c r="P64" s="117">
        <v>2012</v>
      </c>
      <c r="Q64" s="117">
        <v>2013</v>
      </c>
      <c r="R64" s="117">
        <v>2014</v>
      </c>
      <c r="S64" s="117">
        <v>2015</v>
      </c>
      <c r="T64" s="117">
        <v>2016</v>
      </c>
      <c r="U64" s="117">
        <v>2017</v>
      </c>
      <c r="V64" s="117">
        <v>2018</v>
      </c>
      <c r="W64" s="245">
        <v>2019</v>
      </c>
      <c r="X64" s="7"/>
      <c r="Y64" s="7"/>
      <c r="Z64" s="7"/>
      <c r="AA64" s="7"/>
      <c r="AB64" s="7"/>
      <c r="AC64" s="7"/>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row>
    <row r="65" spans="1:87" s="31" customFormat="1" ht="12.75" customHeight="1">
      <c r="A65" s="90"/>
      <c r="B65" s="480"/>
      <c r="C65" s="480"/>
      <c r="D65" s="6"/>
      <c r="E65" s="40"/>
      <c r="F65" s="40"/>
      <c r="G65" s="47"/>
      <c r="H65" s="69"/>
      <c r="I65" s="69"/>
      <c r="J65" s="69"/>
      <c r="K65" s="69"/>
      <c r="L65" s="69"/>
      <c r="M65" s="69"/>
      <c r="N65" s="143"/>
      <c r="O65" s="143"/>
      <c r="P65" s="143"/>
      <c r="Q65" s="143"/>
      <c r="R65" s="143"/>
      <c r="S65" s="143"/>
      <c r="T65" s="119"/>
      <c r="U65" s="119"/>
      <c r="V65" s="119"/>
      <c r="W65" s="246"/>
      <c r="X65" s="129"/>
      <c r="Y65" s="122"/>
      <c r="Z65" s="122"/>
      <c r="AA65" s="122"/>
      <c r="AB65" s="122"/>
      <c r="AC65" s="122"/>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8"/>
      <c r="BC65" s="128"/>
      <c r="BD65" s="128"/>
      <c r="BE65" s="128"/>
      <c r="BF65" s="128"/>
      <c r="BG65" s="128"/>
      <c r="BH65" s="128"/>
      <c r="BI65" s="128"/>
      <c r="BJ65" s="128"/>
      <c r="BK65" s="128"/>
      <c r="BL65" s="128"/>
      <c r="BM65" s="128"/>
      <c r="BN65" s="128"/>
      <c r="BO65" s="128"/>
      <c r="BP65" s="128"/>
      <c r="BQ65" s="128"/>
      <c r="BR65" s="128"/>
      <c r="BS65" s="128"/>
      <c r="BT65" s="128"/>
      <c r="BU65" s="128"/>
      <c r="BV65" s="128"/>
      <c r="BW65" s="128"/>
      <c r="BX65" s="128"/>
      <c r="BY65" s="128"/>
      <c r="BZ65" s="128"/>
      <c r="CA65" s="128"/>
      <c r="CB65" s="128"/>
      <c r="CC65" s="128"/>
      <c r="CD65" s="128"/>
      <c r="CE65" s="128"/>
      <c r="CF65" s="128"/>
      <c r="CG65" s="128"/>
      <c r="CH65" s="128"/>
      <c r="CI65" s="128"/>
    </row>
    <row r="66" spans="2:29" ht="12.75" customHeight="1">
      <c r="B66" s="8"/>
      <c r="C66" s="9"/>
      <c r="D66" s="9"/>
      <c r="E66" s="40"/>
      <c r="F66" s="40"/>
      <c r="G66" s="48"/>
      <c r="W66" s="247"/>
      <c r="X66" s="12"/>
      <c r="Y66" s="13"/>
      <c r="Z66" s="13"/>
      <c r="AA66" s="13"/>
      <c r="AB66" s="13"/>
      <c r="AC66" s="13"/>
    </row>
    <row r="67" spans="2:23" ht="12.75" customHeight="1">
      <c r="B67" s="8" t="str">
        <f>VLOOKUP(37,Textbausteine!$A$2:$E$67,Hilfsgrössen!$D$2,FALSE)</f>
        <v>Groupe Suisse</v>
      </c>
      <c r="C67" s="8"/>
      <c r="D67" s="67"/>
      <c r="E67" s="12"/>
      <c r="F67" s="11"/>
      <c r="G67" s="48"/>
      <c r="W67" s="247"/>
    </row>
    <row r="68" spans="3:23" ht="12.75" customHeight="1">
      <c r="C68" s="283" t="str">
        <f>VLOOKUP(91,Textbausteine!$BO$2:$BS$151,Hilfsgrössen!$D$2,FALSE)</f>
        <v>Classe d'âge</v>
      </c>
      <c r="D68" s="236"/>
      <c r="E68" s="13"/>
      <c r="F68" s="11"/>
      <c r="G68" s="49"/>
      <c r="H68" s="69"/>
      <c r="I68" s="69"/>
      <c r="J68" s="69"/>
      <c r="K68" s="69"/>
      <c r="L68" s="69"/>
      <c r="M68" s="69"/>
      <c r="T68" s="107"/>
      <c r="U68" s="107"/>
      <c r="V68" s="107"/>
      <c r="W68" s="248"/>
    </row>
    <row r="69" spans="3:23" ht="12.75" customHeight="1">
      <c r="C69" s="281" t="str">
        <f>VLOOKUP(92,Textbausteine!$BO$2:$BS$151,Hilfsgrössen!$D$2,FALSE)</f>
        <v>Moins de 20 ans</v>
      </c>
      <c r="D69" s="236" t="str">
        <f>VLOOKUP(11,Textbausteine!$BO$2:$BS$151,Hilfsgrössen!$D$2,FALSE)</f>
        <v>% des personnes</v>
      </c>
      <c r="E69" s="11" t="s">
        <v>1612</v>
      </c>
      <c r="F69" s="11" t="s">
        <v>787</v>
      </c>
      <c r="G69" s="49"/>
      <c r="H69" s="13">
        <v>0.8</v>
      </c>
      <c r="I69" s="16">
        <v>0.7585343619200721</v>
      </c>
      <c r="J69" s="16">
        <v>0.7226372386285795</v>
      </c>
      <c r="K69" s="13">
        <v>0.7</v>
      </c>
      <c r="L69" s="13">
        <v>0.7</v>
      </c>
      <c r="M69" s="13">
        <v>0.6</v>
      </c>
      <c r="N69" s="107">
        <v>0.6</v>
      </c>
      <c r="O69" s="107">
        <v>0.7</v>
      </c>
      <c r="P69" s="107">
        <v>0.7</v>
      </c>
      <c r="Q69" s="107">
        <v>0.7414526622821811</v>
      </c>
      <c r="R69" s="107">
        <v>0.6</v>
      </c>
      <c r="S69" s="107">
        <v>0.655839453811937</v>
      </c>
      <c r="T69" s="107">
        <v>0.6</v>
      </c>
      <c r="U69" s="107">
        <v>0.5</v>
      </c>
      <c r="V69" s="107">
        <v>0.55</v>
      </c>
      <c r="W69" s="248">
        <v>0.64</v>
      </c>
    </row>
    <row r="70" spans="3:23" ht="12.75" customHeight="1">
      <c r="C70" s="281" t="str">
        <f>VLOOKUP(93,Textbausteine!$BO$2:$BS$151,Hilfsgrössen!$D$2,FALSE)</f>
        <v>20–29</v>
      </c>
      <c r="D70" s="236" t="str">
        <f>VLOOKUP(11,Textbausteine!$BO$2:$BS$151,Hilfsgrössen!$D$2,FALSE)</f>
        <v>% des personnes</v>
      </c>
      <c r="E70" s="11" t="s">
        <v>1612</v>
      </c>
      <c r="F70" s="11" t="s">
        <v>787</v>
      </c>
      <c r="G70" s="49"/>
      <c r="H70" s="13">
        <v>12.2</v>
      </c>
      <c r="I70" s="16">
        <v>11.456261211366733</v>
      </c>
      <c r="J70" s="16">
        <v>10.947345763682705</v>
      </c>
      <c r="K70" s="13">
        <v>10.8</v>
      </c>
      <c r="L70" s="16">
        <v>11</v>
      </c>
      <c r="M70" s="13">
        <v>11.4</v>
      </c>
      <c r="N70" s="107">
        <v>11</v>
      </c>
      <c r="O70" s="107">
        <v>11.3</v>
      </c>
      <c r="P70" s="107">
        <v>12.8</v>
      </c>
      <c r="Q70" s="107">
        <v>12.746129869178008</v>
      </c>
      <c r="R70" s="107">
        <v>11.7</v>
      </c>
      <c r="S70" s="107">
        <v>11.7845936347023</v>
      </c>
      <c r="T70" s="107">
        <v>11.8</v>
      </c>
      <c r="U70" s="107">
        <v>11.4</v>
      </c>
      <c r="V70" s="107">
        <v>11.16</v>
      </c>
      <c r="W70" s="248">
        <v>11.3</v>
      </c>
    </row>
    <row r="71" spans="3:23" ht="12.75" customHeight="1">
      <c r="C71" s="281" t="str">
        <f>VLOOKUP(94,Textbausteine!$BO$2:$BS$151,Hilfsgrössen!$D$2,FALSE)</f>
        <v>30–39</v>
      </c>
      <c r="D71" s="236" t="str">
        <f>VLOOKUP(11,Textbausteine!$BO$2:$BS$151,Hilfsgrössen!$D$2,FALSE)</f>
        <v>% des personnes</v>
      </c>
      <c r="E71" s="11" t="s">
        <v>1612</v>
      </c>
      <c r="F71" s="11" t="s">
        <v>787</v>
      </c>
      <c r="G71" s="49"/>
      <c r="H71" s="13">
        <v>29.8</v>
      </c>
      <c r="I71" s="16">
        <v>28.273228971641984</v>
      </c>
      <c r="J71" s="16">
        <v>26.617106492079223</v>
      </c>
      <c r="K71" s="13">
        <v>25.5</v>
      </c>
      <c r="L71" s="13">
        <v>24.3</v>
      </c>
      <c r="M71" s="16">
        <v>23</v>
      </c>
      <c r="N71" s="107">
        <v>21.7</v>
      </c>
      <c r="O71" s="107">
        <v>20.3</v>
      </c>
      <c r="P71" s="107">
        <v>18.6</v>
      </c>
      <c r="Q71" s="107">
        <v>18.59608599491425</v>
      </c>
      <c r="R71" s="107">
        <v>17.7</v>
      </c>
      <c r="S71" s="107">
        <v>17.3449191407193</v>
      </c>
      <c r="T71" s="107">
        <v>17.2</v>
      </c>
      <c r="U71" s="107">
        <v>17.2</v>
      </c>
      <c r="V71" s="107">
        <v>17.42</v>
      </c>
      <c r="W71" s="248">
        <v>17.5</v>
      </c>
    </row>
    <row r="72" spans="3:23" ht="12.75" customHeight="1">
      <c r="C72" s="281" t="str">
        <f>VLOOKUP(95,Textbausteine!$BO$2:$BS$151,Hilfsgrössen!$D$2,FALSE)</f>
        <v>40–49</v>
      </c>
      <c r="D72" s="236" t="str">
        <f>VLOOKUP(11,Textbausteine!$BO$2:$BS$151,Hilfsgrössen!$D$2,FALSE)</f>
        <v>% des personnes</v>
      </c>
      <c r="E72" s="11" t="s">
        <v>1612</v>
      </c>
      <c r="F72" s="13" t="s">
        <v>787</v>
      </c>
      <c r="G72" s="50"/>
      <c r="H72" s="13">
        <v>30.9</v>
      </c>
      <c r="I72" s="16">
        <v>31.863644294578354</v>
      </c>
      <c r="J72" s="16">
        <v>32.641711619999484</v>
      </c>
      <c r="K72" s="13">
        <v>33.2</v>
      </c>
      <c r="L72" s="13">
        <v>33.2</v>
      </c>
      <c r="M72" s="13">
        <v>33.4</v>
      </c>
      <c r="N72" s="107">
        <v>33.6</v>
      </c>
      <c r="O72" s="107">
        <v>33.6</v>
      </c>
      <c r="P72" s="107">
        <v>33.3</v>
      </c>
      <c r="Q72" s="107">
        <v>33.34169873819925</v>
      </c>
      <c r="R72" s="107">
        <v>31.9</v>
      </c>
      <c r="S72" s="107">
        <v>30.3742974380194</v>
      </c>
      <c r="T72" s="107">
        <v>29</v>
      </c>
      <c r="U72" s="107">
        <v>27.9</v>
      </c>
      <c r="V72" s="107">
        <v>26.81</v>
      </c>
      <c r="W72" s="248">
        <v>25.4</v>
      </c>
    </row>
    <row r="73" spans="3:23" ht="12.75" customHeight="1">
      <c r="C73" s="281" t="str">
        <f>VLOOKUP(96,Textbausteine!$BO$2:$BS$151,Hilfsgrössen!$D$2,FALSE)</f>
        <v>50–59</v>
      </c>
      <c r="D73" s="236" t="str">
        <f>VLOOKUP(11,Textbausteine!$BO$2:$BS$151,Hilfsgrössen!$D$2,FALSE)</f>
        <v>% des personnes</v>
      </c>
      <c r="E73" s="11" t="s">
        <v>1612</v>
      </c>
      <c r="F73" s="11" t="s">
        <v>787</v>
      </c>
      <c r="G73" s="49"/>
      <c r="H73" s="13">
        <v>22.8</v>
      </c>
      <c r="I73" s="16">
        <v>23.920360332101513</v>
      </c>
      <c r="J73" s="16">
        <v>24.94824469980239</v>
      </c>
      <c r="K73" s="13">
        <v>26.1</v>
      </c>
      <c r="L73" s="13">
        <v>26.5</v>
      </c>
      <c r="M73" s="13">
        <v>26.7</v>
      </c>
      <c r="N73" s="107">
        <v>26.5</v>
      </c>
      <c r="O73" s="107">
        <v>26.9</v>
      </c>
      <c r="P73" s="107">
        <v>28.4</v>
      </c>
      <c r="Q73" s="107">
        <v>28.424184389991645</v>
      </c>
      <c r="R73" s="107">
        <v>29.9</v>
      </c>
      <c r="S73" s="107">
        <v>30.6625633598841</v>
      </c>
      <c r="T73" s="107">
        <v>31.4</v>
      </c>
      <c r="U73" s="107">
        <v>32.1</v>
      </c>
      <c r="V73" s="107">
        <v>32.74</v>
      </c>
      <c r="W73" s="248">
        <v>33.4</v>
      </c>
    </row>
    <row r="74" spans="3:23" ht="12.75" customHeight="1">
      <c r="C74" s="281" t="str">
        <f>VLOOKUP(97,Textbausteine!$BO$2:$BS$151,Hilfsgrössen!$D$2,FALSE)</f>
        <v>60 ans et plus</v>
      </c>
      <c r="D74" s="236" t="str">
        <f>VLOOKUP(11,Textbausteine!$BO$2:$BS$151,Hilfsgrössen!$D$2,FALSE)</f>
        <v>% des personnes</v>
      </c>
      <c r="E74" s="11" t="s">
        <v>1612</v>
      </c>
      <c r="F74" s="11" t="s">
        <v>787</v>
      </c>
      <c r="G74" s="49"/>
      <c r="H74" s="13">
        <v>3.5</v>
      </c>
      <c r="I74" s="16">
        <v>3.7279727888489176</v>
      </c>
      <c r="J74" s="16">
        <v>4.122952177550347</v>
      </c>
      <c r="K74" s="13">
        <v>3.7</v>
      </c>
      <c r="L74" s="13">
        <v>4.3</v>
      </c>
      <c r="M74" s="13">
        <v>4.9</v>
      </c>
      <c r="N74" s="107">
        <v>6.6</v>
      </c>
      <c r="O74" s="107">
        <v>7.2</v>
      </c>
      <c r="P74" s="107">
        <v>6.2</v>
      </c>
      <c r="Q74" s="107">
        <v>6.150448345434667</v>
      </c>
      <c r="R74" s="107">
        <v>8.3</v>
      </c>
      <c r="S74" s="107">
        <v>9.17778697286301</v>
      </c>
      <c r="T74" s="107">
        <v>10</v>
      </c>
      <c r="U74" s="107">
        <v>10.9</v>
      </c>
      <c r="V74" s="107">
        <v>11.32</v>
      </c>
      <c r="W74" s="248">
        <v>11.79</v>
      </c>
    </row>
    <row r="75" spans="3:23" ht="12.75" customHeight="1">
      <c r="C75" s="192" t="str">
        <f>VLOOKUP(98,Textbausteine!$BO$2:$BS$151,Hilfsgrössen!$D$2,FALSE)</f>
        <v>Age moyen</v>
      </c>
      <c r="D75" s="236" t="str">
        <f>VLOOKUP(13,Textbausteine!$BO$2:$BS$151,Hilfsgrössen!$D$2,FALSE)</f>
        <v>Années</v>
      </c>
      <c r="E75" s="11" t="s">
        <v>1612</v>
      </c>
      <c r="F75" s="13" t="s">
        <v>787</v>
      </c>
      <c r="G75" s="50"/>
      <c r="H75" s="13">
        <v>41.9</v>
      </c>
      <c r="I75" s="16">
        <v>42.3</v>
      </c>
      <c r="J75" s="16">
        <v>42.7</v>
      </c>
      <c r="K75" s="13">
        <v>42.9</v>
      </c>
      <c r="L75" s="13">
        <v>43.2</v>
      </c>
      <c r="M75" s="13">
        <v>43.4</v>
      </c>
      <c r="N75" s="107">
        <v>44.2</v>
      </c>
      <c r="O75" s="107">
        <v>44.4</v>
      </c>
      <c r="P75" s="107">
        <v>44.7</v>
      </c>
      <c r="Q75" s="107">
        <v>44.8</v>
      </c>
      <c r="R75" s="107">
        <v>45.1</v>
      </c>
      <c r="S75" s="107">
        <v>45.3</v>
      </c>
      <c r="T75" s="107">
        <v>45.6</v>
      </c>
      <c r="U75" s="107">
        <v>46</v>
      </c>
      <c r="V75" s="107">
        <v>46.1</v>
      </c>
      <c r="W75" s="248">
        <v>46.1</v>
      </c>
    </row>
    <row r="76" spans="3:23" ht="12.75" customHeight="1">
      <c r="C76" s="281"/>
      <c r="D76" s="236"/>
      <c r="E76" s="11"/>
      <c r="F76" s="11"/>
      <c r="G76" s="49"/>
      <c r="H76" s="69"/>
      <c r="I76" s="69"/>
      <c r="J76" s="69"/>
      <c r="K76" s="69"/>
      <c r="L76" s="69"/>
      <c r="M76" s="69"/>
      <c r="T76" s="107"/>
      <c r="U76" s="107"/>
      <c r="V76" s="107"/>
      <c r="W76" s="107"/>
    </row>
    <row r="77" spans="2:23" ht="12.75" customHeight="1">
      <c r="B77" s="26" t="str">
        <f>VLOOKUP(141,Textbausteine!$BO$2:$BS$151,Hilfsgrössen!$D$2,FALSE)</f>
        <v>1) Valeurs annuelles moyennes</v>
      </c>
      <c r="E77" s="11"/>
      <c r="F77" s="11"/>
      <c r="G77" s="49"/>
      <c r="H77" s="69"/>
      <c r="I77" s="69"/>
      <c r="J77" s="69"/>
      <c r="K77" s="69"/>
      <c r="L77" s="69"/>
      <c r="M77" s="69"/>
      <c r="T77" s="107"/>
      <c r="U77" s="107"/>
      <c r="V77" s="107"/>
      <c r="W77" s="107"/>
    </row>
    <row r="78" spans="2:23" ht="12.75" customHeight="1">
      <c r="B78" s="26" t="str">
        <f>VLOOKUP(142,Textbausteine!$BO$2:$BS$151,Hilfsgrössen!$D$2,FALSE)</f>
        <v>2) Groupe Suisse: données provenant du système du personnel; actuellement sans les données de 1000 unités de personnel ou 6113 personnes des sociétés du groupe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et notime Schweiz AG.</v>
      </c>
      <c r="E78" s="11"/>
      <c r="F78" s="11"/>
      <c r="G78" s="49"/>
      <c r="H78" s="69"/>
      <c r="I78" s="69"/>
      <c r="J78" s="69"/>
      <c r="K78" s="69"/>
      <c r="L78" s="69"/>
      <c r="M78" s="69"/>
      <c r="T78" s="107"/>
      <c r="U78" s="107"/>
      <c r="V78" s="107"/>
      <c r="W78" s="107"/>
    </row>
    <row r="79" spans="2:23" ht="12.75" customHeight="1">
      <c r="B79" s="26" t="str">
        <f>VLOOKUP(143,Textbausteine!$BO$2:$BS$151,Hilfsgrössen!$D$2,FALSE)</f>
        <v>3) Sans les apprentis</v>
      </c>
      <c r="E79" s="11"/>
      <c r="F79" s="11"/>
      <c r="G79" s="49"/>
      <c r="H79" s="69"/>
      <c r="I79" s="69"/>
      <c r="J79" s="69"/>
      <c r="K79" s="69"/>
      <c r="L79" s="69"/>
      <c r="M79" s="69"/>
      <c r="T79" s="107"/>
      <c r="U79" s="107"/>
      <c r="V79" s="107"/>
      <c r="W79" s="107"/>
    </row>
    <row r="80" spans="5:23" ht="12.75" customHeight="1">
      <c r="E80" s="11"/>
      <c r="F80" s="11"/>
      <c r="G80" s="49"/>
      <c r="H80" s="69"/>
      <c r="I80" s="69"/>
      <c r="J80" s="69"/>
      <c r="K80" s="69"/>
      <c r="L80" s="69"/>
      <c r="M80" s="69"/>
      <c r="T80" s="107"/>
      <c r="U80" s="107"/>
      <c r="V80" s="107"/>
      <c r="W80" s="107"/>
    </row>
    <row r="81" spans="5:23" ht="12.75" customHeight="1">
      <c r="E81" s="11"/>
      <c r="F81" s="11"/>
      <c r="G81" s="49"/>
      <c r="H81" s="69"/>
      <c r="I81" s="69"/>
      <c r="J81" s="69"/>
      <c r="K81" s="69"/>
      <c r="L81" s="69"/>
      <c r="M81" s="69"/>
      <c r="T81" s="107"/>
      <c r="U81" s="107"/>
      <c r="V81" s="107"/>
      <c r="W81" s="107"/>
    </row>
    <row r="82" spans="5:23" ht="12.75" customHeight="1">
      <c r="E82" s="13"/>
      <c r="F82" s="11"/>
      <c r="G82" s="49"/>
      <c r="T82" s="107"/>
      <c r="U82" s="107"/>
      <c r="V82" s="107"/>
      <c r="W82" s="107"/>
    </row>
    <row r="83" spans="5:23" ht="12.75" customHeight="1">
      <c r="E83" s="13"/>
      <c r="F83" s="11"/>
      <c r="G83" s="49"/>
      <c r="T83" s="107"/>
      <c r="U83" s="107"/>
      <c r="V83" s="107"/>
      <c r="W83" s="107"/>
    </row>
    <row r="84" spans="5:23" ht="12.75" customHeight="1">
      <c r="E84" s="13"/>
      <c r="F84" s="11"/>
      <c r="G84" s="49"/>
      <c r="T84" s="107"/>
      <c r="U84" s="107"/>
      <c r="V84" s="107"/>
      <c r="W84" s="107"/>
    </row>
    <row r="85" spans="5:23" ht="12.75" customHeight="1">
      <c r="E85" s="11"/>
      <c r="F85" s="11"/>
      <c r="G85" s="49"/>
      <c r="T85" s="107"/>
      <c r="U85" s="107"/>
      <c r="V85" s="107"/>
      <c r="W85" s="107"/>
    </row>
    <row r="86" spans="5:23" ht="12.75" customHeight="1">
      <c r="E86" s="11"/>
      <c r="F86" s="11"/>
      <c r="G86" s="49"/>
      <c r="T86" s="107"/>
      <c r="U86" s="107"/>
      <c r="V86" s="107"/>
      <c r="W86" s="107"/>
    </row>
    <row r="87" spans="5:23" ht="12.75" customHeight="1">
      <c r="E87" s="41"/>
      <c r="F87" s="41"/>
      <c r="G87" s="51"/>
      <c r="H87" s="71"/>
      <c r="I87" s="71"/>
      <c r="J87" s="71"/>
      <c r="K87" s="71"/>
      <c r="L87" s="71"/>
      <c r="M87" s="71"/>
      <c r="T87" s="107"/>
      <c r="U87" s="107"/>
      <c r="V87" s="107"/>
      <c r="W87" s="107"/>
    </row>
    <row r="88" spans="5:23" ht="12.75" customHeight="1">
      <c r="E88" s="41"/>
      <c r="F88" s="41"/>
      <c r="G88" s="51"/>
      <c r="H88" s="71"/>
      <c r="I88" s="71"/>
      <c r="J88" s="71"/>
      <c r="K88" s="71"/>
      <c r="L88" s="71"/>
      <c r="M88" s="71"/>
      <c r="T88" s="107"/>
      <c r="U88" s="107"/>
      <c r="V88" s="107"/>
      <c r="W88" s="107"/>
    </row>
    <row r="89" spans="5:23" ht="12.75" customHeight="1">
      <c r="E89" s="41"/>
      <c r="F89" s="41"/>
      <c r="G89" s="51"/>
      <c r="H89" s="71"/>
      <c r="I89" s="71"/>
      <c r="J89" s="71"/>
      <c r="K89" s="71"/>
      <c r="L89" s="71"/>
      <c r="M89" s="71"/>
      <c r="T89" s="107"/>
      <c r="U89" s="107"/>
      <c r="V89" s="107"/>
      <c r="W89" s="107"/>
    </row>
    <row r="90" spans="5:13" ht="12.75" customHeight="1">
      <c r="E90" s="42"/>
      <c r="F90" s="42"/>
      <c r="G90" s="52"/>
      <c r="H90" s="113"/>
      <c r="I90" s="113"/>
      <c r="J90" s="113"/>
      <c r="K90" s="113"/>
      <c r="L90" s="113"/>
      <c r="M90" s="113"/>
    </row>
    <row r="91" spans="5:13" ht="12.75" customHeight="1">
      <c r="E91" s="42"/>
      <c r="F91" s="42"/>
      <c r="G91" s="52"/>
      <c r="H91" s="114"/>
      <c r="I91" s="114"/>
      <c r="J91" s="114"/>
      <c r="K91" s="114"/>
      <c r="L91" s="114"/>
      <c r="M91" s="114"/>
    </row>
    <row r="92" spans="5:7" ht="12.75" customHeight="1">
      <c r="E92" s="43"/>
      <c r="F92" s="43"/>
      <c r="G92" s="53"/>
    </row>
    <row r="94" spans="8:13" ht="12.75" customHeight="1">
      <c r="H94" s="115"/>
      <c r="I94" s="115"/>
      <c r="J94" s="115"/>
      <c r="K94" s="115"/>
      <c r="L94" s="115"/>
      <c r="M94" s="115"/>
    </row>
    <row r="95" spans="8:13" ht="12.75" customHeight="1">
      <c r="H95" s="115"/>
      <c r="I95" s="115"/>
      <c r="J95" s="115"/>
      <c r="K95" s="115"/>
      <c r="L95" s="115"/>
      <c r="M95" s="115"/>
    </row>
    <row r="96" spans="5:13" ht="12.75" customHeight="1">
      <c r="E96" s="40"/>
      <c r="F96" s="40"/>
      <c r="G96" s="48"/>
      <c r="H96" s="115"/>
      <c r="I96" s="115"/>
      <c r="J96" s="115"/>
      <c r="K96" s="115"/>
      <c r="L96" s="115"/>
      <c r="M96" s="115"/>
    </row>
    <row r="97" spans="5:13" ht="12.75" customHeight="1">
      <c r="E97" s="40"/>
      <c r="F97" s="40"/>
      <c r="G97" s="48"/>
      <c r="H97" s="115"/>
      <c r="I97" s="115"/>
      <c r="J97" s="115"/>
      <c r="K97" s="115"/>
      <c r="L97" s="115"/>
      <c r="M97" s="115"/>
    </row>
    <row r="98" spans="5:23" ht="12.75" customHeight="1">
      <c r="E98" s="13"/>
      <c r="F98" s="11"/>
      <c r="G98" s="49"/>
      <c r="H98" s="71"/>
      <c r="I98" s="71"/>
      <c r="J98" s="71"/>
      <c r="K98" s="71"/>
      <c r="L98" s="71"/>
      <c r="M98" s="71"/>
      <c r="T98" s="119"/>
      <c r="U98" s="119"/>
      <c r="V98" s="119"/>
      <c r="W98" s="119"/>
    </row>
    <row r="99" spans="5:23" ht="12.75" customHeight="1">
      <c r="E99" s="39"/>
      <c r="F99" s="39"/>
      <c r="G99" s="46"/>
      <c r="H99" s="71"/>
      <c r="I99" s="71"/>
      <c r="J99" s="71"/>
      <c r="K99" s="71"/>
      <c r="L99" s="71"/>
      <c r="M99" s="71"/>
      <c r="T99" s="119"/>
      <c r="U99" s="119"/>
      <c r="V99" s="119"/>
      <c r="W99" s="119"/>
    </row>
    <row r="100" spans="5:13" ht="12.75" customHeight="1">
      <c r="E100" s="13"/>
      <c r="F100" s="11"/>
      <c r="H100" s="71"/>
      <c r="I100" s="71"/>
      <c r="J100" s="71"/>
      <c r="K100" s="71"/>
      <c r="L100" s="71"/>
      <c r="M100" s="71"/>
    </row>
    <row r="101" spans="5:23" ht="12.75" customHeight="1">
      <c r="E101" s="13"/>
      <c r="F101" s="11"/>
      <c r="H101" s="113"/>
      <c r="I101" s="113"/>
      <c r="J101" s="113"/>
      <c r="K101" s="113"/>
      <c r="L101" s="113"/>
      <c r="M101" s="113"/>
      <c r="T101" s="107"/>
      <c r="U101" s="107"/>
      <c r="V101" s="107"/>
      <c r="W101" s="107"/>
    </row>
    <row r="102" spans="5:23" ht="12.75" customHeight="1">
      <c r="E102" s="13"/>
      <c r="F102" s="11"/>
      <c r="H102" s="113"/>
      <c r="I102" s="113"/>
      <c r="J102" s="113"/>
      <c r="K102" s="113"/>
      <c r="L102" s="113"/>
      <c r="M102" s="113"/>
      <c r="T102" s="107"/>
      <c r="U102" s="107"/>
      <c r="V102" s="107"/>
      <c r="W102" s="107"/>
    </row>
    <row r="103" spans="5:23" ht="12.75" customHeight="1">
      <c r="E103" s="13"/>
      <c r="F103" s="11"/>
      <c r="T103" s="107"/>
      <c r="U103" s="107"/>
      <c r="V103" s="107"/>
      <c r="W103" s="107"/>
    </row>
    <row r="104" spans="5:23" ht="12.75" customHeight="1">
      <c r="E104" s="44"/>
      <c r="F104" s="44"/>
      <c r="T104" s="107"/>
      <c r="U104" s="107"/>
      <c r="V104" s="107"/>
      <c r="W104" s="107"/>
    </row>
    <row r="105" spans="5:23" ht="12.75" customHeight="1">
      <c r="E105" s="44"/>
      <c r="F105" s="44"/>
      <c r="T105" s="107"/>
      <c r="U105" s="107"/>
      <c r="V105" s="107"/>
      <c r="W105" s="107"/>
    </row>
    <row r="106" spans="5:23" ht="12.75" customHeight="1">
      <c r="E106" s="44"/>
      <c r="F106" s="44"/>
      <c r="H106" s="115"/>
      <c r="I106" s="115"/>
      <c r="J106" s="115"/>
      <c r="K106" s="115"/>
      <c r="L106" s="115"/>
      <c r="M106" s="115"/>
      <c r="T106" s="107"/>
      <c r="U106" s="107"/>
      <c r="V106" s="107"/>
      <c r="W106" s="107"/>
    </row>
    <row r="107" spans="8:23" ht="12.75" customHeight="1">
      <c r="H107" s="115"/>
      <c r="I107" s="115"/>
      <c r="J107" s="115"/>
      <c r="K107" s="115"/>
      <c r="L107" s="115"/>
      <c r="M107" s="115"/>
      <c r="T107" s="107"/>
      <c r="U107" s="107"/>
      <c r="V107" s="107"/>
      <c r="W107" s="107"/>
    </row>
    <row r="108" spans="8:23" ht="12.75" customHeight="1">
      <c r="H108" s="115"/>
      <c r="I108" s="115"/>
      <c r="J108" s="115"/>
      <c r="K108" s="115"/>
      <c r="L108" s="115"/>
      <c r="M108" s="115"/>
      <c r="T108" s="107"/>
      <c r="U108" s="107"/>
      <c r="V108" s="107"/>
      <c r="W108" s="107"/>
    </row>
    <row r="109" spans="8:23" ht="12.75" customHeight="1">
      <c r="H109" s="115"/>
      <c r="I109" s="115"/>
      <c r="J109" s="115"/>
      <c r="K109" s="115"/>
      <c r="L109" s="115"/>
      <c r="M109" s="115"/>
      <c r="T109" s="119"/>
      <c r="U109" s="119"/>
      <c r="V109" s="119"/>
      <c r="W109" s="119"/>
    </row>
    <row r="110" spans="8:23" ht="12.75" customHeight="1">
      <c r="H110" s="115"/>
      <c r="I110" s="115"/>
      <c r="J110" s="115"/>
      <c r="K110" s="115"/>
      <c r="L110" s="115"/>
      <c r="M110" s="115"/>
      <c r="T110" s="119"/>
      <c r="U110" s="119"/>
      <c r="V110" s="119"/>
      <c r="W110" s="119"/>
    </row>
    <row r="111" spans="8:13" ht="12.75" customHeight="1">
      <c r="H111" s="115"/>
      <c r="I111" s="115"/>
      <c r="J111" s="115"/>
      <c r="K111" s="115"/>
      <c r="L111" s="115"/>
      <c r="M111" s="115"/>
    </row>
    <row r="112" spans="8:13" ht="12.75" customHeight="1">
      <c r="H112" s="115"/>
      <c r="I112" s="115"/>
      <c r="J112" s="115"/>
      <c r="K112" s="115"/>
      <c r="L112" s="115"/>
      <c r="M112" s="115"/>
    </row>
    <row r="113" spans="8:13" ht="12.75" customHeight="1">
      <c r="H113" s="115"/>
      <c r="I113" s="115"/>
      <c r="J113" s="115"/>
      <c r="K113" s="115"/>
      <c r="L113" s="115"/>
      <c r="M113" s="115"/>
    </row>
    <row r="114" spans="8:23" ht="12.75" customHeight="1">
      <c r="H114" s="115"/>
      <c r="I114" s="115"/>
      <c r="J114" s="115"/>
      <c r="K114" s="115"/>
      <c r="L114" s="115"/>
      <c r="M114" s="115"/>
      <c r="T114" s="107"/>
      <c r="U114" s="107"/>
      <c r="V114" s="107"/>
      <c r="W114" s="107"/>
    </row>
    <row r="115" spans="8:23" ht="12.75" customHeight="1">
      <c r="H115" s="115"/>
      <c r="I115" s="115"/>
      <c r="J115" s="115"/>
      <c r="K115" s="115"/>
      <c r="L115" s="115"/>
      <c r="M115" s="115"/>
      <c r="T115" s="107"/>
      <c r="U115" s="107"/>
      <c r="V115" s="107"/>
      <c r="W115" s="107"/>
    </row>
    <row r="116" spans="8:23" ht="12.75" customHeight="1">
      <c r="H116" s="115"/>
      <c r="I116" s="115"/>
      <c r="J116" s="115"/>
      <c r="K116" s="115"/>
      <c r="L116" s="115"/>
      <c r="M116" s="115"/>
      <c r="T116" s="107"/>
      <c r="U116" s="107"/>
      <c r="V116" s="107"/>
      <c r="W116" s="107"/>
    </row>
    <row r="117" spans="8:23" ht="12.75" customHeight="1">
      <c r="H117" s="115"/>
      <c r="I117" s="115"/>
      <c r="J117" s="115"/>
      <c r="K117" s="115"/>
      <c r="L117" s="115"/>
      <c r="M117" s="115"/>
      <c r="T117" s="107"/>
      <c r="U117" s="107"/>
      <c r="V117" s="107"/>
      <c r="W117" s="107"/>
    </row>
    <row r="118" spans="8:23" ht="12.75" customHeight="1">
      <c r="H118" s="115"/>
      <c r="I118" s="115"/>
      <c r="J118" s="115"/>
      <c r="K118" s="115"/>
      <c r="L118" s="115"/>
      <c r="M118" s="115"/>
      <c r="T118" s="107"/>
      <c r="U118" s="107"/>
      <c r="V118" s="107"/>
      <c r="W118" s="107"/>
    </row>
    <row r="119" spans="8:23" ht="12.75" customHeight="1">
      <c r="H119" s="115"/>
      <c r="I119" s="115"/>
      <c r="J119" s="115"/>
      <c r="K119" s="115"/>
      <c r="L119" s="115"/>
      <c r="M119" s="115"/>
      <c r="T119" s="107"/>
      <c r="U119" s="107"/>
      <c r="V119" s="107"/>
      <c r="W119" s="107"/>
    </row>
    <row r="120" spans="8:23" ht="12.75" customHeight="1">
      <c r="H120" s="115"/>
      <c r="I120" s="115"/>
      <c r="J120" s="115"/>
      <c r="K120" s="115"/>
      <c r="L120" s="115"/>
      <c r="M120" s="115"/>
      <c r="T120" s="107"/>
      <c r="U120" s="107"/>
      <c r="V120" s="107"/>
      <c r="W120" s="107"/>
    </row>
    <row r="121" spans="8:23" ht="12.75" customHeight="1">
      <c r="H121" s="115"/>
      <c r="I121" s="115"/>
      <c r="J121" s="115"/>
      <c r="K121" s="115"/>
      <c r="L121" s="115"/>
      <c r="M121" s="115"/>
      <c r="T121" s="107"/>
      <c r="U121" s="107"/>
      <c r="V121" s="107"/>
      <c r="W121" s="107"/>
    </row>
    <row r="122" spans="7:23" ht="12.75" customHeight="1">
      <c r="G122" s="49"/>
      <c r="H122" s="115"/>
      <c r="I122" s="115"/>
      <c r="J122" s="115"/>
      <c r="K122" s="115"/>
      <c r="L122" s="115"/>
      <c r="M122" s="115"/>
      <c r="T122" s="107"/>
      <c r="U122" s="107"/>
      <c r="V122" s="107"/>
      <c r="W122" s="107"/>
    </row>
    <row r="123" spans="7:23" ht="12.75" customHeight="1">
      <c r="G123" s="49"/>
      <c r="H123" s="115"/>
      <c r="I123" s="115"/>
      <c r="J123" s="115"/>
      <c r="K123" s="115"/>
      <c r="L123" s="115"/>
      <c r="M123" s="115"/>
      <c r="T123" s="107"/>
      <c r="U123" s="107"/>
      <c r="V123" s="107"/>
      <c r="W123" s="107"/>
    </row>
    <row r="124" spans="7:23" ht="12.75" customHeight="1">
      <c r="G124" s="49"/>
      <c r="T124" s="107"/>
      <c r="U124" s="107"/>
      <c r="V124" s="107"/>
      <c r="W124" s="107"/>
    </row>
    <row r="125" spans="7:23" ht="12.75" customHeight="1">
      <c r="G125" s="49"/>
      <c r="T125" s="107"/>
      <c r="U125" s="107"/>
      <c r="V125" s="107"/>
      <c r="W125" s="107"/>
    </row>
    <row r="126" spans="7:23" ht="12.75" customHeight="1">
      <c r="G126" s="49"/>
      <c r="T126" s="107"/>
      <c r="U126" s="107"/>
      <c r="V126" s="107"/>
      <c r="W126" s="107"/>
    </row>
    <row r="127" spans="7:23" ht="12.75" customHeight="1">
      <c r="G127" s="49"/>
      <c r="T127" s="107"/>
      <c r="U127" s="107"/>
      <c r="V127" s="107"/>
      <c r="W127" s="107"/>
    </row>
    <row r="128" spans="7:23" ht="12.75" customHeight="1">
      <c r="G128" s="49"/>
      <c r="T128" s="107"/>
      <c r="U128" s="107"/>
      <c r="V128" s="107"/>
      <c r="W128" s="107"/>
    </row>
    <row r="129" spans="20:23" ht="12.75" customHeight="1">
      <c r="T129" s="107"/>
      <c r="U129" s="107"/>
      <c r="V129" s="107"/>
      <c r="W129" s="107"/>
    </row>
    <row r="130" spans="8:23" ht="12.75" customHeight="1">
      <c r="H130" s="113"/>
      <c r="I130" s="113"/>
      <c r="J130" s="113"/>
      <c r="K130" s="113"/>
      <c r="L130" s="113"/>
      <c r="M130" s="113"/>
      <c r="T130" s="107"/>
      <c r="U130" s="107"/>
      <c r="V130" s="107"/>
      <c r="W130" s="107"/>
    </row>
    <row r="131" spans="8:23" ht="12.75" customHeight="1">
      <c r="H131" s="113"/>
      <c r="I131" s="113"/>
      <c r="J131" s="113"/>
      <c r="K131" s="113"/>
      <c r="L131" s="113"/>
      <c r="M131" s="113"/>
      <c r="T131" s="107"/>
      <c r="U131" s="107"/>
      <c r="V131" s="107"/>
      <c r="W131" s="107"/>
    </row>
    <row r="133" spans="8:13" ht="12.75" customHeight="1">
      <c r="H133" s="7"/>
      <c r="I133" s="7"/>
      <c r="J133" s="7"/>
      <c r="K133" s="7"/>
      <c r="L133" s="7"/>
      <c r="M133" s="7"/>
    </row>
    <row r="134" ht="12.75" customHeight="1">
      <c r="G134" s="48"/>
    </row>
    <row r="135" ht="12.75" customHeight="1">
      <c r="G135" s="48"/>
    </row>
    <row r="136" ht="12.75" customHeight="1">
      <c r="G136" s="49"/>
    </row>
    <row r="137" ht="12.75" customHeight="1">
      <c r="G137" s="46"/>
    </row>
    <row r="138" spans="7:23" ht="12.75" customHeight="1">
      <c r="G138" s="49"/>
      <c r="T138" s="119"/>
      <c r="U138" s="119"/>
      <c r="V138" s="119"/>
      <c r="W138" s="119"/>
    </row>
    <row r="139" spans="7:23" ht="12.75" customHeight="1">
      <c r="G139" s="49"/>
      <c r="T139" s="119"/>
      <c r="U139" s="119"/>
      <c r="V139" s="119"/>
      <c r="W139" s="119"/>
    </row>
    <row r="140" ht="12.75" customHeight="1">
      <c r="G140" s="49"/>
    </row>
    <row r="141" ht="12.75" customHeight="1">
      <c r="G141" s="49"/>
    </row>
    <row r="142" ht="12.75" customHeight="1">
      <c r="G142" s="54"/>
    </row>
    <row r="143" spans="7:23" ht="12.75" customHeight="1">
      <c r="G143" s="54"/>
      <c r="T143" s="140"/>
      <c r="U143" s="140"/>
      <c r="V143" s="140"/>
      <c r="W143" s="140"/>
    </row>
    <row r="144" spans="7:23" ht="12.75" customHeight="1">
      <c r="G144" s="54"/>
      <c r="T144" s="140"/>
      <c r="U144" s="140"/>
      <c r="V144" s="140"/>
      <c r="W144" s="140"/>
    </row>
    <row r="145" spans="20:23" ht="12.75" customHeight="1">
      <c r="T145" s="140"/>
      <c r="U145" s="140"/>
      <c r="V145" s="140"/>
      <c r="W145" s="140"/>
    </row>
    <row r="146" spans="20:23" ht="12.75" customHeight="1">
      <c r="T146" s="140"/>
      <c r="U146" s="140"/>
      <c r="V146" s="140"/>
      <c r="W146" s="140"/>
    </row>
    <row r="147" spans="20:23" ht="12.75" customHeight="1">
      <c r="T147" s="140"/>
      <c r="U147" s="140"/>
      <c r="V147" s="140"/>
      <c r="W147" s="140"/>
    </row>
    <row r="148" spans="20:23" ht="12.75" customHeight="1">
      <c r="T148" s="140"/>
      <c r="U148" s="140"/>
      <c r="V148" s="140"/>
      <c r="W148" s="140"/>
    </row>
    <row r="149" spans="20:23" ht="12.75" customHeight="1">
      <c r="T149" s="140"/>
      <c r="U149" s="140"/>
      <c r="V149" s="140"/>
      <c r="W149" s="140"/>
    </row>
    <row r="150" spans="20:23" ht="12.75" customHeight="1">
      <c r="T150" s="140"/>
      <c r="U150" s="140"/>
      <c r="V150" s="140"/>
      <c r="W150" s="140"/>
    </row>
    <row r="152" spans="8:13" ht="12.75" customHeight="1">
      <c r="H152" s="113"/>
      <c r="I152" s="113"/>
      <c r="J152" s="113"/>
      <c r="K152" s="113"/>
      <c r="L152" s="113"/>
      <c r="M152" s="113"/>
    </row>
    <row r="153" spans="8:13" ht="12.75" customHeight="1">
      <c r="H153" s="114"/>
      <c r="I153" s="114"/>
      <c r="J153" s="114"/>
      <c r="K153" s="114"/>
      <c r="L153" s="114"/>
      <c r="M153" s="114"/>
    </row>
    <row r="156" spans="8:13" ht="12.75" customHeight="1">
      <c r="H156" s="115"/>
      <c r="I156" s="115"/>
      <c r="J156" s="115"/>
      <c r="K156" s="115"/>
      <c r="L156" s="115"/>
      <c r="M156" s="115"/>
    </row>
    <row r="157" spans="8:13" ht="12.75" customHeight="1">
      <c r="H157" s="115"/>
      <c r="I157" s="115"/>
      <c r="J157" s="115"/>
      <c r="K157" s="115"/>
      <c r="L157" s="115"/>
      <c r="M157" s="115"/>
    </row>
    <row r="158" spans="8:13" ht="12.75" customHeight="1">
      <c r="H158" s="115"/>
      <c r="I158" s="115"/>
      <c r="J158" s="115"/>
      <c r="K158" s="115"/>
      <c r="L158" s="115"/>
      <c r="M158" s="115"/>
    </row>
  </sheetData>
  <sheetProtection sheet="1" objects="1" scenarios="1"/>
  <mergeCells count="7">
    <mergeCell ref="D2:E2"/>
    <mergeCell ref="B29:C30"/>
    <mergeCell ref="B64:C65"/>
    <mergeCell ref="B44:C45"/>
    <mergeCell ref="B2:C2"/>
    <mergeCell ref="B3:C3"/>
    <mergeCell ref="B13:C14"/>
  </mergeCells>
  <conditionalFormatting sqref="H13:CC17 H19:CC21 I18 X18:CC18 H23:CC10002 J22:CC22">
    <cfRule type="expression" priority="6" dxfId="0">
      <formula>AND($D13&lt;&gt;"",H$13&lt;&gt;"",H13="")</formula>
    </cfRule>
    <cfRule type="expression" priority="7" dxfId="1">
      <formula>AND($A13="",ABS(H13)=0)</formula>
    </cfRule>
    <cfRule type="expression" priority="8" dxfId="1">
      <formula>AND($A13="",ABS(H13)&lt;10)</formula>
    </cfRule>
    <cfRule type="expression" priority="9" dxfId="35">
      <formula>AND($A13="",ABS(H13)&lt;100)</formula>
    </cfRule>
    <cfRule type="expression" priority="10" dxfId="1">
      <formula>AND($A13="",ABS(H13)&gt;=100)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A13" location="GRI_405" display="Ó"/>
    <hyperlink ref="D2" location="Home" display="Home"/>
    <hyperlink ref="A29" location="GRI_405" display="Ó"/>
    <hyperlink ref="A64" location="GRI_405" display="Ó"/>
    <hyperlink ref="A44" location="GRI_405" display="Ó"/>
    <hyperlink ref="C7" location="GRI_405_1" display="GRI_405_1"/>
    <hyperlink ref="C8" location="GRI_405_1b" display="GRI_405_1b"/>
    <hyperlink ref="C9" location="GRI_405_1c" display="GRI_405_1c"/>
    <hyperlink ref="C10" location="GRI_405_1d" display="GRI_405_1d"/>
  </hyperlinks>
  <printOptions/>
  <pageMargins left="0.7" right="0.7" top="0.787401575" bottom="0.787401575" header="0.3" footer="0.3"/>
  <pageSetup horizontalDpi="600" verticalDpi="600" orientation="portrait" paperSize="9"/>
  <ignoredErrors>
    <ignoredError sqref="E17:E19 E69:E75 E48:E57 E33:E37" twoDigitTextYear="1"/>
  </ignoredErrors>
</worksheet>
</file>

<file path=xl/worksheets/sheet12.xml><?xml version="1.0" encoding="utf-8"?>
<worksheet xmlns="http://schemas.openxmlformats.org/spreadsheetml/2006/main" xmlns:r="http://schemas.openxmlformats.org/officeDocument/2006/relationships">
  <sheetPr>
    <tabColor theme="3"/>
  </sheetPr>
  <dimension ref="A1:D5"/>
  <sheetViews>
    <sheetView showRowColHeaders="0" zoomScalePageLayoutView="0" workbookViewId="0" topLeftCell="A1">
      <selection activeCell="A1" sqref="A1"/>
    </sheetView>
  </sheetViews>
  <sheetFormatPr defaultColWidth="11.00390625" defaultRowHeight="12.75"/>
  <cols>
    <col min="2" max="2" width="11.75390625" style="0" customWidth="1"/>
    <col min="4" max="4" width="18.50390625" style="0" customWidth="1"/>
  </cols>
  <sheetData>
    <row r="1" spans="1:4" ht="12.75">
      <c r="A1" t="s">
        <v>83</v>
      </c>
      <c r="B1" t="s">
        <v>84</v>
      </c>
      <c r="D1" t="s">
        <v>89</v>
      </c>
    </row>
    <row r="2" spans="1:4" ht="12.75">
      <c r="A2" t="s">
        <v>85</v>
      </c>
      <c r="B2">
        <v>2</v>
      </c>
      <c r="D2">
        <f>VLOOKUP(Inhaltsverzeichnis!$F$2,Hilfsgrössen!$A$2:$B$5,2,FALSE)</f>
        <v>3</v>
      </c>
    </row>
    <row r="3" spans="1:2" ht="12.75">
      <c r="A3" t="s">
        <v>86</v>
      </c>
      <c r="B3">
        <v>3</v>
      </c>
    </row>
    <row r="4" spans="1:2" ht="12.75">
      <c r="A4" t="s">
        <v>87</v>
      </c>
      <c r="B4">
        <v>4</v>
      </c>
    </row>
    <row r="5" spans="1:2" ht="12.75">
      <c r="A5" t="s">
        <v>88</v>
      </c>
      <c r="B5">
        <v>5</v>
      </c>
    </row>
  </sheetData>
  <sheetProtection sheet="1" objects="1" scenarios="1"/>
  <dataValidations count="1">
    <dataValidation allowBlank="1" showInputMessage="1" showErrorMessage="1" sqref="F2"/>
  </dataValidations>
  <printOptions/>
  <pageMargins left="0.7" right="0.7" top="0.787401575" bottom="0.787401575" header="0.3" footer="0.3"/>
  <pageSetup orientation="portrait" paperSize="9"/>
  <tableParts>
    <tablePart r:id="rId1"/>
    <tablePart r:id="rId2"/>
  </tableParts>
</worksheet>
</file>

<file path=xl/worksheets/sheet13.xml><?xml version="1.0" encoding="utf-8"?>
<worksheet xmlns="http://schemas.openxmlformats.org/spreadsheetml/2006/main" xmlns:r="http://schemas.openxmlformats.org/officeDocument/2006/relationships">
  <sheetPr>
    <tabColor theme="3"/>
  </sheetPr>
  <dimension ref="A1:BS345"/>
  <sheetViews>
    <sheetView showRowColHeaders="0" zoomScalePageLayoutView="0" workbookViewId="0" topLeftCell="A1">
      <selection activeCell="A1" sqref="A1"/>
    </sheetView>
  </sheetViews>
  <sheetFormatPr defaultColWidth="11.00390625" defaultRowHeight="12.75"/>
  <cols>
    <col min="2" max="5" width="31.625" style="0" customWidth="1"/>
    <col min="8" max="11" width="27.75390625" style="0" customWidth="1"/>
    <col min="20" max="23" width="21.625" style="0" customWidth="1"/>
    <col min="38" max="41" width="16.375" style="0" customWidth="1"/>
  </cols>
  <sheetData>
    <row r="1" spans="1:71" ht="12.75">
      <c r="A1" t="s">
        <v>90</v>
      </c>
      <c r="B1" t="s">
        <v>85</v>
      </c>
      <c r="C1" t="s">
        <v>86</v>
      </c>
      <c r="D1" t="s">
        <v>87</v>
      </c>
      <c r="E1" t="s">
        <v>88</v>
      </c>
      <c r="G1" t="s">
        <v>90</v>
      </c>
      <c r="H1" t="s">
        <v>85</v>
      </c>
      <c r="I1" t="s">
        <v>86</v>
      </c>
      <c r="J1" t="s">
        <v>87</v>
      </c>
      <c r="K1" t="s">
        <v>88</v>
      </c>
      <c r="M1" t="s">
        <v>90</v>
      </c>
      <c r="N1" t="s">
        <v>85</v>
      </c>
      <c r="O1" t="s">
        <v>86</v>
      </c>
      <c r="P1" t="s">
        <v>87</v>
      </c>
      <c r="Q1" t="s">
        <v>88</v>
      </c>
      <c r="S1" t="s">
        <v>90</v>
      </c>
      <c r="T1" t="s">
        <v>85</v>
      </c>
      <c r="U1" t="s">
        <v>86</v>
      </c>
      <c r="V1" t="s">
        <v>87</v>
      </c>
      <c r="W1" t="s">
        <v>88</v>
      </c>
      <c r="Y1" t="s">
        <v>90</v>
      </c>
      <c r="Z1" t="s">
        <v>85</v>
      </c>
      <c r="AA1" t="s">
        <v>86</v>
      </c>
      <c r="AB1" t="s">
        <v>87</v>
      </c>
      <c r="AC1" t="s">
        <v>88</v>
      </c>
      <c r="AE1" t="s">
        <v>90</v>
      </c>
      <c r="AF1" t="s">
        <v>85</v>
      </c>
      <c r="AG1" t="s">
        <v>86</v>
      </c>
      <c r="AH1" t="s">
        <v>87</v>
      </c>
      <c r="AI1" t="s">
        <v>88</v>
      </c>
      <c r="AK1" t="s">
        <v>90</v>
      </c>
      <c r="AL1" t="s">
        <v>85</v>
      </c>
      <c r="AM1" t="s">
        <v>86</v>
      </c>
      <c r="AN1" t="s">
        <v>87</v>
      </c>
      <c r="AO1" t="s">
        <v>88</v>
      </c>
      <c r="AQ1" t="s">
        <v>90</v>
      </c>
      <c r="AR1" t="s">
        <v>85</v>
      </c>
      <c r="AS1" t="s">
        <v>86</v>
      </c>
      <c r="AT1" t="s">
        <v>87</v>
      </c>
      <c r="AU1" t="s">
        <v>88</v>
      </c>
      <c r="AW1" t="s">
        <v>90</v>
      </c>
      <c r="AX1" t="s">
        <v>85</v>
      </c>
      <c r="AY1" t="s">
        <v>86</v>
      </c>
      <c r="AZ1" t="s">
        <v>87</v>
      </c>
      <c r="BA1" t="s">
        <v>88</v>
      </c>
      <c r="BC1" t="s">
        <v>90</v>
      </c>
      <c r="BD1" t="s">
        <v>85</v>
      </c>
      <c r="BE1" t="s">
        <v>86</v>
      </c>
      <c r="BF1" t="s">
        <v>87</v>
      </c>
      <c r="BG1" t="s">
        <v>88</v>
      </c>
      <c r="BI1" t="s">
        <v>90</v>
      </c>
      <c r="BJ1" t="s">
        <v>85</v>
      </c>
      <c r="BK1" t="s">
        <v>86</v>
      </c>
      <c r="BL1" t="s">
        <v>87</v>
      </c>
      <c r="BM1" t="s">
        <v>88</v>
      </c>
      <c r="BO1" t="s">
        <v>90</v>
      </c>
      <c r="BP1" t="s">
        <v>85</v>
      </c>
      <c r="BQ1" t="s">
        <v>86</v>
      </c>
      <c r="BR1" t="s">
        <v>87</v>
      </c>
      <c r="BS1" t="s">
        <v>88</v>
      </c>
    </row>
    <row r="2" spans="1:71" ht="12.75">
      <c r="A2">
        <f aca="true" t="shared" si="0" ref="A2:A8">ROW()-1</f>
        <v>1</v>
      </c>
      <c r="B2" t="s">
        <v>2523</v>
      </c>
      <c r="C2" t="s">
        <v>2524</v>
      </c>
      <c r="D2" t="s">
        <v>2525</v>
      </c>
      <c r="E2" t="s">
        <v>2526</v>
      </c>
      <c r="G2">
        <f aca="true" t="shared" si="1" ref="G2:G14">ROW()-1</f>
        <v>1</v>
      </c>
      <c r="H2" t="s">
        <v>189</v>
      </c>
      <c r="I2" t="s">
        <v>191</v>
      </c>
      <c r="J2" t="s">
        <v>194</v>
      </c>
      <c r="K2" t="s">
        <v>67</v>
      </c>
      <c r="M2">
        <f>ROW()-1</f>
        <v>1</v>
      </c>
      <c r="N2" t="s">
        <v>1404</v>
      </c>
      <c r="O2" t="s">
        <v>1677</v>
      </c>
      <c r="P2" t="s">
        <v>1678</v>
      </c>
      <c r="Q2" t="s">
        <v>1679</v>
      </c>
      <c r="S2">
        <f>ROW()-1</f>
        <v>1</v>
      </c>
      <c r="T2" t="s">
        <v>276</v>
      </c>
      <c r="U2" t="s">
        <v>277</v>
      </c>
      <c r="V2" t="s">
        <v>278</v>
      </c>
      <c r="W2" t="s">
        <v>279</v>
      </c>
      <c r="Y2">
        <f>ROW()-1</f>
        <v>1</v>
      </c>
      <c r="Z2" t="s">
        <v>383</v>
      </c>
      <c r="AA2" t="s">
        <v>384</v>
      </c>
      <c r="AB2" t="s">
        <v>385</v>
      </c>
      <c r="AC2" t="s">
        <v>386</v>
      </c>
      <c r="AE2">
        <f>ROW()-1</f>
        <v>1</v>
      </c>
      <c r="AF2" t="s">
        <v>404</v>
      </c>
      <c r="AG2" t="s">
        <v>405</v>
      </c>
      <c r="AH2" t="s">
        <v>413</v>
      </c>
      <c r="AI2" t="s">
        <v>420</v>
      </c>
      <c r="AK2">
        <f>ROW()-1</f>
        <v>1</v>
      </c>
      <c r="AL2" t="s">
        <v>446</v>
      </c>
      <c r="AM2" t="s">
        <v>2021</v>
      </c>
      <c r="AN2" t="s">
        <v>447</v>
      </c>
      <c r="AO2" t="s">
        <v>448</v>
      </c>
      <c r="AQ2">
        <f>ROW()-1</f>
        <v>1</v>
      </c>
      <c r="AR2" t="s">
        <v>486</v>
      </c>
      <c r="AS2" t="s">
        <v>482</v>
      </c>
      <c r="AT2" t="s">
        <v>478</v>
      </c>
      <c r="AU2" t="s">
        <v>490</v>
      </c>
      <c r="AW2">
        <f>ROW()-1</f>
        <v>1</v>
      </c>
      <c r="AX2" t="s">
        <v>990</v>
      </c>
      <c r="AY2" t="s">
        <v>996</v>
      </c>
      <c r="AZ2" t="s">
        <v>1010</v>
      </c>
      <c r="BA2" t="s">
        <v>1029</v>
      </c>
      <c r="BC2">
        <f>ROW()-1</f>
        <v>1</v>
      </c>
      <c r="BD2" t="s">
        <v>735</v>
      </c>
      <c r="BE2" t="s">
        <v>1047</v>
      </c>
      <c r="BF2" t="s">
        <v>1099</v>
      </c>
      <c r="BG2" t="s">
        <v>1072</v>
      </c>
      <c r="BI2">
        <f>ROW()-1</f>
        <v>1</v>
      </c>
      <c r="BJ2" t="s">
        <v>1291</v>
      </c>
      <c r="BK2" t="s">
        <v>1617</v>
      </c>
      <c r="BL2" t="s">
        <v>1633</v>
      </c>
      <c r="BM2" t="s">
        <v>1665</v>
      </c>
      <c r="BO2">
        <f>ROW()-1</f>
        <v>1</v>
      </c>
      <c r="BP2" t="s">
        <v>781</v>
      </c>
      <c r="BQ2" t="s">
        <v>1189</v>
      </c>
      <c r="BR2" t="s">
        <v>1190</v>
      </c>
      <c r="BS2" t="s">
        <v>1185</v>
      </c>
    </row>
    <row r="3" spans="1:71" ht="12.75">
      <c r="A3">
        <f t="shared" si="0"/>
        <v>2</v>
      </c>
      <c r="B3" t="s">
        <v>91</v>
      </c>
      <c r="C3" t="s">
        <v>93</v>
      </c>
      <c r="D3" t="s">
        <v>94</v>
      </c>
      <c r="E3" t="s">
        <v>92</v>
      </c>
      <c r="G3">
        <f t="shared" si="1"/>
        <v>2</v>
      </c>
      <c r="H3" t="s">
        <v>190</v>
      </c>
      <c r="I3" t="s">
        <v>192</v>
      </c>
      <c r="J3" t="s">
        <v>195</v>
      </c>
      <c r="K3" t="s">
        <v>68</v>
      </c>
      <c r="M3">
        <f aca="true" t="shared" si="2" ref="M3:M66">ROW()-1</f>
        <v>2</v>
      </c>
      <c r="N3" t="s">
        <v>1321</v>
      </c>
      <c r="O3" t="s">
        <v>1728</v>
      </c>
      <c r="P3" t="s">
        <v>1718</v>
      </c>
      <c r="Q3" t="s">
        <v>1723</v>
      </c>
      <c r="S3">
        <f aca="true" t="shared" si="3" ref="S3:S66">ROW()-1</f>
        <v>2</v>
      </c>
      <c r="T3" t="s">
        <v>375</v>
      </c>
      <c r="U3" t="s">
        <v>376</v>
      </c>
      <c r="V3" t="s">
        <v>377</v>
      </c>
      <c r="W3" t="s">
        <v>378</v>
      </c>
      <c r="Y3">
        <f aca="true" t="shared" si="4" ref="Y3:Y66">ROW()-1</f>
        <v>2</v>
      </c>
      <c r="AE3">
        <f aca="true" t="shared" si="5" ref="AE3:AE66">ROW()-1</f>
        <v>2</v>
      </c>
      <c r="AF3" t="s">
        <v>1472</v>
      </c>
      <c r="AG3" t="s">
        <v>1473</v>
      </c>
      <c r="AH3" t="s">
        <v>1474</v>
      </c>
      <c r="AI3" t="s">
        <v>1475</v>
      </c>
      <c r="AK3">
        <f aca="true" t="shared" si="6" ref="AK3:AK66">ROW()-1</f>
        <v>2</v>
      </c>
      <c r="AL3" t="s">
        <v>428</v>
      </c>
      <c r="AM3" t="s">
        <v>430</v>
      </c>
      <c r="AN3" t="s">
        <v>2022</v>
      </c>
      <c r="AO3" t="s">
        <v>440</v>
      </c>
      <c r="AQ3">
        <f aca="true" t="shared" si="7" ref="AQ3:AQ66">ROW()-1</f>
        <v>2</v>
      </c>
      <c r="AR3" t="s">
        <v>487</v>
      </c>
      <c r="AS3" t="s">
        <v>483</v>
      </c>
      <c r="AT3" t="s">
        <v>479</v>
      </c>
      <c r="AU3" t="s">
        <v>491</v>
      </c>
      <c r="AW3">
        <f aca="true" t="shared" si="8" ref="AW3:AW66">ROW()-1</f>
        <v>2</v>
      </c>
      <c r="AX3" t="s">
        <v>804</v>
      </c>
      <c r="AY3" t="s">
        <v>993</v>
      </c>
      <c r="AZ3" t="s">
        <v>994</v>
      </c>
      <c r="BA3" t="s">
        <v>995</v>
      </c>
      <c r="BC3">
        <f aca="true" t="shared" si="9" ref="BC3:BC66">ROW()-1</f>
        <v>2</v>
      </c>
      <c r="BI3">
        <f aca="true" t="shared" si="10" ref="BI3:BI66">ROW()-1</f>
        <v>2</v>
      </c>
      <c r="BJ3" t="s">
        <v>1292</v>
      </c>
      <c r="BK3" t="s">
        <v>1666</v>
      </c>
      <c r="BL3" t="s">
        <v>1669</v>
      </c>
      <c r="BM3" t="s">
        <v>1670</v>
      </c>
      <c r="BO3">
        <f aca="true" t="shared" si="11" ref="BO3:BO66">ROW()-1</f>
        <v>2</v>
      </c>
      <c r="BP3" t="s">
        <v>793</v>
      </c>
      <c r="BQ3" t="s">
        <v>1132</v>
      </c>
      <c r="BR3" t="s">
        <v>1161</v>
      </c>
      <c r="BS3" t="s">
        <v>1191</v>
      </c>
    </row>
    <row r="4" spans="1:71" ht="12.75">
      <c r="A4">
        <f t="shared" si="0"/>
        <v>3</v>
      </c>
      <c r="B4" t="s">
        <v>21</v>
      </c>
      <c r="C4" t="s">
        <v>2318</v>
      </c>
      <c r="D4" t="s">
        <v>97</v>
      </c>
      <c r="E4" t="s">
        <v>101</v>
      </c>
      <c r="G4">
        <f t="shared" si="1"/>
        <v>3</v>
      </c>
      <c r="H4" t="s">
        <v>193</v>
      </c>
      <c r="I4" t="s">
        <v>2023</v>
      </c>
      <c r="J4" t="s">
        <v>196</v>
      </c>
      <c r="K4" t="s">
        <v>74</v>
      </c>
      <c r="M4">
        <f t="shared" si="2"/>
        <v>3</v>
      </c>
      <c r="N4" t="s">
        <v>1322</v>
      </c>
      <c r="O4" t="s">
        <v>1744</v>
      </c>
      <c r="P4" t="s">
        <v>1749</v>
      </c>
      <c r="Q4" t="s">
        <v>1735</v>
      </c>
      <c r="S4">
        <f t="shared" si="3"/>
        <v>3</v>
      </c>
      <c r="T4" t="s">
        <v>1223</v>
      </c>
      <c r="U4" t="s">
        <v>1239</v>
      </c>
      <c r="V4" t="s">
        <v>1253</v>
      </c>
      <c r="W4" t="s">
        <v>1266</v>
      </c>
      <c r="Y4">
        <f t="shared" si="4"/>
        <v>3</v>
      </c>
      <c r="AE4">
        <f t="shared" si="5"/>
        <v>3</v>
      </c>
      <c r="AF4" t="s">
        <v>1415</v>
      </c>
      <c r="AG4" t="s">
        <v>1510</v>
      </c>
      <c r="AH4" t="s">
        <v>1509</v>
      </c>
      <c r="AI4" t="s">
        <v>1511</v>
      </c>
      <c r="AK4">
        <f t="shared" si="6"/>
        <v>3</v>
      </c>
      <c r="AQ4">
        <f t="shared" si="7"/>
        <v>3</v>
      </c>
      <c r="AR4" t="s">
        <v>488</v>
      </c>
      <c r="AS4" t="s">
        <v>484</v>
      </c>
      <c r="AT4" t="s">
        <v>480</v>
      </c>
      <c r="AU4" t="s">
        <v>492</v>
      </c>
      <c r="AW4">
        <f t="shared" si="8"/>
        <v>3</v>
      </c>
      <c r="AX4" t="s">
        <v>1595</v>
      </c>
      <c r="AY4" t="s">
        <v>1597</v>
      </c>
      <c r="AZ4" t="s">
        <v>1601</v>
      </c>
      <c r="BA4" t="s">
        <v>1605</v>
      </c>
      <c r="BC4">
        <f t="shared" si="9"/>
        <v>3</v>
      </c>
      <c r="BI4">
        <f t="shared" si="10"/>
        <v>3</v>
      </c>
      <c r="BJ4" t="s">
        <v>2296</v>
      </c>
      <c r="BK4" s="331" t="s">
        <v>2331</v>
      </c>
      <c r="BL4" s="331" t="s">
        <v>2332</v>
      </c>
      <c r="BM4" s="331" t="s">
        <v>2333</v>
      </c>
      <c r="BO4">
        <f t="shared" si="11"/>
        <v>3</v>
      </c>
      <c r="BP4" t="s">
        <v>1126</v>
      </c>
      <c r="BQ4" t="s">
        <v>1138</v>
      </c>
      <c r="BR4" t="s">
        <v>1167</v>
      </c>
      <c r="BS4" t="s">
        <v>1209</v>
      </c>
    </row>
    <row r="5" spans="1:71" ht="12.75">
      <c r="A5">
        <f t="shared" si="0"/>
        <v>4</v>
      </c>
      <c r="B5" t="s">
        <v>98</v>
      </c>
      <c r="C5" t="s">
        <v>106</v>
      </c>
      <c r="D5" t="s">
        <v>107</v>
      </c>
      <c r="E5" t="s">
        <v>136</v>
      </c>
      <c r="G5">
        <f t="shared" si="1"/>
        <v>4</v>
      </c>
      <c r="H5" t="s">
        <v>205</v>
      </c>
      <c r="I5" t="s">
        <v>204</v>
      </c>
      <c r="J5" t="s">
        <v>206</v>
      </c>
      <c r="K5" t="s">
        <v>203</v>
      </c>
      <c r="M5">
        <f t="shared" si="2"/>
        <v>4</v>
      </c>
      <c r="N5" t="s">
        <v>1471</v>
      </c>
      <c r="O5" s="331" t="s">
        <v>1763</v>
      </c>
      <c r="P5" s="331" t="s">
        <v>1902</v>
      </c>
      <c r="Q5" s="331" t="s">
        <v>1901</v>
      </c>
      <c r="S5">
        <f t="shared" si="3"/>
        <v>4</v>
      </c>
      <c r="Y5">
        <f t="shared" si="4"/>
        <v>4</v>
      </c>
      <c r="AE5">
        <f t="shared" si="5"/>
        <v>4</v>
      </c>
      <c r="AF5" t="s">
        <v>2164</v>
      </c>
      <c r="AG5" t="s">
        <v>2179</v>
      </c>
      <c r="AH5" t="s">
        <v>2216</v>
      </c>
      <c r="AI5" t="s">
        <v>2220</v>
      </c>
      <c r="AK5">
        <f t="shared" si="6"/>
        <v>4</v>
      </c>
      <c r="AQ5">
        <f t="shared" si="7"/>
        <v>4</v>
      </c>
      <c r="AR5" t="s">
        <v>489</v>
      </c>
      <c r="AS5" t="s">
        <v>485</v>
      </c>
      <c r="AT5" t="s">
        <v>481</v>
      </c>
      <c r="AU5" t="s">
        <v>493</v>
      </c>
      <c r="AW5">
        <f t="shared" si="8"/>
        <v>4</v>
      </c>
      <c r="BC5">
        <f t="shared" si="9"/>
        <v>4</v>
      </c>
      <c r="BI5">
        <f t="shared" si="10"/>
        <v>4</v>
      </c>
      <c r="BO5">
        <f t="shared" si="11"/>
        <v>4</v>
      </c>
      <c r="BP5" t="s">
        <v>797</v>
      </c>
      <c r="BQ5" t="s">
        <v>1141</v>
      </c>
      <c r="BR5" t="s">
        <v>2024</v>
      </c>
      <c r="BS5" t="s">
        <v>1204</v>
      </c>
    </row>
    <row r="6" spans="1:67" ht="12.75">
      <c r="A6">
        <f t="shared" si="0"/>
        <v>5</v>
      </c>
      <c r="B6" t="s">
        <v>99</v>
      </c>
      <c r="C6" t="s">
        <v>104</v>
      </c>
      <c r="D6" t="s">
        <v>103</v>
      </c>
      <c r="E6" t="s">
        <v>102</v>
      </c>
      <c r="G6">
        <f t="shared" si="1"/>
        <v>5</v>
      </c>
      <c r="H6" t="s">
        <v>213</v>
      </c>
      <c r="I6" t="s">
        <v>2025</v>
      </c>
      <c r="J6" t="s">
        <v>216</v>
      </c>
      <c r="K6" t="s">
        <v>210</v>
      </c>
      <c r="M6">
        <f t="shared" si="2"/>
        <v>5</v>
      </c>
      <c r="N6" t="s">
        <v>1326</v>
      </c>
      <c r="O6" s="331" t="s">
        <v>1965</v>
      </c>
      <c r="P6" s="331" t="s">
        <v>1951</v>
      </c>
      <c r="Q6" s="331" t="s">
        <v>1937</v>
      </c>
      <c r="S6">
        <f t="shared" si="3"/>
        <v>5</v>
      </c>
      <c r="Y6">
        <f t="shared" si="4"/>
        <v>5</v>
      </c>
      <c r="AE6">
        <f t="shared" si="5"/>
        <v>5</v>
      </c>
      <c r="AF6" t="s">
        <v>2161</v>
      </c>
      <c r="AG6" t="s">
        <v>2269</v>
      </c>
      <c r="AH6" t="s">
        <v>2217</v>
      </c>
      <c r="AI6" t="s">
        <v>2221</v>
      </c>
      <c r="AK6">
        <f t="shared" si="6"/>
        <v>5</v>
      </c>
      <c r="AQ6">
        <f t="shared" si="7"/>
        <v>5</v>
      </c>
      <c r="AR6" t="s">
        <v>963</v>
      </c>
      <c r="AS6" t="s">
        <v>966</v>
      </c>
      <c r="AT6" t="s">
        <v>964</v>
      </c>
      <c r="AU6" t="s">
        <v>965</v>
      </c>
      <c r="AW6">
        <f t="shared" si="8"/>
        <v>5</v>
      </c>
      <c r="BC6">
        <f t="shared" si="9"/>
        <v>5</v>
      </c>
      <c r="BI6">
        <f t="shared" si="10"/>
        <v>5</v>
      </c>
      <c r="BO6">
        <f t="shared" si="11"/>
        <v>5</v>
      </c>
    </row>
    <row r="7" spans="1:67" ht="12.75">
      <c r="A7">
        <f t="shared" si="0"/>
        <v>6</v>
      </c>
      <c r="B7" t="s">
        <v>137</v>
      </c>
      <c r="C7" t="s">
        <v>105</v>
      </c>
      <c r="D7" t="s">
        <v>108</v>
      </c>
      <c r="E7" t="s">
        <v>100</v>
      </c>
      <c r="G7">
        <f t="shared" si="1"/>
        <v>6</v>
      </c>
      <c r="H7" t="s">
        <v>214</v>
      </c>
      <c r="I7" t="s">
        <v>217</v>
      </c>
      <c r="J7" t="s">
        <v>218</v>
      </c>
      <c r="K7" t="s">
        <v>211</v>
      </c>
      <c r="M7">
        <f t="shared" si="2"/>
        <v>6</v>
      </c>
      <c r="N7" t="s">
        <v>700</v>
      </c>
      <c r="O7" s="331" t="s">
        <v>810</v>
      </c>
      <c r="P7" s="331" t="s">
        <v>809</v>
      </c>
      <c r="Q7" s="331" t="s">
        <v>808</v>
      </c>
      <c r="S7">
        <f t="shared" si="3"/>
        <v>6</v>
      </c>
      <c r="Y7">
        <f t="shared" si="4"/>
        <v>6</v>
      </c>
      <c r="AE7">
        <f t="shared" si="5"/>
        <v>6</v>
      </c>
      <c r="AF7" t="s">
        <v>2163</v>
      </c>
      <c r="AG7" t="s">
        <v>2180</v>
      </c>
      <c r="AH7" t="s">
        <v>2218</v>
      </c>
      <c r="AI7" t="s">
        <v>2222</v>
      </c>
      <c r="AK7">
        <f t="shared" si="6"/>
        <v>6</v>
      </c>
      <c r="AQ7">
        <f t="shared" si="7"/>
        <v>6</v>
      </c>
      <c r="AW7">
        <f t="shared" si="8"/>
        <v>6</v>
      </c>
      <c r="BC7">
        <f t="shared" si="9"/>
        <v>6</v>
      </c>
      <c r="BI7">
        <f t="shared" si="10"/>
        <v>6</v>
      </c>
      <c r="BO7">
        <f t="shared" si="11"/>
        <v>6</v>
      </c>
    </row>
    <row r="8" spans="1:67" ht="12.75">
      <c r="A8">
        <f t="shared" si="0"/>
        <v>7</v>
      </c>
      <c r="B8" t="s">
        <v>2020</v>
      </c>
      <c r="C8" t="s">
        <v>95</v>
      </c>
      <c r="D8" t="s">
        <v>96</v>
      </c>
      <c r="E8" t="s">
        <v>116</v>
      </c>
      <c r="G8">
        <f t="shared" si="1"/>
        <v>7</v>
      </c>
      <c r="H8" t="s">
        <v>215</v>
      </c>
      <c r="I8" t="s">
        <v>219</v>
      </c>
      <c r="J8" t="s">
        <v>220</v>
      </c>
      <c r="K8" t="s">
        <v>212</v>
      </c>
      <c r="M8">
        <f t="shared" si="2"/>
        <v>7</v>
      </c>
      <c r="N8" t="s">
        <v>780</v>
      </c>
      <c r="O8" s="331" t="s">
        <v>863</v>
      </c>
      <c r="P8" s="331" t="s">
        <v>864</v>
      </c>
      <c r="Q8" s="331" t="s">
        <v>865</v>
      </c>
      <c r="S8">
        <f t="shared" si="3"/>
        <v>7</v>
      </c>
      <c r="Y8">
        <f t="shared" si="4"/>
        <v>7</v>
      </c>
      <c r="AE8">
        <f t="shared" si="5"/>
        <v>7</v>
      </c>
      <c r="AF8" t="s">
        <v>2162</v>
      </c>
      <c r="AG8" t="s">
        <v>2181</v>
      </c>
      <c r="AH8" t="s">
        <v>2219</v>
      </c>
      <c r="AI8" t="s">
        <v>2223</v>
      </c>
      <c r="AK8">
        <f t="shared" si="6"/>
        <v>7</v>
      </c>
      <c r="AQ8">
        <f t="shared" si="7"/>
        <v>7</v>
      </c>
      <c r="AW8">
        <f t="shared" si="8"/>
        <v>7</v>
      </c>
      <c r="BC8">
        <f t="shared" si="9"/>
        <v>7</v>
      </c>
      <c r="BI8">
        <f t="shared" si="10"/>
        <v>7</v>
      </c>
      <c r="BO8">
        <f t="shared" si="11"/>
        <v>7</v>
      </c>
    </row>
    <row r="9" spans="1:67" ht="12.75">
      <c r="A9">
        <f aca="true" t="shared" si="12" ref="A9:A17">ROW()-1</f>
        <v>8</v>
      </c>
      <c r="B9" t="s">
        <v>0</v>
      </c>
      <c r="C9" t="s">
        <v>109</v>
      </c>
      <c r="D9" t="s">
        <v>110</v>
      </c>
      <c r="E9" t="s">
        <v>117</v>
      </c>
      <c r="G9">
        <f t="shared" si="1"/>
        <v>8</v>
      </c>
      <c r="H9" t="s">
        <v>222</v>
      </c>
      <c r="I9" t="s">
        <v>223</v>
      </c>
      <c r="J9" t="s">
        <v>224</v>
      </c>
      <c r="K9" t="s">
        <v>221</v>
      </c>
      <c r="M9">
        <f t="shared" si="2"/>
        <v>8</v>
      </c>
      <c r="N9" t="s">
        <v>767</v>
      </c>
      <c r="O9" s="331" t="s">
        <v>896</v>
      </c>
      <c r="P9" s="331" t="s">
        <v>891</v>
      </c>
      <c r="Q9" s="331" t="s">
        <v>915</v>
      </c>
      <c r="S9">
        <f t="shared" si="3"/>
        <v>8</v>
      </c>
      <c r="Y9">
        <f t="shared" si="4"/>
        <v>8</v>
      </c>
      <c r="AE9">
        <f t="shared" si="5"/>
        <v>8</v>
      </c>
      <c r="AK9">
        <f t="shared" si="6"/>
        <v>8</v>
      </c>
      <c r="AQ9">
        <f t="shared" si="7"/>
        <v>8</v>
      </c>
      <c r="AW9">
        <f t="shared" si="8"/>
        <v>8</v>
      </c>
      <c r="BC9">
        <f t="shared" si="9"/>
        <v>8</v>
      </c>
      <c r="BI9">
        <f t="shared" si="10"/>
        <v>8</v>
      </c>
      <c r="BO9">
        <f t="shared" si="11"/>
        <v>8</v>
      </c>
    </row>
    <row r="10" spans="1:67" ht="12.75">
      <c r="A10">
        <f t="shared" si="12"/>
        <v>9</v>
      </c>
      <c r="B10" t="s">
        <v>1</v>
      </c>
      <c r="C10" t="s">
        <v>134</v>
      </c>
      <c r="D10" t="s">
        <v>135</v>
      </c>
      <c r="E10" t="s">
        <v>118</v>
      </c>
      <c r="G10">
        <f t="shared" si="1"/>
        <v>9</v>
      </c>
      <c r="H10" t="s">
        <v>228</v>
      </c>
      <c r="I10" t="s">
        <v>230</v>
      </c>
      <c r="J10" t="s">
        <v>231</v>
      </c>
      <c r="K10" t="s">
        <v>226</v>
      </c>
      <c r="M10">
        <f t="shared" si="2"/>
        <v>9</v>
      </c>
      <c r="N10" t="s">
        <v>943</v>
      </c>
      <c r="O10" s="331" t="s">
        <v>944</v>
      </c>
      <c r="P10" s="331" t="s">
        <v>2026</v>
      </c>
      <c r="Q10" s="331" t="s">
        <v>932</v>
      </c>
      <c r="S10">
        <f t="shared" si="3"/>
        <v>9</v>
      </c>
      <c r="Y10">
        <f t="shared" si="4"/>
        <v>9</v>
      </c>
      <c r="AE10">
        <f t="shared" si="5"/>
        <v>9</v>
      </c>
      <c r="AK10">
        <f t="shared" si="6"/>
        <v>9</v>
      </c>
      <c r="AQ10">
        <f t="shared" si="7"/>
        <v>9</v>
      </c>
      <c r="AW10">
        <f t="shared" si="8"/>
        <v>9</v>
      </c>
      <c r="BC10">
        <f t="shared" si="9"/>
        <v>9</v>
      </c>
      <c r="BI10">
        <f t="shared" si="10"/>
        <v>9</v>
      </c>
      <c r="BO10">
        <f t="shared" si="11"/>
        <v>9</v>
      </c>
    </row>
    <row r="11" spans="1:67" ht="12.75">
      <c r="A11">
        <f t="shared" si="12"/>
        <v>10</v>
      </c>
      <c r="B11" t="s">
        <v>2</v>
      </c>
      <c r="C11" t="s">
        <v>138</v>
      </c>
      <c r="D11" t="s">
        <v>139</v>
      </c>
      <c r="E11" t="s">
        <v>119</v>
      </c>
      <c r="G11">
        <f t="shared" si="1"/>
        <v>10</v>
      </c>
      <c r="H11" t="s">
        <v>229</v>
      </c>
      <c r="I11" t="s">
        <v>232</v>
      </c>
      <c r="J11" t="s">
        <v>233</v>
      </c>
      <c r="K11" t="s">
        <v>227</v>
      </c>
      <c r="M11">
        <f t="shared" si="2"/>
        <v>10</v>
      </c>
      <c r="N11" t="s">
        <v>1313</v>
      </c>
      <c r="O11" s="331" t="s">
        <v>1993</v>
      </c>
      <c r="P11" s="331" t="s">
        <v>1987</v>
      </c>
      <c r="Q11" s="331" t="s">
        <v>1994</v>
      </c>
      <c r="S11">
        <f t="shared" si="3"/>
        <v>10</v>
      </c>
      <c r="Y11">
        <f t="shared" si="4"/>
        <v>10</v>
      </c>
      <c r="AE11">
        <f t="shared" si="5"/>
        <v>10</v>
      </c>
      <c r="AK11">
        <f t="shared" si="6"/>
        <v>10</v>
      </c>
      <c r="AQ11">
        <f t="shared" si="7"/>
        <v>10</v>
      </c>
      <c r="AW11">
        <f t="shared" si="8"/>
        <v>10</v>
      </c>
      <c r="BC11">
        <f t="shared" si="9"/>
        <v>10</v>
      </c>
      <c r="BI11">
        <f t="shared" si="10"/>
        <v>10</v>
      </c>
      <c r="BO11">
        <f t="shared" si="11"/>
        <v>10</v>
      </c>
    </row>
    <row r="12" spans="1:71" ht="12.75">
      <c r="A12">
        <f t="shared" si="12"/>
        <v>11</v>
      </c>
      <c r="B12" t="s">
        <v>3</v>
      </c>
      <c r="C12" t="s">
        <v>176</v>
      </c>
      <c r="D12" t="s">
        <v>175</v>
      </c>
      <c r="E12" t="s">
        <v>120</v>
      </c>
      <c r="G12">
        <f t="shared" si="1"/>
        <v>11</v>
      </c>
      <c r="H12" t="s">
        <v>237</v>
      </c>
      <c r="I12" t="s">
        <v>2027</v>
      </c>
      <c r="J12" t="s">
        <v>240</v>
      </c>
      <c r="K12" t="s">
        <v>234</v>
      </c>
      <c r="M12">
        <f t="shared" si="2"/>
        <v>11</v>
      </c>
      <c r="N12" t="s">
        <v>1327</v>
      </c>
      <c r="O12" s="331" t="s">
        <v>2008</v>
      </c>
      <c r="P12" s="331" t="s">
        <v>1999</v>
      </c>
      <c r="Q12" s="331" t="s">
        <v>2013</v>
      </c>
      <c r="S12">
        <f t="shared" si="3"/>
        <v>11</v>
      </c>
      <c r="T12" t="s">
        <v>40</v>
      </c>
      <c r="U12" t="s">
        <v>280</v>
      </c>
      <c r="V12" t="s">
        <v>281</v>
      </c>
      <c r="W12" t="s">
        <v>282</v>
      </c>
      <c r="Y12">
        <f t="shared" si="4"/>
        <v>11</v>
      </c>
      <c r="Z12" t="s">
        <v>387</v>
      </c>
      <c r="AA12" t="s">
        <v>387</v>
      </c>
      <c r="AB12" t="s">
        <v>387</v>
      </c>
      <c r="AC12" t="s">
        <v>387</v>
      </c>
      <c r="AE12">
        <f t="shared" si="5"/>
        <v>11</v>
      </c>
      <c r="AF12" t="s">
        <v>40</v>
      </c>
      <c r="AG12" t="s">
        <v>280</v>
      </c>
      <c r="AH12" t="s">
        <v>281</v>
      </c>
      <c r="AI12" t="s">
        <v>282</v>
      </c>
      <c r="AK12">
        <f t="shared" si="6"/>
        <v>11</v>
      </c>
      <c r="AL12" t="s">
        <v>2160</v>
      </c>
      <c r="AM12" t="s">
        <v>2160</v>
      </c>
      <c r="AN12" t="s">
        <v>2160</v>
      </c>
      <c r="AO12" t="s">
        <v>2160</v>
      </c>
      <c r="AQ12">
        <f t="shared" si="7"/>
        <v>11</v>
      </c>
      <c r="AR12" t="s">
        <v>494</v>
      </c>
      <c r="AS12" t="s">
        <v>504</v>
      </c>
      <c r="AT12" t="s">
        <v>498</v>
      </c>
      <c r="AU12" t="s">
        <v>501</v>
      </c>
      <c r="AW12">
        <f t="shared" si="8"/>
        <v>11</v>
      </c>
      <c r="AX12" t="s">
        <v>718</v>
      </c>
      <c r="AY12" t="s">
        <v>997</v>
      </c>
      <c r="AZ12" t="s">
        <v>1011</v>
      </c>
      <c r="BA12" t="s">
        <v>1030</v>
      </c>
      <c r="BC12">
        <f t="shared" si="9"/>
        <v>11</v>
      </c>
      <c r="BD12" t="s">
        <v>740</v>
      </c>
      <c r="BE12" t="s">
        <v>1048</v>
      </c>
      <c r="BF12" t="s">
        <v>1100</v>
      </c>
      <c r="BG12" t="s">
        <v>1073</v>
      </c>
      <c r="BI12">
        <f t="shared" si="10"/>
        <v>11</v>
      </c>
      <c r="BJ12" t="s">
        <v>687</v>
      </c>
      <c r="BK12" t="s">
        <v>812</v>
      </c>
      <c r="BL12" t="s">
        <v>814</v>
      </c>
      <c r="BM12" t="s">
        <v>808</v>
      </c>
      <c r="BO12">
        <f t="shared" si="11"/>
        <v>11</v>
      </c>
      <c r="BP12" t="s">
        <v>875</v>
      </c>
      <c r="BQ12" t="s">
        <v>872</v>
      </c>
      <c r="BR12" t="s">
        <v>871</v>
      </c>
      <c r="BS12" t="s">
        <v>869</v>
      </c>
    </row>
    <row r="13" spans="1:71" ht="12.75">
      <c r="A13">
        <f t="shared" si="12"/>
        <v>12</v>
      </c>
      <c r="B13" t="s">
        <v>4</v>
      </c>
      <c r="C13" t="s">
        <v>177</v>
      </c>
      <c r="D13" t="s">
        <v>178</v>
      </c>
      <c r="E13" t="s">
        <v>121</v>
      </c>
      <c r="G13">
        <f t="shared" si="1"/>
        <v>12</v>
      </c>
      <c r="H13" t="s">
        <v>238</v>
      </c>
      <c r="I13" t="s">
        <v>2028</v>
      </c>
      <c r="J13" t="s">
        <v>241</v>
      </c>
      <c r="K13" t="s">
        <v>235</v>
      </c>
      <c r="M13">
        <f t="shared" si="2"/>
        <v>12</v>
      </c>
      <c r="O13" s="331"/>
      <c r="P13" s="331"/>
      <c r="Q13" s="331"/>
      <c r="S13">
        <f t="shared" si="3"/>
        <v>12</v>
      </c>
      <c r="T13" t="s">
        <v>46</v>
      </c>
      <c r="U13" t="s">
        <v>46</v>
      </c>
      <c r="V13" t="s">
        <v>46</v>
      </c>
      <c r="W13" t="s">
        <v>46</v>
      </c>
      <c r="Y13">
        <f t="shared" si="4"/>
        <v>12</v>
      </c>
      <c r="Z13" t="s">
        <v>80</v>
      </c>
      <c r="AA13" t="s">
        <v>388</v>
      </c>
      <c r="AB13" t="s">
        <v>389</v>
      </c>
      <c r="AC13" t="s">
        <v>390</v>
      </c>
      <c r="AE13">
        <f t="shared" si="5"/>
        <v>12</v>
      </c>
      <c r="AF13" t="s">
        <v>46</v>
      </c>
      <c r="AG13" t="s">
        <v>46</v>
      </c>
      <c r="AH13" t="s">
        <v>46</v>
      </c>
      <c r="AI13" t="s">
        <v>46</v>
      </c>
      <c r="AK13">
        <f t="shared" si="6"/>
        <v>12</v>
      </c>
      <c r="AL13" t="s">
        <v>46</v>
      </c>
      <c r="AM13" t="s">
        <v>46</v>
      </c>
      <c r="AN13" t="s">
        <v>46</v>
      </c>
      <c r="AO13" t="s">
        <v>46</v>
      </c>
      <c r="AQ13">
        <f t="shared" si="7"/>
        <v>12</v>
      </c>
      <c r="AR13" t="s">
        <v>497</v>
      </c>
      <c r="AS13" t="s">
        <v>1283</v>
      </c>
      <c r="AT13" t="s">
        <v>1284</v>
      </c>
      <c r="AU13" t="s">
        <v>1285</v>
      </c>
      <c r="AW13">
        <f t="shared" si="8"/>
        <v>12</v>
      </c>
      <c r="AX13" t="s">
        <v>1590</v>
      </c>
      <c r="AY13" t="s">
        <v>2029</v>
      </c>
      <c r="AZ13" t="s">
        <v>2030</v>
      </c>
      <c r="BA13" t="s">
        <v>1031</v>
      </c>
      <c r="BC13">
        <f t="shared" si="9"/>
        <v>12</v>
      </c>
      <c r="BD13" t="s">
        <v>748</v>
      </c>
      <c r="BE13" t="s">
        <v>1049</v>
      </c>
      <c r="BF13" t="s">
        <v>1101</v>
      </c>
      <c r="BG13" t="s">
        <v>1074</v>
      </c>
      <c r="BI13">
        <f t="shared" si="10"/>
        <v>12</v>
      </c>
      <c r="BJ13" t="s">
        <v>874</v>
      </c>
      <c r="BK13" t="s">
        <v>873</v>
      </c>
      <c r="BL13" t="s">
        <v>870</v>
      </c>
      <c r="BM13" t="s">
        <v>868</v>
      </c>
      <c r="BO13">
        <f t="shared" si="11"/>
        <v>12</v>
      </c>
      <c r="BP13" t="s">
        <v>748</v>
      </c>
      <c r="BQ13" t="s">
        <v>1049</v>
      </c>
      <c r="BR13" t="s">
        <v>1101</v>
      </c>
      <c r="BS13" t="s">
        <v>1074</v>
      </c>
    </row>
    <row r="14" spans="1:71" ht="12.75">
      <c r="A14">
        <f t="shared" si="12"/>
        <v>13</v>
      </c>
      <c r="B14" t="s">
        <v>5</v>
      </c>
      <c r="C14" t="s">
        <v>140</v>
      </c>
      <c r="D14" t="s">
        <v>141</v>
      </c>
      <c r="E14" t="s">
        <v>111</v>
      </c>
      <c r="G14">
        <f t="shared" si="1"/>
        <v>13</v>
      </c>
      <c r="H14" t="s">
        <v>239</v>
      </c>
      <c r="I14" t="s">
        <v>242</v>
      </c>
      <c r="J14" t="s">
        <v>243</v>
      </c>
      <c r="K14" t="s">
        <v>236</v>
      </c>
      <c r="M14">
        <f t="shared" si="2"/>
        <v>13</v>
      </c>
      <c r="O14" s="331"/>
      <c r="P14" s="331"/>
      <c r="Q14" s="331"/>
      <c r="S14">
        <f t="shared" si="3"/>
        <v>13</v>
      </c>
      <c r="Y14">
        <f t="shared" si="4"/>
        <v>13</v>
      </c>
      <c r="AE14">
        <f t="shared" si="5"/>
        <v>13</v>
      </c>
      <c r="AF14" t="s">
        <v>748</v>
      </c>
      <c r="AG14" t="s">
        <v>1049</v>
      </c>
      <c r="AH14" t="s">
        <v>1101</v>
      </c>
      <c r="AI14" t="s">
        <v>1074</v>
      </c>
      <c r="AK14">
        <f t="shared" si="6"/>
        <v>13</v>
      </c>
      <c r="AQ14">
        <f t="shared" si="7"/>
        <v>13</v>
      </c>
      <c r="AR14" t="s">
        <v>495</v>
      </c>
      <c r="AS14" t="s">
        <v>505</v>
      </c>
      <c r="AT14" t="s">
        <v>499</v>
      </c>
      <c r="AU14" t="s">
        <v>502</v>
      </c>
      <c r="AW14">
        <f t="shared" si="8"/>
        <v>13</v>
      </c>
      <c r="AX14" t="s">
        <v>46</v>
      </c>
      <c r="AY14" t="s">
        <v>46</v>
      </c>
      <c r="AZ14" t="s">
        <v>46</v>
      </c>
      <c r="BA14" t="s">
        <v>46</v>
      </c>
      <c r="BC14">
        <f t="shared" si="9"/>
        <v>13</v>
      </c>
      <c r="BD14" t="s">
        <v>40</v>
      </c>
      <c r="BE14" t="s">
        <v>280</v>
      </c>
      <c r="BF14" t="s">
        <v>281</v>
      </c>
      <c r="BG14" t="s">
        <v>282</v>
      </c>
      <c r="BI14">
        <f t="shared" si="10"/>
        <v>13</v>
      </c>
      <c r="BJ14" t="s">
        <v>875</v>
      </c>
      <c r="BK14" t="s">
        <v>872</v>
      </c>
      <c r="BL14" t="s">
        <v>871</v>
      </c>
      <c r="BM14" t="s">
        <v>869</v>
      </c>
      <c r="BO14">
        <f t="shared" si="11"/>
        <v>13</v>
      </c>
      <c r="BP14" t="s">
        <v>1211</v>
      </c>
      <c r="BQ14" t="s">
        <v>1145</v>
      </c>
      <c r="BR14" t="s">
        <v>1184</v>
      </c>
      <c r="BS14" t="s">
        <v>1210</v>
      </c>
    </row>
    <row r="15" spans="1:67" ht="12.75">
      <c r="A15">
        <f t="shared" si="12"/>
        <v>14</v>
      </c>
      <c r="B15" t="s">
        <v>6</v>
      </c>
      <c r="C15" t="s">
        <v>6</v>
      </c>
      <c r="D15" t="s">
        <v>142</v>
      </c>
      <c r="E15" t="s">
        <v>112</v>
      </c>
      <c r="G15">
        <f aca="true" t="shared" si="13" ref="G15:G20">ROW()-1</f>
        <v>14</v>
      </c>
      <c r="H15" t="s">
        <v>260</v>
      </c>
      <c r="I15" t="s">
        <v>269</v>
      </c>
      <c r="J15" t="s">
        <v>270</v>
      </c>
      <c r="K15" t="s">
        <v>254</v>
      </c>
      <c r="M15">
        <f t="shared" si="2"/>
        <v>14</v>
      </c>
      <c r="O15" s="331"/>
      <c r="P15" s="331"/>
      <c r="Q15" s="331"/>
      <c r="S15">
        <f t="shared" si="3"/>
        <v>14</v>
      </c>
      <c r="Y15">
        <f t="shared" si="4"/>
        <v>14</v>
      </c>
      <c r="AE15">
        <f t="shared" si="5"/>
        <v>14</v>
      </c>
      <c r="AF15" t="s">
        <v>1290</v>
      </c>
      <c r="AG15" t="s">
        <v>1476</v>
      </c>
      <c r="AH15" t="s">
        <v>1477</v>
      </c>
      <c r="AI15" t="s">
        <v>1478</v>
      </c>
      <c r="AK15">
        <f t="shared" si="6"/>
        <v>14</v>
      </c>
      <c r="AQ15">
        <f t="shared" si="7"/>
        <v>14</v>
      </c>
      <c r="AR15" t="s">
        <v>496</v>
      </c>
      <c r="AS15" t="s">
        <v>506</v>
      </c>
      <c r="AT15" t="s">
        <v>500</v>
      </c>
      <c r="AU15" t="s">
        <v>503</v>
      </c>
      <c r="AW15">
        <f t="shared" si="8"/>
        <v>14</v>
      </c>
      <c r="AX15" t="s">
        <v>1400</v>
      </c>
      <c r="AY15" t="s">
        <v>1598</v>
      </c>
      <c r="AZ15" t="s">
        <v>1598</v>
      </c>
      <c r="BA15" t="s">
        <v>1400</v>
      </c>
      <c r="BC15">
        <f t="shared" si="9"/>
        <v>14</v>
      </c>
      <c r="BD15" t="s">
        <v>755</v>
      </c>
      <c r="BE15" t="s">
        <v>2031</v>
      </c>
      <c r="BF15" t="s">
        <v>1102</v>
      </c>
      <c r="BG15" t="s">
        <v>1075</v>
      </c>
      <c r="BI15">
        <f t="shared" si="10"/>
        <v>14</v>
      </c>
      <c r="BJ15" t="s">
        <v>748</v>
      </c>
      <c r="BK15" t="s">
        <v>1049</v>
      </c>
      <c r="BL15" t="s">
        <v>1101</v>
      </c>
      <c r="BM15" t="s">
        <v>1074</v>
      </c>
      <c r="BO15">
        <f t="shared" si="11"/>
        <v>14</v>
      </c>
    </row>
    <row r="16" spans="1:67" ht="12.75">
      <c r="A16">
        <f t="shared" si="12"/>
        <v>15</v>
      </c>
      <c r="B16" t="s">
        <v>7</v>
      </c>
      <c r="C16" t="s">
        <v>113</v>
      </c>
      <c r="D16" t="s">
        <v>143</v>
      </c>
      <c r="E16" t="s">
        <v>113</v>
      </c>
      <c r="G16">
        <f t="shared" si="13"/>
        <v>15</v>
      </c>
      <c r="H16" t="s">
        <v>261</v>
      </c>
      <c r="I16" t="s">
        <v>2032</v>
      </c>
      <c r="J16" t="s">
        <v>271</v>
      </c>
      <c r="K16" t="s">
        <v>255</v>
      </c>
      <c r="M16">
        <f t="shared" si="2"/>
        <v>15</v>
      </c>
      <c r="O16" s="331"/>
      <c r="P16" s="331"/>
      <c r="Q16" s="331"/>
      <c r="S16">
        <f t="shared" si="3"/>
        <v>15</v>
      </c>
      <c r="Y16">
        <f t="shared" si="4"/>
        <v>15</v>
      </c>
      <c r="AE16">
        <f t="shared" si="5"/>
        <v>15</v>
      </c>
      <c r="AF16" t="s">
        <v>685</v>
      </c>
      <c r="AG16" t="s">
        <v>811</v>
      </c>
      <c r="AH16" t="s">
        <v>813</v>
      </c>
      <c r="AI16" t="s">
        <v>815</v>
      </c>
      <c r="AK16">
        <f t="shared" si="6"/>
        <v>15</v>
      </c>
      <c r="AQ16">
        <f t="shared" si="7"/>
        <v>15</v>
      </c>
      <c r="AR16" t="s">
        <v>46</v>
      </c>
      <c r="AS16" t="s">
        <v>46</v>
      </c>
      <c r="AT16" t="s">
        <v>46</v>
      </c>
      <c r="AU16" t="s">
        <v>46</v>
      </c>
      <c r="AW16">
        <f t="shared" si="8"/>
        <v>15</v>
      </c>
      <c r="BC16">
        <f t="shared" si="9"/>
        <v>15</v>
      </c>
      <c r="BD16" t="s">
        <v>761</v>
      </c>
      <c r="BE16" t="s">
        <v>1050</v>
      </c>
      <c r="BF16" t="s">
        <v>2033</v>
      </c>
      <c r="BG16" t="s">
        <v>1076</v>
      </c>
      <c r="BI16">
        <f t="shared" si="10"/>
        <v>15</v>
      </c>
      <c r="BJ16" t="s">
        <v>1413</v>
      </c>
      <c r="BK16" t="s">
        <v>1673</v>
      </c>
      <c r="BL16" t="s">
        <v>1675</v>
      </c>
      <c r="BM16" t="s">
        <v>1673</v>
      </c>
      <c r="BO16">
        <f t="shared" si="11"/>
        <v>15</v>
      </c>
    </row>
    <row r="17" spans="1:67" ht="12.75">
      <c r="A17">
        <f t="shared" si="12"/>
        <v>16</v>
      </c>
      <c r="B17" t="s">
        <v>8</v>
      </c>
      <c r="C17" t="s">
        <v>144</v>
      </c>
      <c r="D17" t="s">
        <v>145</v>
      </c>
      <c r="E17" t="s">
        <v>122</v>
      </c>
      <c r="G17">
        <f t="shared" si="13"/>
        <v>16</v>
      </c>
      <c r="H17" t="s">
        <v>262</v>
      </c>
      <c r="I17" t="s">
        <v>266</v>
      </c>
      <c r="J17" t="s">
        <v>272</v>
      </c>
      <c r="K17" t="s">
        <v>256</v>
      </c>
      <c r="M17">
        <f t="shared" si="2"/>
        <v>16</v>
      </c>
      <c r="O17" s="331"/>
      <c r="P17" s="331"/>
      <c r="Q17" s="331"/>
      <c r="S17">
        <f t="shared" si="3"/>
        <v>16</v>
      </c>
      <c r="Y17">
        <f t="shared" si="4"/>
        <v>16</v>
      </c>
      <c r="AE17">
        <f t="shared" si="5"/>
        <v>16</v>
      </c>
      <c r="AF17" t="s">
        <v>687</v>
      </c>
      <c r="AG17" t="s">
        <v>812</v>
      </c>
      <c r="AH17" t="s">
        <v>814</v>
      </c>
      <c r="AI17" t="s">
        <v>808</v>
      </c>
      <c r="AK17">
        <f t="shared" si="6"/>
        <v>16</v>
      </c>
      <c r="AQ17">
        <f t="shared" si="7"/>
        <v>16</v>
      </c>
      <c r="AR17" t="s">
        <v>967</v>
      </c>
      <c r="AS17" t="s">
        <v>968</v>
      </c>
      <c r="AT17" t="s">
        <v>967</v>
      </c>
      <c r="AU17" t="s">
        <v>967</v>
      </c>
      <c r="AW17">
        <f t="shared" si="8"/>
        <v>16</v>
      </c>
      <c r="BC17">
        <f t="shared" si="9"/>
        <v>16</v>
      </c>
      <c r="BI17">
        <f t="shared" si="10"/>
        <v>16</v>
      </c>
      <c r="BO17">
        <f t="shared" si="11"/>
        <v>16</v>
      </c>
    </row>
    <row r="18" spans="1:67" ht="12.75">
      <c r="A18">
        <f aca="true" t="shared" si="14" ref="A18:A31">ROW()-1</f>
        <v>17</v>
      </c>
      <c r="B18" t="s">
        <v>9</v>
      </c>
      <c r="C18" t="s">
        <v>146</v>
      </c>
      <c r="D18" t="s">
        <v>147</v>
      </c>
      <c r="E18" t="s">
        <v>114</v>
      </c>
      <c r="G18">
        <f t="shared" si="13"/>
        <v>17</v>
      </c>
      <c r="H18" t="s">
        <v>263</v>
      </c>
      <c r="I18" t="s">
        <v>267</v>
      </c>
      <c r="J18" t="s">
        <v>273</v>
      </c>
      <c r="K18" t="s">
        <v>257</v>
      </c>
      <c r="M18">
        <f t="shared" si="2"/>
        <v>17</v>
      </c>
      <c r="O18" s="331"/>
      <c r="P18" s="331"/>
      <c r="Q18" s="331"/>
      <c r="S18">
        <f t="shared" si="3"/>
        <v>17</v>
      </c>
      <c r="Y18">
        <f t="shared" si="4"/>
        <v>17</v>
      </c>
      <c r="AE18">
        <f t="shared" si="5"/>
        <v>17</v>
      </c>
      <c r="AF18" t="s">
        <v>1400</v>
      </c>
      <c r="AG18" t="s">
        <v>1598</v>
      </c>
      <c r="AH18" t="s">
        <v>1598</v>
      </c>
      <c r="AI18" t="s">
        <v>1400</v>
      </c>
      <c r="AK18">
        <f t="shared" si="6"/>
        <v>17</v>
      </c>
      <c r="AQ18">
        <f t="shared" si="7"/>
        <v>17</v>
      </c>
      <c r="AR18" t="s">
        <v>225</v>
      </c>
      <c r="AS18" t="s">
        <v>427</v>
      </c>
      <c r="AT18" t="s">
        <v>225</v>
      </c>
      <c r="AU18" t="s">
        <v>225</v>
      </c>
      <c r="AW18">
        <f t="shared" si="8"/>
        <v>17</v>
      </c>
      <c r="BC18">
        <f t="shared" si="9"/>
        <v>17</v>
      </c>
      <c r="BI18">
        <f t="shared" si="10"/>
        <v>17</v>
      </c>
      <c r="BO18">
        <f t="shared" si="11"/>
        <v>17</v>
      </c>
    </row>
    <row r="19" spans="1:67" ht="12.75">
      <c r="A19">
        <f t="shared" si="14"/>
        <v>18</v>
      </c>
      <c r="B19" t="s">
        <v>10</v>
      </c>
      <c r="C19" t="s">
        <v>149</v>
      </c>
      <c r="D19" t="s">
        <v>150</v>
      </c>
      <c r="E19" t="s">
        <v>148</v>
      </c>
      <c r="G19">
        <f t="shared" si="13"/>
        <v>18</v>
      </c>
      <c r="H19" t="s">
        <v>264</v>
      </c>
      <c r="I19" t="s">
        <v>2034</v>
      </c>
      <c r="J19" t="s">
        <v>274</v>
      </c>
      <c r="K19" t="s">
        <v>258</v>
      </c>
      <c r="M19">
        <f t="shared" si="2"/>
        <v>18</v>
      </c>
      <c r="O19" s="331"/>
      <c r="P19" s="331"/>
      <c r="Q19" s="331"/>
      <c r="S19">
        <f t="shared" si="3"/>
        <v>18</v>
      </c>
      <c r="Y19">
        <f t="shared" si="4"/>
        <v>18</v>
      </c>
      <c r="AE19">
        <f t="shared" si="5"/>
        <v>18</v>
      </c>
      <c r="AK19">
        <f t="shared" si="6"/>
        <v>18</v>
      </c>
      <c r="AQ19">
        <f t="shared" si="7"/>
        <v>18</v>
      </c>
      <c r="AW19">
        <f t="shared" si="8"/>
        <v>18</v>
      </c>
      <c r="BC19">
        <f t="shared" si="9"/>
        <v>18</v>
      </c>
      <c r="BI19">
        <f t="shared" si="10"/>
        <v>18</v>
      </c>
      <c r="BO19">
        <f t="shared" si="11"/>
        <v>18</v>
      </c>
    </row>
    <row r="20" spans="1:67" ht="15">
      <c r="A20">
        <f t="shared" si="14"/>
        <v>19</v>
      </c>
      <c r="B20" t="s">
        <v>11</v>
      </c>
      <c r="C20" t="s">
        <v>151</v>
      </c>
      <c r="D20" t="s">
        <v>153</v>
      </c>
      <c r="E20" t="s">
        <v>123</v>
      </c>
      <c r="G20">
        <f t="shared" si="13"/>
        <v>19</v>
      </c>
      <c r="H20" t="s">
        <v>265</v>
      </c>
      <c r="I20" t="s">
        <v>268</v>
      </c>
      <c r="J20" t="s">
        <v>275</v>
      </c>
      <c r="K20" t="s">
        <v>259</v>
      </c>
      <c r="M20">
        <f t="shared" si="2"/>
        <v>19</v>
      </c>
      <c r="O20" s="331"/>
      <c r="P20" s="331"/>
      <c r="Q20" s="331"/>
      <c r="S20">
        <f t="shared" si="3"/>
        <v>19</v>
      </c>
      <c r="Y20">
        <f t="shared" si="4"/>
        <v>19</v>
      </c>
      <c r="AE20">
        <f t="shared" si="5"/>
        <v>19</v>
      </c>
      <c r="AK20">
        <f t="shared" si="6"/>
        <v>19</v>
      </c>
      <c r="AQ20">
        <f t="shared" si="7"/>
        <v>19</v>
      </c>
      <c r="AW20">
        <f t="shared" si="8"/>
        <v>19</v>
      </c>
      <c r="BC20">
        <f t="shared" si="9"/>
        <v>19</v>
      </c>
      <c r="BI20">
        <f t="shared" si="10"/>
        <v>19</v>
      </c>
      <c r="BO20">
        <f t="shared" si="11"/>
        <v>19</v>
      </c>
    </row>
    <row r="21" spans="1:67" ht="12.75">
      <c r="A21">
        <f t="shared" si="14"/>
        <v>20</v>
      </c>
      <c r="B21" t="s">
        <v>12</v>
      </c>
      <c r="C21" t="s">
        <v>159</v>
      </c>
      <c r="D21" t="s">
        <v>154</v>
      </c>
      <c r="E21" t="s">
        <v>124</v>
      </c>
      <c r="M21">
        <f t="shared" si="2"/>
        <v>20</v>
      </c>
      <c r="O21" s="331"/>
      <c r="P21" s="331"/>
      <c r="Q21" s="331"/>
      <c r="S21">
        <f t="shared" si="3"/>
        <v>20</v>
      </c>
      <c r="Y21">
        <f t="shared" si="4"/>
        <v>20</v>
      </c>
      <c r="AE21">
        <f t="shared" si="5"/>
        <v>20</v>
      </c>
      <c r="AK21">
        <f t="shared" si="6"/>
        <v>20</v>
      </c>
      <c r="AQ21">
        <f t="shared" si="7"/>
        <v>20</v>
      </c>
      <c r="AW21">
        <f t="shared" si="8"/>
        <v>20</v>
      </c>
      <c r="BC21">
        <f t="shared" si="9"/>
        <v>20</v>
      </c>
      <c r="BI21">
        <f t="shared" si="10"/>
        <v>20</v>
      </c>
      <c r="BO21">
        <f t="shared" si="11"/>
        <v>20</v>
      </c>
    </row>
    <row r="22" spans="1:67" ht="12.75">
      <c r="A22">
        <f t="shared" si="14"/>
        <v>21</v>
      </c>
      <c r="B22" t="s">
        <v>13</v>
      </c>
      <c r="C22" t="s">
        <v>152</v>
      </c>
      <c r="D22" t="s">
        <v>155</v>
      </c>
      <c r="E22" t="s">
        <v>115</v>
      </c>
      <c r="M22">
        <f t="shared" si="2"/>
        <v>21</v>
      </c>
      <c r="N22" t="s">
        <v>46</v>
      </c>
      <c r="O22" s="331" t="s">
        <v>46</v>
      </c>
      <c r="P22" s="331" t="s">
        <v>46</v>
      </c>
      <c r="Q22" s="331" t="s">
        <v>46</v>
      </c>
      <c r="S22">
        <f t="shared" si="3"/>
        <v>21</v>
      </c>
      <c r="Y22">
        <f t="shared" si="4"/>
        <v>21</v>
      </c>
      <c r="AE22">
        <f t="shared" si="5"/>
        <v>21</v>
      </c>
      <c r="AK22">
        <f t="shared" si="6"/>
        <v>21</v>
      </c>
      <c r="AQ22">
        <f t="shared" si="7"/>
        <v>21</v>
      </c>
      <c r="AW22">
        <f t="shared" si="8"/>
        <v>21</v>
      </c>
      <c r="BC22">
        <f t="shared" si="9"/>
        <v>21</v>
      </c>
      <c r="BI22">
        <f t="shared" si="10"/>
        <v>21</v>
      </c>
      <c r="BO22">
        <f t="shared" si="11"/>
        <v>21</v>
      </c>
    </row>
    <row r="23" spans="1:67" ht="12.75">
      <c r="A23">
        <f t="shared" si="14"/>
        <v>22</v>
      </c>
      <c r="B23" t="s">
        <v>14</v>
      </c>
      <c r="C23" t="s">
        <v>125</v>
      </c>
      <c r="D23" t="s">
        <v>156</v>
      </c>
      <c r="E23" t="s">
        <v>125</v>
      </c>
      <c r="M23">
        <f t="shared" si="2"/>
        <v>22</v>
      </c>
      <c r="N23" t="s">
        <v>40</v>
      </c>
      <c r="O23" s="331" t="s">
        <v>280</v>
      </c>
      <c r="P23" s="331" t="s">
        <v>281</v>
      </c>
      <c r="Q23" s="331" t="s">
        <v>282</v>
      </c>
      <c r="S23">
        <f t="shared" si="3"/>
        <v>22</v>
      </c>
      <c r="Y23">
        <f t="shared" si="4"/>
        <v>22</v>
      </c>
      <c r="AE23">
        <f t="shared" si="5"/>
        <v>22</v>
      </c>
      <c r="AK23">
        <f t="shared" si="6"/>
        <v>22</v>
      </c>
      <c r="AQ23">
        <f t="shared" si="7"/>
        <v>22</v>
      </c>
      <c r="AW23">
        <f t="shared" si="8"/>
        <v>22</v>
      </c>
      <c r="BC23">
        <f t="shared" si="9"/>
        <v>22</v>
      </c>
      <c r="BI23">
        <f t="shared" si="10"/>
        <v>22</v>
      </c>
      <c r="BO23">
        <f t="shared" si="11"/>
        <v>22</v>
      </c>
    </row>
    <row r="24" spans="1:67" ht="12.75">
      <c r="A24">
        <f t="shared" si="14"/>
        <v>23</v>
      </c>
      <c r="B24" t="s">
        <v>15</v>
      </c>
      <c r="C24" t="s">
        <v>158</v>
      </c>
      <c r="D24" t="s">
        <v>174</v>
      </c>
      <c r="E24" t="s">
        <v>126</v>
      </c>
      <c r="M24">
        <f t="shared" si="2"/>
        <v>23</v>
      </c>
      <c r="N24" t="s">
        <v>1329</v>
      </c>
      <c r="O24" s="331" t="s">
        <v>2035</v>
      </c>
      <c r="P24" s="331" t="s">
        <v>1911</v>
      </c>
      <c r="Q24" s="331" t="s">
        <v>1919</v>
      </c>
      <c r="S24">
        <f t="shared" si="3"/>
        <v>23</v>
      </c>
      <c r="Y24">
        <f t="shared" si="4"/>
        <v>23</v>
      </c>
      <c r="AE24">
        <f t="shared" si="5"/>
        <v>23</v>
      </c>
      <c r="AK24">
        <f t="shared" si="6"/>
        <v>23</v>
      </c>
      <c r="AQ24">
        <f t="shared" si="7"/>
        <v>23</v>
      </c>
      <c r="AW24">
        <f t="shared" si="8"/>
        <v>23</v>
      </c>
      <c r="BC24">
        <f t="shared" si="9"/>
        <v>23</v>
      </c>
      <c r="BI24">
        <f t="shared" si="10"/>
        <v>23</v>
      </c>
      <c r="BO24">
        <f t="shared" si="11"/>
        <v>23</v>
      </c>
    </row>
    <row r="25" spans="1:67" ht="12.75">
      <c r="A25">
        <f t="shared" si="14"/>
        <v>24</v>
      </c>
      <c r="B25" t="s">
        <v>16</v>
      </c>
      <c r="C25" t="s">
        <v>157</v>
      </c>
      <c r="D25" t="s">
        <v>173</v>
      </c>
      <c r="E25" t="s">
        <v>127</v>
      </c>
      <c r="M25">
        <f t="shared" si="2"/>
        <v>24</v>
      </c>
      <c r="N25" t="s">
        <v>496</v>
      </c>
      <c r="O25" s="331" t="s">
        <v>1928</v>
      </c>
      <c r="P25" s="331" t="s">
        <v>500</v>
      </c>
      <c r="Q25" s="331" t="s">
        <v>1920</v>
      </c>
      <c r="S25">
        <f t="shared" si="3"/>
        <v>24</v>
      </c>
      <c r="Y25">
        <f t="shared" si="4"/>
        <v>24</v>
      </c>
      <c r="AE25">
        <f t="shared" si="5"/>
        <v>24</v>
      </c>
      <c r="AK25">
        <f t="shared" si="6"/>
        <v>24</v>
      </c>
      <c r="AQ25">
        <f t="shared" si="7"/>
        <v>24</v>
      </c>
      <c r="AW25">
        <f t="shared" si="8"/>
        <v>24</v>
      </c>
      <c r="BC25">
        <f t="shared" si="9"/>
        <v>24</v>
      </c>
      <c r="BI25">
        <f t="shared" si="10"/>
        <v>24</v>
      </c>
      <c r="BO25">
        <f t="shared" si="11"/>
        <v>24</v>
      </c>
    </row>
    <row r="26" spans="1:67" ht="12.75">
      <c r="A26">
        <f t="shared" si="14"/>
        <v>25</v>
      </c>
      <c r="B26" t="s">
        <v>17</v>
      </c>
      <c r="C26" t="s">
        <v>160</v>
      </c>
      <c r="D26" t="s">
        <v>172</v>
      </c>
      <c r="E26" t="s">
        <v>128</v>
      </c>
      <c r="M26">
        <f t="shared" si="2"/>
        <v>25</v>
      </c>
      <c r="N26" t="s">
        <v>1909</v>
      </c>
      <c r="O26" s="331" t="s">
        <v>1936</v>
      </c>
      <c r="P26" s="331" t="s">
        <v>1912</v>
      </c>
      <c r="Q26" s="331" t="s">
        <v>1921</v>
      </c>
      <c r="S26">
        <f t="shared" si="3"/>
        <v>25</v>
      </c>
      <c r="Y26">
        <f t="shared" si="4"/>
        <v>25</v>
      </c>
      <c r="AE26">
        <f t="shared" si="5"/>
        <v>25</v>
      </c>
      <c r="AK26">
        <f t="shared" si="6"/>
        <v>25</v>
      </c>
      <c r="AQ26">
        <f t="shared" si="7"/>
        <v>25</v>
      </c>
      <c r="AW26">
        <f t="shared" si="8"/>
        <v>25</v>
      </c>
      <c r="BC26">
        <f t="shared" si="9"/>
        <v>25</v>
      </c>
      <c r="BI26">
        <f t="shared" si="10"/>
        <v>25</v>
      </c>
      <c r="BO26">
        <f t="shared" si="11"/>
        <v>25</v>
      </c>
    </row>
    <row r="27" spans="1:67" ht="12.75">
      <c r="A27">
        <f t="shared" si="14"/>
        <v>26</v>
      </c>
      <c r="B27" t="s">
        <v>162</v>
      </c>
      <c r="C27" t="s">
        <v>164</v>
      </c>
      <c r="D27" t="s">
        <v>163</v>
      </c>
      <c r="E27" t="s">
        <v>129</v>
      </c>
      <c r="M27">
        <f t="shared" si="2"/>
        <v>26</v>
      </c>
      <c r="N27" t="s">
        <v>1350</v>
      </c>
      <c r="O27" s="331" t="s">
        <v>1935</v>
      </c>
      <c r="P27" s="331" t="s">
        <v>1918</v>
      </c>
      <c r="Q27" s="331" t="s">
        <v>1922</v>
      </c>
      <c r="S27">
        <f t="shared" si="3"/>
        <v>26</v>
      </c>
      <c r="Y27">
        <f t="shared" si="4"/>
        <v>26</v>
      </c>
      <c r="AE27">
        <f t="shared" si="5"/>
        <v>26</v>
      </c>
      <c r="AK27">
        <f t="shared" si="6"/>
        <v>26</v>
      </c>
      <c r="AQ27">
        <f t="shared" si="7"/>
        <v>26</v>
      </c>
      <c r="AW27">
        <f t="shared" si="8"/>
        <v>26</v>
      </c>
      <c r="BC27">
        <f t="shared" si="9"/>
        <v>26</v>
      </c>
      <c r="BI27">
        <f t="shared" si="10"/>
        <v>26</v>
      </c>
      <c r="BO27">
        <f t="shared" si="11"/>
        <v>26</v>
      </c>
    </row>
    <row r="28" spans="1:67" ht="12.75">
      <c r="A28">
        <f t="shared" si="14"/>
        <v>27</v>
      </c>
      <c r="B28" t="s">
        <v>18</v>
      </c>
      <c r="C28" t="s">
        <v>165</v>
      </c>
      <c r="D28" t="s">
        <v>166</v>
      </c>
      <c r="E28" t="s">
        <v>130</v>
      </c>
      <c r="M28">
        <f t="shared" si="2"/>
        <v>27</v>
      </c>
      <c r="N28" t="s">
        <v>1357</v>
      </c>
      <c r="O28" s="331" t="s">
        <v>1933</v>
      </c>
      <c r="P28" s="331" t="s">
        <v>1917</v>
      </c>
      <c r="Q28" s="331" t="s">
        <v>1923</v>
      </c>
      <c r="S28">
        <f t="shared" si="3"/>
        <v>27</v>
      </c>
      <c r="Y28">
        <f t="shared" si="4"/>
        <v>27</v>
      </c>
      <c r="AE28">
        <f t="shared" si="5"/>
        <v>27</v>
      </c>
      <c r="AK28">
        <f t="shared" si="6"/>
        <v>27</v>
      </c>
      <c r="AQ28">
        <f t="shared" si="7"/>
        <v>27</v>
      </c>
      <c r="AW28">
        <f t="shared" si="8"/>
        <v>27</v>
      </c>
      <c r="BC28">
        <f t="shared" si="9"/>
        <v>27</v>
      </c>
      <c r="BI28">
        <f t="shared" si="10"/>
        <v>27</v>
      </c>
      <c r="BO28">
        <f t="shared" si="11"/>
        <v>27</v>
      </c>
    </row>
    <row r="29" spans="1:67" ht="12.75">
      <c r="A29">
        <f t="shared" si="14"/>
        <v>28</v>
      </c>
      <c r="B29" t="s">
        <v>19</v>
      </c>
      <c r="C29" t="s">
        <v>161</v>
      </c>
      <c r="D29" t="s">
        <v>169</v>
      </c>
      <c r="E29" t="s">
        <v>131</v>
      </c>
      <c r="M29">
        <f t="shared" si="2"/>
        <v>28</v>
      </c>
      <c r="N29" t="s">
        <v>748</v>
      </c>
      <c r="O29" s="331" t="s">
        <v>1049</v>
      </c>
      <c r="P29" s="331" t="s">
        <v>1101</v>
      </c>
      <c r="Q29" s="331" t="s">
        <v>1074</v>
      </c>
      <c r="S29">
        <f t="shared" si="3"/>
        <v>28</v>
      </c>
      <c r="Y29">
        <f t="shared" si="4"/>
        <v>28</v>
      </c>
      <c r="AE29">
        <f t="shared" si="5"/>
        <v>28</v>
      </c>
      <c r="AK29">
        <f t="shared" si="6"/>
        <v>28</v>
      </c>
      <c r="AQ29">
        <f t="shared" si="7"/>
        <v>28</v>
      </c>
      <c r="AW29">
        <f t="shared" si="8"/>
        <v>28</v>
      </c>
      <c r="BC29">
        <f t="shared" si="9"/>
        <v>28</v>
      </c>
      <c r="BI29">
        <f t="shared" si="10"/>
        <v>28</v>
      </c>
      <c r="BO29">
        <f t="shared" si="11"/>
        <v>28</v>
      </c>
    </row>
    <row r="30" spans="1:67" ht="12.75">
      <c r="A30">
        <f t="shared" si="14"/>
        <v>29</v>
      </c>
      <c r="B30" t="s">
        <v>20</v>
      </c>
      <c r="C30" t="s">
        <v>167</v>
      </c>
      <c r="D30" t="s">
        <v>168</v>
      </c>
      <c r="E30" t="s">
        <v>132</v>
      </c>
      <c r="M30">
        <f t="shared" si="2"/>
        <v>29</v>
      </c>
      <c r="N30" t="s">
        <v>1361</v>
      </c>
      <c r="O30" s="331" t="s">
        <v>1934</v>
      </c>
      <c r="P30" s="331" t="s">
        <v>1361</v>
      </c>
      <c r="Q30" s="331" t="s">
        <v>1361</v>
      </c>
      <c r="S30">
        <f t="shared" si="3"/>
        <v>29</v>
      </c>
      <c r="Y30">
        <f t="shared" si="4"/>
        <v>29</v>
      </c>
      <c r="AE30">
        <f t="shared" si="5"/>
        <v>29</v>
      </c>
      <c r="AK30">
        <f t="shared" si="6"/>
        <v>29</v>
      </c>
      <c r="AQ30">
        <f t="shared" si="7"/>
        <v>29</v>
      </c>
      <c r="AW30">
        <f t="shared" si="8"/>
        <v>29</v>
      </c>
      <c r="BC30">
        <f t="shared" si="9"/>
        <v>29</v>
      </c>
      <c r="BI30">
        <f t="shared" si="10"/>
        <v>29</v>
      </c>
      <c r="BO30">
        <f t="shared" si="11"/>
        <v>29</v>
      </c>
    </row>
    <row r="31" spans="1:67" ht="12.75">
      <c r="A31">
        <f t="shared" si="14"/>
        <v>30</v>
      </c>
      <c r="B31" t="s">
        <v>37</v>
      </c>
      <c r="C31" t="s">
        <v>170</v>
      </c>
      <c r="D31" t="s">
        <v>171</v>
      </c>
      <c r="E31" t="s">
        <v>133</v>
      </c>
      <c r="M31">
        <f t="shared" si="2"/>
        <v>30</v>
      </c>
      <c r="N31" t="s">
        <v>1365</v>
      </c>
      <c r="O31" s="331" t="s">
        <v>1932</v>
      </c>
      <c r="P31" s="331" t="s">
        <v>1913</v>
      </c>
      <c r="Q31" s="331" t="s">
        <v>1924</v>
      </c>
      <c r="S31">
        <f t="shared" si="3"/>
        <v>30</v>
      </c>
      <c r="Y31">
        <f t="shared" si="4"/>
        <v>30</v>
      </c>
      <c r="AE31">
        <f t="shared" si="5"/>
        <v>30</v>
      </c>
      <c r="AK31">
        <f t="shared" si="6"/>
        <v>30</v>
      </c>
      <c r="AQ31">
        <f t="shared" si="7"/>
        <v>30</v>
      </c>
      <c r="AW31">
        <f t="shared" si="8"/>
        <v>30</v>
      </c>
      <c r="BC31">
        <f t="shared" si="9"/>
        <v>30</v>
      </c>
      <c r="BI31">
        <f t="shared" si="10"/>
        <v>30</v>
      </c>
      <c r="BO31">
        <f t="shared" si="11"/>
        <v>30</v>
      </c>
    </row>
    <row r="32" spans="1:71" ht="12.75">
      <c r="A32">
        <f>ROW()-1</f>
        <v>31</v>
      </c>
      <c r="B32" t="s">
        <v>179</v>
      </c>
      <c r="C32" t="s">
        <v>180</v>
      </c>
      <c r="D32" t="s">
        <v>181</v>
      </c>
      <c r="E32" t="s">
        <v>66</v>
      </c>
      <c r="M32">
        <f t="shared" si="2"/>
        <v>31</v>
      </c>
      <c r="N32" t="s">
        <v>1910</v>
      </c>
      <c r="O32" s="331" t="s">
        <v>1931</v>
      </c>
      <c r="P32" s="331" t="s">
        <v>1914</v>
      </c>
      <c r="Q32" s="331" t="s">
        <v>1925</v>
      </c>
      <c r="S32">
        <f t="shared" si="3"/>
        <v>31</v>
      </c>
      <c r="T32" t="s">
        <v>39</v>
      </c>
      <c r="U32" t="s">
        <v>283</v>
      </c>
      <c r="V32" t="s">
        <v>348</v>
      </c>
      <c r="W32" t="s">
        <v>349</v>
      </c>
      <c r="Y32">
        <f t="shared" si="4"/>
        <v>31</v>
      </c>
      <c r="Z32" t="s">
        <v>75</v>
      </c>
      <c r="AA32" t="s">
        <v>2036</v>
      </c>
      <c r="AB32" t="s">
        <v>2037</v>
      </c>
      <c r="AC32" t="s">
        <v>391</v>
      </c>
      <c r="AE32">
        <f t="shared" si="5"/>
        <v>31</v>
      </c>
      <c r="AF32" t="s">
        <v>197</v>
      </c>
      <c r="AG32" t="s">
        <v>406</v>
      </c>
      <c r="AH32" t="s">
        <v>414</v>
      </c>
      <c r="AI32" t="s">
        <v>406</v>
      </c>
      <c r="AK32">
        <f t="shared" si="6"/>
        <v>31</v>
      </c>
      <c r="AL32" s="331" t="s">
        <v>2389</v>
      </c>
      <c r="AM32" s="331" t="s">
        <v>2431</v>
      </c>
      <c r="AN32" s="331" t="s">
        <v>2432</v>
      </c>
      <c r="AO32" s="331" t="s">
        <v>2433</v>
      </c>
      <c r="AQ32">
        <f t="shared" si="7"/>
        <v>31</v>
      </c>
      <c r="AR32" t="s">
        <v>507</v>
      </c>
      <c r="AS32" t="s">
        <v>538</v>
      </c>
      <c r="AT32" t="s">
        <v>565</v>
      </c>
      <c r="AU32" t="s">
        <v>597</v>
      </c>
      <c r="AW32">
        <f t="shared" si="8"/>
        <v>31</v>
      </c>
      <c r="AX32" t="s">
        <v>728</v>
      </c>
      <c r="AY32" t="s">
        <v>998</v>
      </c>
      <c r="AZ32" t="s">
        <v>1012</v>
      </c>
      <c r="BA32" t="s">
        <v>1032</v>
      </c>
      <c r="BC32">
        <f t="shared" si="9"/>
        <v>31</v>
      </c>
      <c r="BD32" t="s">
        <v>738</v>
      </c>
      <c r="BE32" t="s">
        <v>1051</v>
      </c>
      <c r="BF32" t="s">
        <v>1103</v>
      </c>
      <c r="BG32" t="s">
        <v>1051</v>
      </c>
      <c r="BI32">
        <f t="shared" si="10"/>
        <v>31</v>
      </c>
      <c r="BJ32" t="s">
        <v>1291</v>
      </c>
      <c r="BK32" t="s">
        <v>1617</v>
      </c>
      <c r="BL32" t="s">
        <v>1633</v>
      </c>
      <c r="BM32" t="s">
        <v>1665</v>
      </c>
      <c r="BO32">
        <f t="shared" si="11"/>
        <v>31</v>
      </c>
      <c r="BP32" t="s">
        <v>784</v>
      </c>
      <c r="BQ32" t="s">
        <v>1128</v>
      </c>
      <c r="BR32" t="s">
        <v>1158</v>
      </c>
      <c r="BS32" t="s">
        <v>1186</v>
      </c>
    </row>
    <row r="33" spans="1:71" ht="12.75">
      <c r="A33">
        <f>ROW()-1</f>
        <v>32</v>
      </c>
      <c r="B33" t="s">
        <v>69</v>
      </c>
      <c r="C33" t="s">
        <v>184</v>
      </c>
      <c r="D33" t="s">
        <v>185</v>
      </c>
      <c r="E33" t="s">
        <v>183</v>
      </c>
      <c r="M33">
        <f t="shared" si="2"/>
        <v>32</v>
      </c>
      <c r="N33" t="s">
        <v>1376</v>
      </c>
      <c r="O33" s="331" t="s">
        <v>1929</v>
      </c>
      <c r="P33" s="331" t="s">
        <v>1915</v>
      </c>
      <c r="Q33" s="331" t="s">
        <v>1926</v>
      </c>
      <c r="S33">
        <f t="shared" si="3"/>
        <v>32</v>
      </c>
      <c r="T33" t="s">
        <v>2313</v>
      </c>
      <c r="U33" t="s">
        <v>2316</v>
      </c>
      <c r="V33" t="s">
        <v>2315</v>
      </c>
      <c r="W33" t="s">
        <v>2314</v>
      </c>
      <c r="Y33">
        <f t="shared" si="4"/>
        <v>32</v>
      </c>
      <c r="Z33" t="s">
        <v>2151</v>
      </c>
      <c r="AA33" t="s">
        <v>2152</v>
      </c>
      <c r="AB33" t="s">
        <v>2158</v>
      </c>
      <c r="AC33" t="s">
        <v>2157</v>
      </c>
      <c r="AE33">
        <f t="shared" si="5"/>
        <v>32</v>
      </c>
      <c r="AF33" t="s">
        <v>198</v>
      </c>
      <c r="AG33" t="s">
        <v>407</v>
      </c>
      <c r="AH33" t="s">
        <v>415</v>
      </c>
      <c r="AI33" t="s">
        <v>421</v>
      </c>
      <c r="AK33">
        <f t="shared" si="6"/>
        <v>32</v>
      </c>
      <c r="AL33" s="331" t="s">
        <v>2390</v>
      </c>
      <c r="AM33" s="331" t="s">
        <v>2434</v>
      </c>
      <c r="AN33" s="331" t="s">
        <v>2435</v>
      </c>
      <c r="AO33" s="331" t="s">
        <v>2436</v>
      </c>
      <c r="AQ33">
        <f t="shared" si="7"/>
        <v>32</v>
      </c>
      <c r="AR33" t="s">
        <v>508</v>
      </c>
      <c r="AS33" t="s">
        <v>539</v>
      </c>
      <c r="AT33" t="s">
        <v>566</v>
      </c>
      <c r="AU33" t="s">
        <v>598</v>
      </c>
      <c r="AW33">
        <f t="shared" si="8"/>
        <v>32</v>
      </c>
      <c r="AX33" t="s">
        <v>729</v>
      </c>
      <c r="AY33" t="s">
        <v>877</v>
      </c>
      <c r="AZ33" t="s">
        <v>1013</v>
      </c>
      <c r="BA33" t="s">
        <v>867</v>
      </c>
      <c r="BC33">
        <f t="shared" si="9"/>
        <v>32</v>
      </c>
      <c r="BD33" t="s">
        <v>739</v>
      </c>
      <c r="BE33" t="s">
        <v>1052</v>
      </c>
      <c r="BF33" t="s">
        <v>1104</v>
      </c>
      <c r="BG33" t="s">
        <v>1077</v>
      </c>
      <c r="BI33">
        <f t="shared" si="10"/>
        <v>32</v>
      </c>
      <c r="BJ33" t="s">
        <v>1293</v>
      </c>
      <c r="BK33" t="s">
        <v>1618</v>
      </c>
      <c r="BL33" t="s">
        <v>1634</v>
      </c>
      <c r="BM33" t="s">
        <v>1649</v>
      </c>
      <c r="BO33">
        <f t="shared" si="11"/>
        <v>32</v>
      </c>
      <c r="BP33" t="s">
        <v>785</v>
      </c>
      <c r="BQ33" t="s">
        <v>1129</v>
      </c>
      <c r="BR33" t="s">
        <v>1159</v>
      </c>
      <c r="BS33" t="s">
        <v>1187</v>
      </c>
    </row>
    <row r="34" spans="1:71" ht="12.75">
      <c r="A34">
        <f>ROW()-1</f>
        <v>33</v>
      </c>
      <c r="B34" t="s">
        <v>38</v>
      </c>
      <c r="C34" t="s">
        <v>187</v>
      </c>
      <c r="D34" t="s">
        <v>188</v>
      </c>
      <c r="E34" t="s">
        <v>186</v>
      </c>
      <c r="M34">
        <f t="shared" si="2"/>
        <v>33</v>
      </c>
      <c r="N34" t="s">
        <v>1379</v>
      </c>
      <c r="O34" s="331" t="s">
        <v>1930</v>
      </c>
      <c r="P34" s="331" t="s">
        <v>1916</v>
      </c>
      <c r="Q34" s="331" t="s">
        <v>1927</v>
      </c>
      <c r="S34">
        <f t="shared" si="3"/>
        <v>33</v>
      </c>
      <c r="T34" t="s">
        <v>41</v>
      </c>
      <c r="U34" t="s">
        <v>284</v>
      </c>
      <c r="V34" t="s">
        <v>350</v>
      </c>
      <c r="W34" t="s">
        <v>351</v>
      </c>
      <c r="Y34">
        <f t="shared" si="4"/>
        <v>33</v>
      </c>
      <c r="Z34" t="s">
        <v>76</v>
      </c>
      <c r="AA34" t="s">
        <v>392</v>
      </c>
      <c r="AB34" t="s">
        <v>393</v>
      </c>
      <c r="AC34" t="s">
        <v>394</v>
      </c>
      <c r="AE34">
        <f t="shared" si="5"/>
        <v>33</v>
      </c>
      <c r="AF34" t="s">
        <v>199</v>
      </c>
      <c r="AG34" t="s">
        <v>408</v>
      </c>
      <c r="AH34" t="s">
        <v>416</v>
      </c>
      <c r="AI34" t="s">
        <v>422</v>
      </c>
      <c r="AK34">
        <f t="shared" si="6"/>
        <v>33</v>
      </c>
      <c r="AL34" s="331" t="s">
        <v>2391</v>
      </c>
      <c r="AM34" s="331" t="s">
        <v>2437</v>
      </c>
      <c r="AN34" s="331" t="s">
        <v>2438</v>
      </c>
      <c r="AO34" s="331" t="s">
        <v>2439</v>
      </c>
      <c r="AQ34">
        <f t="shared" si="7"/>
        <v>33</v>
      </c>
      <c r="AR34" t="s">
        <v>509</v>
      </c>
      <c r="AS34" t="s">
        <v>540</v>
      </c>
      <c r="AT34" t="s">
        <v>567</v>
      </c>
      <c r="AU34" t="s">
        <v>599</v>
      </c>
      <c r="AW34">
        <f t="shared" si="8"/>
        <v>33</v>
      </c>
      <c r="AX34" t="s">
        <v>730</v>
      </c>
      <c r="AY34" t="s">
        <v>730</v>
      </c>
      <c r="AZ34" t="s">
        <v>1014</v>
      </c>
      <c r="BA34" t="s">
        <v>730</v>
      </c>
      <c r="BC34">
        <f t="shared" si="9"/>
        <v>33</v>
      </c>
      <c r="BD34" t="s">
        <v>741</v>
      </c>
      <c r="BE34" t="s">
        <v>1053</v>
      </c>
      <c r="BF34" t="s">
        <v>1105</v>
      </c>
      <c r="BG34" t="s">
        <v>1078</v>
      </c>
      <c r="BI34">
        <f t="shared" si="10"/>
        <v>33</v>
      </c>
      <c r="BJ34" t="s">
        <v>1294</v>
      </c>
      <c r="BK34" t="s">
        <v>1619</v>
      </c>
      <c r="BL34" t="s">
        <v>1635</v>
      </c>
      <c r="BM34" t="s">
        <v>1650</v>
      </c>
      <c r="BO34">
        <f t="shared" si="11"/>
        <v>33</v>
      </c>
      <c r="BP34" t="s">
        <v>786</v>
      </c>
      <c r="BQ34" t="s">
        <v>1130</v>
      </c>
      <c r="BR34" t="s">
        <v>1160</v>
      </c>
      <c r="BS34" t="s">
        <v>1188</v>
      </c>
    </row>
    <row r="35" spans="1:71" ht="12.75">
      <c r="A35">
        <f>ROW()-1</f>
        <v>34</v>
      </c>
      <c r="B35" t="s">
        <v>182</v>
      </c>
      <c r="C35" t="s">
        <v>182</v>
      </c>
      <c r="D35" t="s">
        <v>182</v>
      </c>
      <c r="E35" t="s">
        <v>182</v>
      </c>
      <c r="M35">
        <f t="shared" si="2"/>
        <v>34</v>
      </c>
      <c r="N35" t="s">
        <v>685</v>
      </c>
      <c r="O35" s="331" t="s">
        <v>811</v>
      </c>
      <c r="P35" s="331" t="s">
        <v>813</v>
      </c>
      <c r="Q35" s="331" t="s">
        <v>815</v>
      </c>
      <c r="S35">
        <f t="shared" si="3"/>
        <v>34</v>
      </c>
      <c r="T35" t="s">
        <v>42</v>
      </c>
      <c r="U35" t="s">
        <v>285</v>
      </c>
      <c r="V35" t="s">
        <v>352</v>
      </c>
      <c r="W35" t="s">
        <v>353</v>
      </c>
      <c r="Y35">
        <f t="shared" si="4"/>
        <v>34</v>
      </c>
      <c r="Z35" t="s">
        <v>2154</v>
      </c>
      <c r="AA35" t="s">
        <v>2153</v>
      </c>
      <c r="AB35" t="s">
        <v>2155</v>
      </c>
      <c r="AC35" t="s">
        <v>2156</v>
      </c>
      <c r="AE35">
        <f t="shared" si="5"/>
        <v>34</v>
      </c>
      <c r="AF35" t="s">
        <v>200</v>
      </c>
      <c r="AG35" t="s">
        <v>409</v>
      </c>
      <c r="AH35" t="s">
        <v>417</v>
      </c>
      <c r="AI35" t="s">
        <v>423</v>
      </c>
      <c r="AK35">
        <f t="shared" si="6"/>
        <v>34</v>
      </c>
      <c r="AL35" t="s">
        <v>451</v>
      </c>
      <c r="AM35" t="s">
        <v>457</v>
      </c>
      <c r="AN35" t="s">
        <v>2038</v>
      </c>
      <c r="AO35" t="s">
        <v>468</v>
      </c>
      <c r="AQ35">
        <f t="shared" si="7"/>
        <v>34</v>
      </c>
      <c r="AR35" t="s">
        <v>510</v>
      </c>
      <c r="AS35" t="s">
        <v>541</v>
      </c>
      <c r="AT35" t="s">
        <v>568</v>
      </c>
      <c r="AU35" t="s">
        <v>600</v>
      </c>
      <c r="AW35">
        <f t="shared" si="8"/>
        <v>34</v>
      </c>
      <c r="AX35" t="s">
        <v>731</v>
      </c>
      <c r="AY35" t="s">
        <v>731</v>
      </c>
      <c r="AZ35" t="s">
        <v>731</v>
      </c>
      <c r="BA35" t="s">
        <v>1033</v>
      </c>
      <c r="BC35">
        <f t="shared" si="9"/>
        <v>34</v>
      </c>
      <c r="BD35" t="s">
        <v>742</v>
      </c>
      <c r="BE35" t="s">
        <v>1054</v>
      </c>
      <c r="BF35" t="s">
        <v>1106</v>
      </c>
      <c r="BG35" t="s">
        <v>1079</v>
      </c>
      <c r="BI35">
        <f t="shared" si="10"/>
        <v>34</v>
      </c>
      <c r="BJ35" t="s">
        <v>1295</v>
      </c>
      <c r="BK35" t="s">
        <v>1620</v>
      </c>
      <c r="BL35" t="s">
        <v>1636</v>
      </c>
      <c r="BM35" t="s">
        <v>1651</v>
      </c>
      <c r="BO35">
        <f t="shared" si="11"/>
        <v>34</v>
      </c>
      <c r="BP35" t="s">
        <v>1212</v>
      </c>
      <c r="BQ35" t="s">
        <v>1131</v>
      </c>
      <c r="BR35" t="s">
        <v>1222</v>
      </c>
      <c r="BS35" t="s">
        <v>1221</v>
      </c>
    </row>
    <row r="36" spans="1:71" ht="12.75">
      <c r="A36">
        <f>ROW()-1</f>
        <v>35</v>
      </c>
      <c r="B36" t="s">
        <v>1282</v>
      </c>
      <c r="C36" t="s">
        <v>1287</v>
      </c>
      <c r="D36" t="s">
        <v>1288</v>
      </c>
      <c r="E36" t="s">
        <v>1286</v>
      </c>
      <c r="M36">
        <f t="shared" si="2"/>
        <v>35</v>
      </c>
      <c r="N36" t="s">
        <v>687</v>
      </c>
      <c r="O36" s="331" t="s">
        <v>812</v>
      </c>
      <c r="P36" s="331" t="s">
        <v>814</v>
      </c>
      <c r="Q36" s="331" t="s">
        <v>808</v>
      </c>
      <c r="S36">
        <f t="shared" si="3"/>
        <v>35</v>
      </c>
      <c r="T36" t="s">
        <v>43</v>
      </c>
      <c r="U36" t="s">
        <v>286</v>
      </c>
      <c r="V36" t="s">
        <v>354</v>
      </c>
      <c r="W36" t="s">
        <v>355</v>
      </c>
      <c r="Y36">
        <f t="shared" si="4"/>
        <v>35</v>
      </c>
      <c r="Z36" t="s">
        <v>78</v>
      </c>
      <c r="AA36" t="s">
        <v>395</v>
      </c>
      <c r="AB36" t="s">
        <v>396</v>
      </c>
      <c r="AC36" t="s">
        <v>397</v>
      </c>
      <c r="AE36">
        <f t="shared" si="5"/>
        <v>35</v>
      </c>
      <c r="AF36" t="s">
        <v>201</v>
      </c>
      <c r="AG36" t="s">
        <v>410</v>
      </c>
      <c r="AH36" t="s">
        <v>418</v>
      </c>
      <c r="AI36" t="s">
        <v>424</v>
      </c>
      <c r="AK36">
        <f t="shared" si="6"/>
        <v>35</v>
      </c>
      <c r="AL36" s="331" t="s">
        <v>2392</v>
      </c>
      <c r="AM36" s="331" t="s">
        <v>458</v>
      </c>
      <c r="AN36" s="331" t="s">
        <v>2440</v>
      </c>
      <c r="AO36" s="331" t="s">
        <v>2441</v>
      </c>
      <c r="AQ36">
        <f t="shared" si="7"/>
        <v>35</v>
      </c>
      <c r="AR36" t="s">
        <v>244</v>
      </c>
      <c r="AS36" t="s">
        <v>429</v>
      </c>
      <c r="AT36" t="s">
        <v>569</v>
      </c>
      <c r="AU36" t="s">
        <v>439</v>
      </c>
      <c r="AW36">
        <f t="shared" si="8"/>
        <v>35</v>
      </c>
      <c r="AX36" t="s">
        <v>732</v>
      </c>
      <c r="AY36" t="s">
        <v>999</v>
      </c>
      <c r="AZ36" t="s">
        <v>1015</v>
      </c>
      <c r="BA36" t="s">
        <v>1034</v>
      </c>
      <c r="BC36">
        <f t="shared" si="9"/>
        <v>35</v>
      </c>
      <c r="BD36" t="s">
        <v>2698</v>
      </c>
      <c r="BE36" t="s">
        <v>2699</v>
      </c>
      <c r="BF36" t="s">
        <v>2700</v>
      </c>
      <c r="BG36" t="s">
        <v>2701</v>
      </c>
      <c r="BI36">
        <f t="shared" si="10"/>
        <v>35</v>
      </c>
      <c r="BJ36" t="s">
        <v>1296</v>
      </c>
      <c r="BK36" t="s">
        <v>1621</v>
      </c>
      <c r="BL36" t="s">
        <v>1637</v>
      </c>
      <c r="BM36" t="s">
        <v>1652</v>
      </c>
      <c r="BO36">
        <f t="shared" si="11"/>
        <v>35</v>
      </c>
      <c r="BP36" t="s">
        <v>1213</v>
      </c>
      <c r="BQ36" t="s">
        <v>1214</v>
      </c>
      <c r="BR36" t="s">
        <v>1218</v>
      </c>
      <c r="BS36" t="s">
        <v>1219</v>
      </c>
    </row>
    <row r="37" spans="1:71" ht="12.75">
      <c r="A37">
        <f aca="true" t="shared" si="15" ref="A37:A47">ROW()-1</f>
        <v>36</v>
      </c>
      <c r="B37" t="s">
        <v>305</v>
      </c>
      <c r="C37" t="s">
        <v>306</v>
      </c>
      <c r="D37" t="s">
        <v>307</v>
      </c>
      <c r="E37" t="s">
        <v>308</v>
      </c>
      <c r="M37">
        <f t="shared" si="2"/>
        <v>36</v>
      </c>
      <c r="N37" t="s">
        <v>874</v>
      </c>
      <c r="O37" s="331" t="s">
        <v>873</v>
      </c>
      <c r="P37" s="331" t="s">
        <v>870</v>
      </c>
      <c r="Q37" s="331" t="s">
        <v>868</v>
      </c>
      <c r="S37">
        <f t="shared" si="3"/>
        <v>36</v>
      </c>
      <c r="T37" t="s">
        <v>44</v>
      </c>
      <c r="U37" t="s">
        <v>287</v>
      </c>
      <c r="V37" t="s">
        <v>356</v>
      </c>
      <c r="W37" t="s">
        <v>357</v>
      </c>
      <c r="Y37">
        <f t="shared" si="4"/>
        <v>36</v>
      </c>
      <c r="Z37" t="s">
        <v>79</v>
      </c>
      <c r="AA37" t="s">
        <v>398</v>
      </c>
      <c r="AB37" t="s">
        <v>399</v>
      </c>
      <c r="AC37" t="s">
        <v>400</v>
      </c>
      <c r="AE37">
        <f t="shared" si="5"/>
        <v>36</v>
      </c>
      <c r="AF37" t="s">
        <v>202</v>
      </c>
      <c r="AG37" t="s">
        <v>411</v>
      </c>
      <c r="AH37" t="s">
        <v>419</v>
      </c>
      <c r="AI37" t="s">
        <v>425</v>
      </c>
      <c r="AK37">
        <f t="shared" si="6"/>
        <v>36</v>
      </c>
      <c r="AL37" t="s">
        <v>452</v>
      </c>
      <c r="AM37" t="s">
        <v>459</v>
      </c>
      <c r="AN37" t="s">
        <v>2039</v>
      </c>
      <c r="AO37" t="s">
        <v>469</v>
      </c>
      <c r="AQ37">
        <f t="shared" si="7"/>
        <v>36</v>
      </c>
      <c r="AR37" t="s">
        <v>511</v>
      </c>
      <c r="AS37" t="s">
        <v>542</v>
      </c>
      <c r="AT37" t="s">
        <v>570</v>
      </c>
      <c r="AU37" t="s">
        <v>601</v>
      </c>
      <c r="AW37">
        <f t="shared" si="8"/>
        <v>36</v>
      </c>
      <c r="AX37" t="s">
        <v>733</v>
      </c>
      <c r="AY37" t="s">
        <v>876</v>
      </c>
      <c r="AZ37" t="s">
        <v>1016</v>
      </c>
      <c r="BA37" t="s">
        <v>866</v>
      </c>
      <c r="BC37">
        <f t="shared" si="9"/>
        <v>36</v>
      </c>
      <c r="BD37" t="s">
        <v>743</v>
      </c>
      <c r="BE37" t="s">
        <v>1055</v>
      </c>
      <c r="BF37" t="s">
        <v>1107</v>
      </c>
      <c r="BG37" t="s">
        <v>1080</v>
      </c>
      <c r="BI37">
        <f t="shared" si="10"/>
        <v>36</v>
      </c>
      <c r="BJ37" t="s">
        <v>1297</v>
      </c>
      <c r="BK37" t="s">
        <v>1622</v>
      </c>
      <c r="BL37" t="s">
        <v>1638</v>
      </c>
      <c r="BM37" t="s">
        <v>1653</v>
      </c>
      <c r="BO37">
        <f t="shared" si="11"/>
        <v>36</v>
      </c>
      <c r="BP37" t="s">
        <v>1216</v>
      </c>
      <c r="BQ37" t="s">
        <v>1215</v>
      </c>
      <c r="BR37" t="s">
        <v>1217</v>
      </c>
      <c r="BS37" t="s">
        <v>1220</v>
      </c>
    </row>
    <row r="38" spans="1:67" ht="12.75">
      <c r="A38">
        <f t="shared" si="15"/>
        <v>37</v>
      </c>
      <c r="B38" t="s">
        <v>72</v>
      </c>
      <c r="C38" t="s">
        <v>403</v>
      </c>
      <c r="D38" t="s">
        <v>309</v>
      </c>
      <c r="E38" t="s">
        <v>310</v>
      </c>
      <c r="M38">
        <f t="shared" si="2"/>
        <v>37</v>
      </c>
      <c r="N38" t="s">
        <v>875</v>
      </c>
      <c r="O38" s="331" t="s">
        <v>872</v>
      </c>
      <c r="P38" s="331" t="s">
        <v>871</v>
      </c>
      <c r="Q38" s="331" t="s">
        <v>869</v>
      </c>
      <c r="S38">
        <f t="shared" si="3"/>
        <v>37</v>
      </c>
      <c r="T38" t="s">
        <v>45</v>
      </c>
      <c r="U38" t="s">
        <v>288</v>
      </c>
      <c r="V38" t="s">
        <v>358</v>
      </c>
      <c r="W38" t="s">
        <v>359</v>
      </c>
      <c r="Y38">
        <f t="shared" si="4"/>
        <v>37</v>
      </c>
      <c r="Z38" t="s">
        <v>2126</v>
      </c>
      <c r="AA38" t="s">
        <v>2127</v>
      </c>
      <c r="AB38" t="s">
        <v>2128</v>
      </c>
      <c r="AC38" t="s">
        <v>2129</v>
      </c>
      <c r="AE38">
        <f t="shared" si="5"/>
        <v>37</v>
      </c>
      <c r="AF38" s="331" t="s">
        <v>2293</v>
      </c>
      <c r="AG38" s="331" t="s">
        <v>2325</v>
      </c>
      <c r="AH38" s="331" t="s">
        <v>2326</v>
      </c>
      <c r="AI38" s="331" t="s">
        <v>2327</v>
      </c>
      <c r="AK38">
        <f t="shared" si="6"/>
        <v>37</v>
      </c>
      <c r="AL38" t="s">
        <v>453</v>
      </c>
      <c r="AM38" t="s">
        <v>460</v>
      </c>
      <c r="AN38" t="s">
        <v>2040</v>
      </c>
      <c r="AO38" t="s">
        <v>470</v>
      </c>
      <c r="AQ38">
        <f t="shared" si="7"/>
        <v>37</v>
      </c>
      <c r="AR38" t="s">
        <v>512</v>
      </c>
      <c r="AS38" t="s">
        <v>543</v>
      </c>
      <c r="AT38" t="s">
        <v>571</v>
      </c>
      <c r="AU38" t="s">
        <v>602</v>
      </c>
      <c r="AW38">
        <f t="shared" si="8"/>
        <v>37</v>
      </c>
      <c r="AX38" t="s">
        <v>730</v>
      </c>
      <c r="AY38" t="s">
        <v>730</v>
      </c>
      <c r="AZ38" t="s">
        <v>1014</v>
      </c>
      <c r="BA38" t="s">
        <v>730</v>
      </c>
      <c r="BC38">
        <f t="shared" si="9"/>
        <v>37</v>
      </c>
      <c r="BD38" t="s">
        <v>744</v>
      </c>
      <c r="BE38" t="s">
        <v>1056</v>
      </c>
      <c r="BF38" t="s">
        <v>1108</v>
      </c>
      <c r="BG38" t="s">
        <v>1081</v>
      </c>
      <c r="BI38">
        <f t="shared" si="10"/>
        <v>37</v>
      </c>
      <c r="BJ38" t="s">
        <v>1298</v>
      </c>
      <c r="BK38" t="s">
        <v>1623</v>
      </c>
      <c r="BL38" t="s">
        <v>1639</v>
      </c>
      <c r="BM38" t="s">
        <v>1654</v>
      </c>
      <c r="BO38">
        <f t="shared" si="11"/>
        <v>37</v>
      </c>
    </row>
    <row r="39" spans="1:67" ht="12.75">
      <c r="A39">
        <f t="shared" si="15"/>
        <v>38</v>
      </c>
      <c r="B39" t="s">
        <v>311</v>
      </c>
      <c r="C39" t="s">
        <v>312</v>
      </c>
      <c r="D39" t="s">
        <v>313</v>
      </c>
      <c r="E39" t="s">
        <v>314</v>
      </c>
      <c r="M39">
        <f t="shared" si="2"/>
        <v>38</v>
      </c>
      <c r="N39" t="s">
        <v>1400</v>
      </c>
      <c r="O39" s="331" t="s">
        <v>1598</v>
      </c>
      <c r="P39" s="331" t="s">
        <v>1598</v>
      </c>
      <c r="Q39" s="331" t="s">
        <v>1400</v>
      </c>
      <c r="S39">
        <f t="shared" si="3"/>
        <v>38</v>
      </c>
      <c r="T39" t="s">
        <v>304</v>
      </c>
      <c r="U39" t="s">
        <v>288</v>
      </c>
      <c r="V39" t="s">
        <v>360</v>
      </c>
      <c r="W39" t="s">
        <v>361</v>
      </c>
      <c r="Y39">
        <f t="shared" si="4"/>
        <v>38</v>
      </c>
      <c r="AE39">
        <f t="shared" si="5"/>
        <v>38</v>
      </c>
      <c r="AK39">
        <f t="shared" si="6"/>
        <v>38</v>
      </c>
      <c r="AL39" s="331" t="s">
        <v>2393</v>
      </c>
      <c r="AM39" s="331" t="s">
        <v>461</v>
      </c>
      <c r="AN39" s="331" t="s">
        <v>2041</v>
      </c>
      <c r="AO39" s="331" t="s">
        <v>471</v>
      </c>
      <c r="AQ39">
        <f t="shared" si="7"/>
        <v>38</v>
      </c>
      <c r="AR39" t="s">
        <v>513</v>
      </c>
      <c r="AS39" t="s">
        <v>544</v>
      </c>
      <c r="AT39" t="s">
        <v>572</v>
      </c>
      <c r="AU39" t="s">
        <v>603</v>
      </c>
      <c r="AW39">
        <f t="shared" si="8"/>
        <v>38</v>
      </c>
      <c r="AX39" t="s">
        <v>731</v>
      </c>
      <c r="AY39" t="s">
        <v>731</v>
      </c>
      <c r="AZ39" t="s">
        <v>731</v>
      </c>
      <c r="BA39" t="s">
        <v>1033</v>
      </c>
      <c r="BC39">
        <f t="shared" si="9"/>
        <v>38</v>
      </c>
      <c r="BD39" t="s">
        <v>745</v>
      </c>
      <c r="BE39" t="s">
        <v>1057</v>
      </c>
      <c r="BF39" t="s">
        <v>1109</v>
      </c>
      <c r="BG39" t="s">
        <v>1082</v>
      </c>
      <c r="BI39">
        <f t="shared" si="10"/>
        <v>38</v>
      </c>
      <c r="BJ39" t="s">
        <v>1299</v>
      </c>
      <c r="BK39" t="s">
        <v>1624</v>
      </c>
      <c r="BL39" t="s">
        <v>1640</v>
      </c>
      <c r="BM39" t="s">
        <v>1655</v>
      </c>
      <c r="BO39">
        <f t="shared" si="11"/>
        <v>38</v>
      </c>
    </row>
    <row r="40" spans="1:67" ht="12.75">
      <c r="A40">
        <f t="shared" si="15"/>
        <v>39</v>
      </c>
      <c r="B40" t="s">
        <v>315</v>
      </c>
      <c r="C40" t="s">
        <v>316</v>
      </c>
      <c r="D40" t="s">
        <v>317</v>
      </c>
      <c r="E40" t="s">
        <v>318</v>
      </c>
      <c r="M40">
        <f t="shared" si="2"/>
        <v>39</v>
      </c>
      <c r="O40" s="331"/>
      <c r="P40" s="331"/>
      <c r="Q40" s="331"/>
      <c r="S40">
        <f t="shared" si="3"/>
        <v>39</v>
      </c>
      <c r="T40" t="s">
        <v>2313</v>
      </c>
      <c r="U40" t="s">
        <v>2316</v>
      </c>
      <c r="V40" t="s">
        <v>2315</v>
      </c>
      <c r="W40" t="s">
        <v>2314</v>
      </c>
      <c r="Y40">
        <f t="shared" si="4"/>
        <v>39</v>
      </c>
      <c r="AE40">
        <f t="shared" si="5"/>
        <v>39</v>
      </c>
      <c r="AK40">
        <f t="shared" si="6"/>
        <v>39</v>
      </c>
      <c r="AL40" s="331" t="s">
        <v>2394</v>
      </c>
      <c r="AM40" s="331" t="s">
        <v>462</v>
      </c>
      <c r="AN40" s="331" t="s">
        <v>2042</v>
      </c>
      <c r="AO40" s="331" t="s">
        <v>472</v>
      </c>
      <c r="AQ40">
        <f t="shared" si="7"/>
        <v>39</v>
      </c>
      <c r="AR40" t="s">
        <v>514</v>
      </c>
      <c r="AS40" t="s">
        <v>545</v>
      </c>
      <c r="AT40" t="s">
        <v>573</v>
      </c>
      <c r="AU40" t="s">
        <v>604</v>
      </c>
      <c r="AW40">
        <f t="shared" si="8"/>
        <v>39</v>
      </c>
      <c r="AX40" t="s">
        <v>732</v>
      </c>
      <c r="AY40" t="s">
        <v>999</v>
      </c>
      <c r="AZ40" t="s">
        <v>1015</v>
      </c>
      <c r="BA40" t="s">
        <v>1034</v>
      </c>
      <c r="BC40">
        <f t="shared" si="9"/>
        <v>39</v>
      </c>
      <c r="BD40" t="s">
        <v>746</v>
      </c>
      <c r="BE40" t="s">
        <v>1058</v>
      </c>
      <c r="BF40" t="s">
        <v>1110</v>
      </c>
      <c r="BG40" t="s">
        <v>1083</v>
      </c>
      <c r="BI40">
        <f t="shared" si="10"/>
        <v>39</v>
      </c>
      <c r="BJ40" t="s">
        <v>1300</v>
      </c>
      <c r="BK40" t="s">
        <v>1625</v>
      </c>
      <c r="BL40" t="s">
        <v>1641</v>
      </c>
      <c r="BM40" t="s">
        <v>1656</v>
      </c>
      <c r="BO40">
        <f t="shared" si="11"/>
        <v>39</v>
      </c>
    </row>
    <row r="41" spans="1:67" ht="12.75">
      <c r="A41">
        <f t="shared" si="15"/>
        <v>40</v>
      </c>
      <c r="B41" t="s">
        <v>319</v>
      </c>
      <c r="C41" t="s">
        <v>320</v>
      </c>
      <c r="D41" t="s">
        <v>321</v>
      </c>
      <c r="E41" t="s">
        <v>322</v>
      </c>
      <c r="M41">
        <f t="shared" si="2"/>
        <v>40</v>
      </c>
      <c r="O41" s="331"/>
      <c r="P41" s="331"/>
      <c r="Q41" s="331"/>
      <c r="S41">
        <f t="shared" si="3"/>
        <v>40</v>
      </c>
      <c r="T41" t="s">
        <v>47</v>
      </c>
      <c r="U41" t="s">
        <v>289</v>
      </c>
      <c r="V41" t="s">
        <v>362</v>
      </c>
      <c r="W41" t="s">
        <v>363</v>
      </c>
      <c r="Y41">
        <f t="shared" si="4"/>
        <v>40</v>
      </c>
      <c r="AE41">
        <f t="shared" si="5"/>
        <v>40</v>
      </c>
      <c r="AK41">
        <f t="shared" si="6"/>
        <v>40</v>
      </c>
      <c r="AL41" s="331" t="s">
        <v>2395</v>
      </c>
      <c r="AM41" s="331" t="s">
        <v>2043</v>
      </c>
      <c r="AN41" s="331" t="s">
        <v>2044</v>
      </c>
      <c r="AO41" s="331" t="s">
        <v>473</v>
      </c>
      <c r="AQ41">
        <f t="shared" si="7"/>
        <v>40</v>
      </c>
      <c r="AR41" t="s">
        <v>515</v>
      </c>
      <c r="AS41" t="s">
        <v>2045</v>
      </c>
      <c r="AT41" t="s">
        <v>574</v>
      </c>
      <c r="AU41" t="s">
        <v>605</v>
      </c>
      <c r="AW41">
        <f t="shared" si="8"/>
        <v>40</v>
      </c>
      <c r="AX41" t="s">
        <v>992</v>
      </c>
      <c r="AY41" t="s">
        <v>1000</v>
      </c>
      <c r="AZ41" t="s">
        <v>1017</v>
      </c>
      <c r="BA41" t="s">
        <v>1035</v>
      </c>
      <c r="BC41">
        <f t="shared" si="9"/>
        <v>40</v>
      </c>
      <c r="BD41" t="s">
        <v>747</v>
      </c>
      <c r="BE41" t="s">
        <v>1059</v>
      </c>
      <c r="BF41" t="s">
        <v>1111</v>
      </c>
      <c r="BG41" t="s">
        <v>1084</v>
      </c>
      <c r="BI41">
        <f t="shared" si="10"/>
        <v>40</v>
      </c>
      <c r="BJ41" t="s">
        <v>1301</v>
      </c>
      <c r="BK41" t="s">
        <v>1626</v>
      </c>
      <c r="BL41" t="s">
        <v>1642</v>
      </c>
      <c r="BM41" t="s">
        <v>1657</v>
      </c>
      <c r="BO41">
        <f t="shared" si="11"/>
        <v>40</v>
      </c>
    </row>
    <row r="42" spans="1:67" ht="12.75">
      <c r="A42">
        <f t="shared" si="15"/>
        <v>41</v>
      </c>
      <c r="B42" t="s">
        <v>323</v>
      </c>
      <c r="C42" t="s">
        <v>324</v>
      </c>
      <c r="D42" t="s">
        <v>325</v>
      </c>
      <c r="E42" t="s">
        <v>326</v>
      </c>
      <c r="M42">
        <f t="shared" si="2"/>
        <v>41</v>
      </c>
      <c r="N42" t="s">
        <v>1680</v>
      </c>
      <c r="O42" s="331" t="s">
        <v>1699</v>
      </c>
      <c r="P42" s="331" t="s">
        <v>1709</v>
      </c>
      <c r="Q42" s="331" t="s">
        <v>1682</v>
      </c>
      <c r="S42">
        <f t="shared" si="3"/>
        <v>41</v>
      </c>
      <c r="T42" t="s">
        <v>48</v>
      </c>
      <c r="U42" t="s">
        <v>290</v>
      </c>
      <c r="V42" t="s">
        <v>364</v>
      </c>
      <c r="W42" t="s">
        <v>365</v>
      </c>
      <c r="Y42">
        <f t="shared" si="4"/>
        <v>41</v>
      </c>
      <c r="AE42">
        <f t="shared" si="5"/>
        <v>41</v>
      </c>
      <c r="AF42" t="s">
        <v>1479</v>
      </c>
      <c r="AG42" t="s">
        <v>1493</v>
      </c>
      <c r="AH42" t="s">
        <v>1500</v>
      </c>
      <c r="AI42" t="s">
        <v>1486</v>
      </c>
      <c r="AK42">
        <f t="shared" si="6"/>
        <v>41</v>
      </c>
      <c r="AL42" t="s">
        <v>454</v>
      </c>
      <c r="AM42" t="s">
        <v>463</v>
      </c>
      <c r="AN42" t="s">
        <v>2046</v>
      </c>
      <c r="AO42" t="s">
        <v>474</v>
      </c>
      <c r="AQ42">
        <f t="shared" si="7"/>
        <v>41</v>
      </c>
      <c r="AR42" t="s">
        <v>516</v>
      </c>
      <c r="AS42" t="s">
        <v>546</v>
      </c>
      <c r="AT42" t="s">
        <v>575</v>
      </c>
      <c r="AU42" t="s">
        <v>606</v>
      </c>
      <c r="AW42">
        <f t="shared" si="8"/>
        <v>41</v>
      </c>
      <c r="AX42" t="s">
        <v>719</v>
      </c>
      <c r="AY42" t="s">
        <v>1001</v>
      </c>
      <c r="AZ42" t="s">
        <v>1018</v>
      </c>
      <c r="BA42" t="s">
        <v>1036</v>
      </c>
      <c r="BC42">
        <f t="shared" si="9"/>
        <v>41</v>
      </c>
      <c r="BD42" t="s">
        <v>749</v>
      </c>
      <c r="BE42" t="s">
        <v>1060</v>
      </c>
      <c r="BF42" t="s">
        <v>1112</v>
      </c>
      <c r="BG42" t="s">
        <v>1085</v>
      </c>
      <c r="BI42">
        <f t="shared" si="10"/>
        <v>41</v>
      </c>
      <c r="BJ42" t="s">
        <v>1302</v>
      </c>
      <c r="BK42" t="s">
        <v>1627</v>
      </c>
      <c r="BL42" t="s">
        <v>1643</v>
      </c>
      <c r="BM42" t="s">
        <v>1658</v>
      </c>
      <c r="BO42">
        <f t="shared" si="11"/>
        <v>41</v>
      </c>
    </row>
    <row r="43" spans="1:67" ht="12.75">
      <c r="A43">
        <f t="shared" si="15"/>
        <v>42</v>
      </c>
      <c r="B43" t="s">
        <v>327</v>
      </c>
      <c r="C43" t="s">
        <v>328</v>
      </c>
      <c r="D43" t="s">
        <v>329</v>
      </c>
      <c r="E43" t="s">
        <v>330</v>
      </c>
      <c r="M43">
        <f t="shared" si="2"/>
        <v>42</v>
      </c>
      <c r="N43" t="s">
        <v>1338</v>
      </c>
      <c r="O43" s="331" t="s">
        <v>1700</v>
      </c>
      <c r="P43" s="331" t="s">
        <v>1710</v>
      </c>
      <c r="Q43" s="331" t="s">
        <v>1684</v>
      </c>
      <c r="S43">
        <f t="shared" si="3"/>
        <v>42</v>
      </c>
      <c r="T43" t="s">
        <v>291</v>
      </c>
      <c r="U43" t="s">
        <v>292</v>
      </c>
      <c r="V43" t="s">
        <v>366</v>
      </c>
      <c r="W43" t="s">
        <v>367</v>
      </c>
      <c r="Y43">
        <f t="shared" si="4"/>
        <v>42</v>
      </c>
      <c r="AE43">
        <f t="shared" si="5"/>
        <v>42</v>
      </c>
      <c r="AF43" t="s">
        <v>1480</v>
      </c>
      <c r="AG43" t="s">
        <v>1492</v>
      </c>
      <c r="AH43" t="s">
        <v>1499</v>
      </c>
      <c r="AI43" t="s">
        <v>1485</v>
      </c>
      <c r="AK43">
        <f t="shared" si="6"/>
        <v>42</v>
      </c>
      <c r="AL43" s="331" t="s">
        <v>2396</v>
      </c>
      <c r="AM43" s="331" t="s">
        <v>2047</v>
      </c>
      <c r="AN43" s="331" t="s">
        <v>2444</v>
      </c>
      <c r="AO43" s="331" t="s">
        <v>2445</v>
      </c>
      <c r="AQ43">
        <f t="shared" si="7"/>
        <v>42</v>
      </c>
      <c r="AR43" t="s">
        <v>517</v>
      </c>
      <c r="AS43" t="s">
        <v>547</v>
      </c>
      <c r="AT43" t="s">
        <v>576</v>
      </c>
      <c r="AU43" t="s">
        <v>547</v>
      </c>
      <c r="AW43">
        <f t="shared" si="8"/>
        <v>42</v>
      </c>
      <c r="AX43" t="s">
        <v>720</v>
      </c>
      <c r="AY43" t="s">
        <v>1002</v>
      </c>
      <c r="AZ43" t="s">
        <v>1019</v>
      </c>
      <c r="BA43" t="s">
        <v>1037</v>
      </c>
      <c r="BC43">
        <f t="shared" si="9"/>
        <v>42</v>
      </c>
      <c r="BD43" t="s">
        <v>750</v>
      </c>
      <c r="BE43" t="s">
        <v>1061</v>
      </c>
      <c r="BF43" t="s">
        <v>1113</v>
      </c>
      <c r="BG43" t="s">
        <v>1086</v>
      </c>
      <c r="BI43">
        <f t="shared" si="10"/>
        <v>42</v>
      </c>
      <c r="BJ43" t="s">
        <v>1303</v>
      </c>
      <c r="BK43" t="s">
        <v>1628</v>
      </c>
      <c r="BL43" t="s">
        <v>1644</v>
      </c>
      <c r="BM43" t="s">
        <v>1659</v>
      </c>
      <c r="BO43">
        <f t="shared" si="11"/>
        <v>42</v>
      </c>
    </row>
    <row r="44" spans="1:67" ht="12.75">
      <c r="A44">
        <f t="shared" si="15"/>
        <v>43</v>
      </c>
      <c r="B44" t="s">
        <v>52</v>
      </c>
      <c r="C44" t="s">
        <v>331</v>
      </c>
      <c r="D44" t="s">
        <v>332</v>
      </c>
      <c r="E44" t="s">
        <v>333</v>
      </c>
      <c r="M44">
        <f t="shared" si="2"/>
        <v>43</v>
      </c>
      <c r="N44" t="s">
        <v>1681</v>
      </c>
      <c r="O44" s="331" t="s">
        <v>1701</v>
      </c>
      <c r="P44" s="331" t="s">
        <v>1711</v>
      </c>
      <c r="Q44" s="331" t="s">
        <v>1683</v>
      </c>
      <c r="S44">
        <f t="shared" si="3"/>
        <v>43</v>
      </c>
      <c r="T44" t="s">
        <v>293</v>
      </c>
      <c r="U44" t="s">
        <v>294</v>
      </c>
      <c r="V44" t="s">
        <v>368</v>
      </c>
      <c r="W44" t="s">
        <v>369</v>
      </c>
      <c r="Y44">
        <f t="shared" si="4"/>
        <v>43</v>
      </c>
      <c r="AE44">
        <f t="shared" si="5"/>
        <v>43</v>
      </c>
      <c r="AF44" t="s">
        <v>1289</v>
      </c>
      <c r="AG44" t="s">
        <v>1494</v>
      </c>
      <c r="AH44" t="s">
        <v>1501</v>
      </c>
      <c r="AI44" t="s">
        <v>1487</v>
      </c>
      <c r="AK44">
        <f t="shared" si="6"/>
        <v>43</v>
      </c>
      <c r="AL44" s="331" t="s">
        <v>2397</v>
      </c>
      <c r="AM44" s="331" t="s">
        <v>2446</v>
      </c>
      <c r="AN44" s="331" t="s">
        <v>2447</v>
      </c>
      <c r="AO44" s="331" t="s">
        <v>2448</v>
      </c>
      <c r="AQ44">
        <f t="shared" si="7"/>
        <v>43</v>
      </c>
      <c r="AR44" t="s">
        <v>518</v>
      </c>
      <c r="AS44" t="s">
        <v>548</v>
      </c>
      <c r="AT44" t="s">
        <v>577</v>
      </c>
      <c r="AU44" t="s">
        <v>607</v>
      </c>
      <c r="AW44">
        <f t="shared" si="8"/>
        <v>43</v>
      </c>
      <c r="AX44" t="s">
        <v>721</v>
      </c>
      <c r="AY44" t="s">
        <v>1003</v>
      </c>
      <c r="AZ44" t="s">
        <v>1020</v>
      </c>
      <c r="BA44" t="s">
        <v>1038</v>
      </c>
      <c r="BC44">
        <f t="shared" si="9"/>
        <v>43</v>
      </c>
      <c r="BD44" t="s">
        <v>739</v>
      </c>
      <c r="BE44" t="s">
        <v>1052</v>
      </c>
      <c r="BF44" t="s">
        <v>1104</v>
      </c>
      <c r="BG44" t="s">
        <v>1077</v>
      </c>
      <c r="BI44">
        <f t="shared" si="10"/>
        <v>43</v>
      </c>
      <c r="BJ44" t="s">
        <v>1304</v>
      </c>
      <c r="BK44" t="s">
        <v>2048</v>
      </c>
      <c r="BL44" t="s">
        <v>1645</v>
      </c>
      <c r="BM44" t="s">
        <v>1660</v>
      </c>
      <c r="BO44">
        <f t="shared" si="11"/>
        <v>43</v>
      </c>
    </row>
    <row r="45" spans="1:67" ht="12.75">
      <c r="A45">
        <f t="shared" si="15"/>
        <v>44</v>
      </c>
      <c r="B45" t="s">
        <v>334</v>
      </c>
      <c r="C45" t="s">
        <v>335</v>
      </c>
      <c r="D45" t="s">
        <v>336</v>
      </c>
      <c r="E45" t="s">
        <v>335</v>
      </c>
      <c r="M45">
        <f t="shared" si="2"/>
        <v>44</v>
      </c>
      <c r="N45" t="s">
        <v>1406</v>
      </c>
      <c r="O45" s="331" t="s">
        <v>1702</v>
      </c>
      <c r="P45" s="331" t="s">
        <v>1712</v>
      </c>
      <c r="Q45" s="331" t="s">
        <v>1685</v>
      </c>
      <c r="S45">
        <f t="shared" si="3"/>
        <v>44</v>
      </c>
      <c r="Y45">
        <f t="shared" si="4"/>
        <v>44</v>
      </c>
      <c r="AE45">
        <f t="shared" si="5"/>
        <v>44</v>
      </c>
      <c r="AF45" t="s">
        <v>1481</v>
      </c>
      <c r="AG45" t="s">
        <v>1495</v>
      </c>
      <c r="AH45" t="s">
        <v>1502</v>
      </c>
      <c r="AI45" t="s">
        <v>1488</v>
      </c>
      <c r="AK45">
        <f t="shared" si="6"/>
        <v>44</v>
      </c>
      <c r="AL45" s="331" t="s">
        <v>2398</v>
      </c>
      <c r="AM45" s="331" t="s">
        <v>2449</v>
      </c>
      <c r="AN45" s="331" t="s">
        <v>2450</v>
      </c>
      <c r="AO45" s="331" t="s">
        <v>2451</v>
      </c>
      <c r="AQ45">
        <f t="shared" si="7"/>
        <v>44</v>
      </c>
      <c r="AR45" t="s">
        <v>519</v>
      </c>
      <c r="AS45" t="s">
        <v>549</v>
      </c>
      <c r="AT45" t="s">
        <v>578</v>
      </c>
      <c r="AU45" t="s">
        <v>608</v>
      </c>
      <c r="AW45">
        <f t="shared" si="8"/>
        <v>44</v>
      </c>
      <c r="AX45" t="s">
        <v>722</v>
      </c>
      <c r="AY45" t="s">
        <v>2049</v>
      </c>
      <c r="AZ45" t="s">
        <v>1021</v>
      </c>
      <c r="BA45" t="s">
        <v>1039</v>
      </c>
      <c r="BC45">
        <f t="shared" si="9"/>
        <v>44</v>
      </c>
      <c r="BD45" t="s">
        <v>751</v>
      </c>
      <c r="BE45" t="s">
        <v>1062</v>
      </c>
      <c r="BF45" t="s">
        <v>1114</v>
      </c>
      <c r="BG45" t="s">
        <v>1087</v>
      </c>
      <c r="BI45">
        <f t="shared" si="10"/>
        <v>44</v>
      </c>
      <c r="BJ45" t="s">
        <v>1305</v>
      </c>
      <c r="BK45" t="s">
        <v>1629</v>
      </c>
      <c r="BL45" t="s">
        <v>2050</v>
      </c>
      <c r="BM45" t="s">
        <v>1661</v>
      </c>
      <c r="BO45">
        <f t="shared" si="11"/>
        <v>44</v>
      </c>
    </row>
    <row r="46" spans="1:67" ht="12.75">
      <c r="A46">
        <f t="shared" si="15"/>
        <v>45</v>
      </c>
      <c r="B46" t="s">
        <v>49</v>
      </c>
      <c r="C46" t="s">
        <v>49</v>
      </c>
      <c r="D46" t="s">
        <v>49</v>
      </c>
      <c r="E46" t="s">
        <v>49</v>
      </c>
      <c r="M46">
        <f t="shared" si="2"/>
        <v>45</v>
      </c>
      <c r="N46" t="s">
        <v>1687</v>
      </c>
      <c r="O46" s="331" t="s">
        <v>1703</v>
      </c>
      <c r="P46" s="331" t="s">
        <v>1713</v>
      </c>
      <c r="Q46" s="331" t="s">
        <v>1686</v>
      </c>
      <c r="S46">
        <f t="shared" si="3"/>
        <v>45</v>
      </c>
      <c r="Y46">
        <f t="shared" si="4"/>
        <v>45</v>
      </c>
      <c r="AE46">
        <f t="shared" si="5"/>
        <v>45</v>
      </c>
      <c r="AF46" t="s">
        <v>1482</v>
      </c>
      <c r="AG46" t="s">
        <v>1496</v>
      </c>
      <c r="AH46" t="s">
        <v>1503</v>
      </c>
      <c r="AI46" t="s">
        <v>1489</v>
      </c>
      <c r="AK46">
        <f t="shared" si="6"/>
        <v>45</v>
      </c>
      <c r="AL46" s="331" t="s">
        <v>2399</v>
      </c>
      <c r="AM46" s="331" t="s">
        <v>2452</v>
      </c>
      <c r="AN46" s="331" t="s">
        <v>2453</v>
      </c>
      <c r="AO46" s="331" t="s">
        <v>2454</v>
      </c>
      <c r="AQ46">
        <f t="shared" si="7"/>
        <v>45</v>
      </c>
      <c r="AR46" t="s">
        <v>520</v>
      </c>
      <c r="AS46" t="s">
        <v>550</v>
      </c>
      <c r="AT46" t="s">
        <v>579</v>
      </c>
      <c r="AU46" t="s">
        <v>609</v>
      </c>
      <c r="AW46">
        <f t="shared" si="8"/>
        <v>45</v>
      </c>
      <c r="AX46" t="s">
        <v>723</v>
      </c>
      <c r="AY46" t="s">
        <v>1004</v>
      </c>
      <c r="AZ46" t="s">
        <v>1022</v>
      </c>
      <c r="BA46" t="s">
        <v>1040</v>
      </c>
      <c r="BC46">
        <f t="shared" si="9"/>
        <v>45</v>
      </c>
      <c r="BD46" t="s">
        <v>752</v>
      </c>
      <c r="BE46" t="s">
        <v>1063</v>
      </c>
      <c r="BF46" t="s">
        <v>1115</v>
      </c>
      <c r="BG46" t="s">
        <v>1088</v>
      </c>
      <c r="BI46">
        <f t="shared" si="10"/>
        <v>45</v>
      </c>
      <c r="BJ46" t="s">
        <v>1306</v>
      </c>
      <c r="BK46" t="s">
        <v>1630</v>
      </c>
      <c r="BL46" t="s">
        <v>1646</v>
      </c>
      <c r="BM46" t="s">
        <v>1662</v>
      </c>
      <c r="BO46">
        <f t="shared" si="11"/>
        <v>45</v>
      </c>
    </row>
    <row r="47" spans="1:67" ht="12.75">
      <c r="A47">
        <f t="shared" si="15"/>
        <v>46</v>
      </c>
      <c r="B47" t="s">
        <v>50</v>
      </c>
      <c r="C47" t="s">
        <v>50</v>
      </c>
      <c r="D47" t="s">
        <v>50</v>
      </c>
      <c r="E47" t="s">
        <v>50</v>
      </c>
      <c r="M47">
        <f t="shared" si="2"/>
        <v>46</v>
      </c>
      <c r="O47" s="331"/>
      <c r="P47" s="331"/>
      <c r="Q47" s="331"/>
      <c r="S47">
        <f t="shared" si="3"/>
        <v>46</v>
      </c>
      <c r="Y47">
        <f t="shared" si="4"/>
        <v>46</v>
      </c>
      <c r="AE47">
        <f t="shared" si="5"/>
        <v>46</v>
      </c>
      <c r="AF47" t="s">
        <v>1505</v>
      </c>
      <c r="AG47" t="s">
        <v>1506</v>
      </c>
      <c r="AH47" t="s">
        <v>1507</v>
      </c>
      <c r="AI47" t="s">
        <v>1508</v>
      </c>
      <c r="AK47">
        <f t="shared" si="6"/>
        <v>46</v>
      </c>
      <c r="AL47" s="331" t="s">
        <v>2400</v>
      </c>
      <c r="AM47" s="331" t="s">
        <v>2455</v>
      </c>
      <c r="AN47" s="331" t="s">
        <v>2456</v>
      </c>
      <c r="AO47" s="331" t="s">
        <v>2457</v>
      </c>
      <c r="AQ47">
        <f t="shared" si="7"/>
        <v>46</v>
      </c>
      <c r="AR47" t="s">
        <v>521</v>
      </c>
      <c r="AS47" t="s">
        <v>551</v>
      </c>
      <c r="AT47" t="s">
        <v>580</v>
      </c>
      <c r="AU47" t="s">
        <v>610</v>
      </c>
      <c r="AW47">
        <f t="shared" si="8"/>
        <v>46</v>
      </c>
      <c r="AX47" t="s">
        <v>724</v>
      </c>
      <c r="AY47" t="s">
        <v>1005</v>
      </c>
      <c r="AZ47" t="s">
        <v>1023</v>
      </c>
      <c r="BA47" t="s">
        <v>1041</v>
      </c>
      <c r="BC47">
        <f t="shared" si="9"/>
        <v>46</v>
      </c>
      <c r="BD47" t="s">
        <v>753</v>
      </c>
      <c r="BE47" t="s">
        <v>2051</v>
      </c>
      <c r="BF47" t="s">
        <v>1116</v>
      </c>
      <c r="BG47" t="s">
        <v>1089</v>
      </c>
      <c r="BI47">
        <f t="shared" si="10"/>
        <v>46</v>
      </c>
      <c r="BJ47" t="s">
        <v>1307</v>
      </c>
      <c r="BK47" t="s">
        <v>1631</v>
      </c>
      <c r="BL47" t="s">
        <v>1647</v>
      </c>
      <c r="BM47" t="s">
        <v>1663</v>
      </c>
      <c r="BO47">
        <f t="shared" si="11"/>
        <v>46</v>
      </c>
    </row>
    <row r="48" spans="1:67" ht="12.75">
      <c r="A48">
        <f aca="true" t="shared" si="16" ref="A48:A53">ROW()-1</f>
        <v>47</v>
      </c>
      <c r="B48" t="s">
        <v>337</v>
      </c>
      <c r="C48" t="s">
        <v>338</v>
      </c>
      <c r="D48" t="s">
        <v>339</v>
      </c>
      <c r="E48" t="s">
        <v>340</v>
      </c>
      <c r="M48">
        <f t="shared" si="2"/>
        <v>47</v>
      </c>
      <c r="O48" s="331"/>
      <c r="P48" s="331"/>
      <c r="Q48" s="331"/>
      <c r="S48">
        <f t="shared" si="3"/>
        <v>47</v>
      </c>
      <c r="Y48">
        <f t="shared" si="4"/>
        <v>47</v>
      </c>
      <c r="AE48">
        <f t="shared" si="5"/>
        <v>47</v>
      </c>
      <c r="AF48" t="s">
        <v>1483</v>
      </c>
      <c r="AG48" t="s">
        <v>1497</v>
      </c>
      <c r="AH48" t="s">
        <v>1504</v>
      </c>
      <c r="AI48" t="s">
        <v>1490</v>
      </c>
      <c r="AK48">
        <f t="shared" si="6"/>
        <v>47</v>
      </c>
      <c r="AL48" t="s">
        <v>455</v>
      </c>
      <c r="AM48" t="s">
        <v>464</v>
      </c>
      <c r="AN48" t="s">
        <v>2052</v>
      </c>
      <c r="AO48" t="s">
        <v>475</v>
      </c>
      <c r="AQ48">
        <f t="shared" si="7"/>
        <v>47</v>
      </c>
      <c r="AR48" t="s">
        <v>522</v>
      </c>
      <c r="AS48" t="s">
        <v>564</v>
      </c>
      <c r="AT48" t="s">
        <v>593</v>
      </c>
      <c r="AU48" t="s">
        <v>611</v>
      </c>
      <c r="AW48">
        <f t="shared" si="8"/>
        <v>47</v>
      </c>
      <c r="AX48" t="s">
        <v>725</v>
      </c>
      <c r="AY48" t="s">
        <v>1006</v>
      </c>
      <c r="AZ48" t="s">
        <v>1024</v>
      </c>
      <c r="BA48" t="s">
        <v>1042</v>
      </c>
      <c r="BC48">
        <f t="shared" si="9"/>
        <v>47</v>
      </c>
      <c r="BD48" t="s">
        <v>754</v>
      </c>
      <c r="BE48" t="s">
        <v>1064</v>
      </c>
      <c r="BF48" t="s">
        <v>1117</v>
      </c>
      <c r="BG48" t="s">
        <v>1090</v>
      </c>
      <c r="BI48">
        <f t="shared" si="10"/>
        <v>47</v>
      </c>
      <c r="BJ48" t="s">
        <v>1308</v>
      </c>
      <c r="BK48" t="s">
        <v>1632</v>
      </c>
      <c r="BL48" t="s">
        <v>1648</v>
      </c>
      <c r="BM48" t="s">
        <v>1664</v>
      </c>
      <c r="BO48">
        <f t="shared" si="11"/>
        <v>47</v>
      </c>
    </row>
    <row r="49" spans="1:67" ht="12.75">
      <c r="A49">
        <f t="shared" si="16"/>
        <v>48</v>
      </c>
      <c r="B49" t="s">
        <v>341</v>
      </c>
      <c r="C49" t="s">
        <v>341</v>
      </c>
      <c r="D49" t="s">
        <v>341</v>
      </c>
      <c r="E49" t="s">
        <v>341</v>
      </c>
      <c r="M49">
        <f t="shared" si="2"/>
        <v>48</v>
      </c>
      <c r="O49" s="331"/>
      <c r="P49" s="331"/>
      <c r="Q49" s="331"/>
      <c r="S49">
        <f t="shared" si="3"/>
        <v>48</v>
      </c>
      <c r="Y49">
        <f t="shared" si="4"/>
        <v>48</v>
      </c>
      <c r="AE49">
        <f t="shared" si="5"/>
        <v>48</v>
      </c>
      <c r="AF49" t="s">
        <v>1484</v>
      </c>
      <c r="AG49" t="s">
        <v>1498</v>
      </c>
      <c r="AH49" t="s">
        <v>1498</v>
      </c>
      <c r="AI49" t="s">
        <v>1491</v>
      </c>
      <c r="AK49">
        <f t="shared" si="6"/>
        <v>48</v>
      </c>
      <c r="AL49" t="s">
        <v>453</v>
      </c>
      <c r="AM49" t="s">
        <v>460</v>
      </c>
      <c r="AN49" t="s">
        <v>2040</v>
      </c>
      <c r="AO49" t="s">
        <v>470</v>
      </c>
      <c r="AQ49">
        <f t="shared" si="7"/>
        <v>48</v>
      </c>
      <c r="AR49" t="s">
        <v>629</v>
      </c>
      <c r="AS49" t="s">
        <v>627</v>
      </c>
      <c r="AT49" t="s">
        <v>626</v>
      </c>
      <c r="AU49" t="s">
        <v>628</v>
      </c>
      <c r="AW49">
        <f t="shared" si="8"/>
        <v>48</v>
      </c>
      <c r="AX49" t="s">
        <v>991</v>
      </c>
      <c r="AY49" t="s">
        <v>1007</v>
      </c>
      <c r="AZ49" t="s">
        <v>1025</v>
      </c>
      <c r="BA49" t="s">
        <v>1043</v>
      </c>
      <c r="BC49">
        <f t="shared" si="9"/>
        <v>48</v>
      </c>
      <c r="BD49" t="s">
        <v>756</v>
      </c>
      <c r="BE49" t="s">
        <v>1065</v>
      </c>
      <c r="BF49" t="s">
        <v>1118</v>
      </c>
      <c r="BG49" t="s">
        <v>1091</v>
      </c>
      <c r="BI49">
        <f t="shared" si="10"/>
        <v>48</v>
      </c>
      <c r="BO49">
        <f t="shared" si="11"/>
        <v>48</v>
      </c>
    </row>
    <row r="50" spans="1:67" ht="12.75">
      <c r="A50">
        <f t="shared" si="16"/>
        <v>49</v>
      </c>
      <c r="B50" t="s">
        <v>342</v>
      </c>
      <c r="C50" t="s">
        <v>342</v>
      </c>
      <c r="D50" t="s">
        <v>342</v>
      </c>
      <c r="E50" t="s">
        <v>342</v>
      </c>
      <c r="M50">
        <f t="shared" si="2"/>
        <v>49</v>
      </c>
      <c r="O50" s="331"/>
      <c r="P50" s="331"/>
      <c r="Q50" s="331"/>
      <c r="S50">
        <f t="shared" si="3"/>
        <v>49</v>
      </c>
      <c r="Y50">
        <f t="shared" si="4"/>
        <v>49</v>
      </c>
      <c r="AE50">
        <f t="shared" si="5"/>
        <v>49</v>
      </c>
      <c r="AK50">
        <f t="shared" si="6"/>
        <v>49</v>
      </c>
      <c r="AL50" s="331" t="s">
        <v>2393</v>
      </c>
      <c r="AM50" s="331" t="s">
        <v>2458</v>
      </c>
      <c r="AN50" s="331" t="s">
        <v>2442</v>
      </c>
      <c r="AO50" s="331" t="s">
        <v>2443</v>
      </c>
      <c r="AQ50">
        <f t="shared" si="7"/>
        <v>49</v>
      </c>
      <c r="AR50" t="s">
        <v>523</v>
      </c>
      <c r="AS50" t="s">
        <v>562</v>
      </c>
      <c r="AT50" t="s">
        <v>594</v>
      </c>
      <c r="AU50" t="s">
        <v>612</v>
      </c>
      <c r="AW50">
        <f t="shared" si="8"/>
        <v>49</v>
      </c>
      <c r="AX50" t="s">
        <v>729</v>
      </c>
      <c r="AY50" t="s">
        <v>877</v>
      </c>
      <c r="AZ50" t="s">
        <v>1013</v>
      </c>
      <c r="BA50" t="s">
        <v>867</v>
      </c>
      <c r="BC50">
        <f t="shared" si="9"/>
        <v>49</v>
      </c>
      <c r="BD50" t="s">
        <v>757</v>
      </c>
      <c r="BE50" t="s">
        <v>1066</v>
      </c>
      <c r="BF50" t="s">
        <v>1119</v>
      </c>
      <c r="BG50" t="s">
        <v>1092</v>
      </c>
      <c r="BI50">
        <f t="shared" si="10"/>
        <v>49</v>
      </c>
      <c r="BO50">
        <f t="shared" si="11"/>
        <v>49</v>
      </c>
    </row>
    <row r="51" spans="1:67" ht="12.75">
      <c r="A51">
        <f t="shared" si="16"/>
        <v>50</v>
      </c>
      <c r="B51" t="s">
        <v>343</v>
      </c>
      <c r="C51" t="s">
        <v>344</v>
      </c>
      <c r="D51" t="s">
        <v>345</v>
      </c>
      <c r="E51" t="s">
        <v>346</v>
      </c>
      <c r="M51">
        <f t="shared" si="2"/>
        <v>50</v>
      </c>
      <c r="O51" s="331"/>
      <c r="P51" s="331"/>
      <c r="Q51" s="331"/>
      <c r="S51">
        <f t="shared" si="3"/>
        <v>50</v>
      </c>
      <c r="Y51">
        <f t="shared" si="4"/>
        <v>50</v>
      </c>
      <c r="AE51">
        <f t="shared" si="5"/>
        <v>50</v>
      </c>
      <c r="AK51">
        <f t="shared" si="6"/>
        <v>50</v>
      </c>
      <c r="AL51" t="s">
        <v>456</v>
      </c>
      <c r="AM51" t="s">
        <v>465</v>
      </c>
      <c r="AN51" t="s">
        <v>2053</v>
      </c>
      <c r="AO51" t="s">
        <v>476</v>
      </c>
      <c r="AQ51">
        <f t="shared" si="7"/>
        <v>50</v>
      </c>
      <c r="AR51" t="s">
        <v>524</v>
      </c>
      <c r="AS51" t="s">
        <v>552</v>
      </c>
      <c r="AT51" t="s">
        <v>581</v>
      </c>
      <c r="AU51" t="s">
        <v>613</v>
      </c>
      <c r="AW51">
        <f t="shared" si="8"/>
        <v>50</v>
      </c>
      <c r="AX51" t="s">
        <v>730</v>
      </c>
      <c r="AY51" t="s">
        <v>730</v>
      </c>
      <c r="AZ51" t="s">
        <v>1014</v>
      </c>
      <c r="BA51" t="s">
        <v>730</v>
      </c>
      <c r="BC51">
        <f t="shared" si="9"/>
        <v>50</v>
      </c>
      <c r="BD51" t="s">
        <v>758</v>
      </c>
      <c r="BE51" t="s">
        <v>1052</v>
      </c>
      <c r="BF51" t="s">
        <v>1120</v>
      </c>
      <c r="BG51" t="s">
        <v>1077</v>
      </c>
      <c r="BI51">
        <f t="shared" si="10"/>
        <v>50</v>
      </c>
      <c r="BO51">
        <f t="shared" si="11"/>
        <v>50</v>
      </c>
    </row>
    <row r="52" spans="1:71" ht="12.75">
      <c r="A52">
        <f t="shared" si="16"/>
        <v>51</v>
      </c>
      <c r="B52" t="s">
        <v>52</v>
      </c>
      <c r="C52" t="s">
        <v>331</v>
      </c>
      <c r="D52" t="s">
        <v>347</v>
      </c>
      <c r="E52" t="s">
        <v>333</v>
      </c>
      <c r="M52">
        <f t="shared" si="2"/>
        <v>51</v>
      </c>
      <c r="N52" t="s">
        <v>1318</v>
      </c>
      <c r="O52" s="331" t="s">
        <v>1729</v>
      </c>
      <c r="P52" s="331" t="s">
        <v>1719</v>
      </c>
      <c r="Q52" s="331" t="s">
        <v>1724</v>
      </c>
      <c r="S52">
        <f t="shared" si="3"/>
        <v>51</v>
      </c>
      <c r="T52" t="s">
        <v>62</v>
      </c>
      <c r="U52" t="s">
        <v>370</v>
      </c>
      <c r="V52" t="s">
        <v>371</v>
      </c>
      <c r="W52" t="s">
        <v>372</v>
      </c>
      <c r="Y52">
        <f t="shared" si="4"/>
        <v>51</v>
      </c>
      <c r="AE52">
        <f t="shared" si="5"/>
        <v>51</v>
      </c>
      <c r="AK52">
        <f t="shared" si="6"/>
        <v>51</v>
      </c>
      <c r="AL52" s="331" t="s">
        <v>2401</v>
      </c>
      <c r="AM52" s="331" t="s">
        <v>466</v>
      </c>
      <c r="AN52" s="331" t="s">
        <v>2459</v>
      </c>
      <c r="AO52" s="331" t="s">
        <v>2460</v>
      </c>
      <c r="AQ52">
        <f t="shared" si="7"/>
        <v>51</v>
      </c>
      <c r="AR52" t="s">
        <v>525</v>
      </c>
      <c r="AS52" t="s">
        <v>553</v>
      </c>
      <c r="AT52" t="s">
        <v>582</v>
      </c>
      <c r="AU52" t="s">
        <v>614</v>
      </c>
      <c r="AW52">
        <f t="shared" si="8"/>
        <v>51</v>
      </c>
      <c r="AX52" t="s">
        <v>731</v>
      </c>
      <c r="AY52" t="s">
        <v>731</v>
      </c>
      <c r="AZ52" t="s">
        <v>731</v>
      </c>
      <c r="BA52" t="s">
        <v>1033</v>
      </c>
      <c r="BC52">
        <f t="shared" si="9"/>
        <v>51</v>
      </c>
      <c r="BD52" t="s">
        <v>759</v>
      </c>
      <c r="BE52" t="s">
        <v>1062</v>
      </c>
      <c r="BF52" t="s">
        <v>1121</v>
      </c>
      <c r="BG52" t="s">
        <v>1087</v>
      </c>
      <c r="BI52">
        <f t="shared" si="10"/>
        <v>51</v>
      </c>
      <c r="BO52">
        <f t="shared" si="11"/>
        <v>51</v>
      </c>
      <c r="BP52" t="s">
        <v>788</v>
      </c>
      <c r="BQ52" t="s">
        <v>1133</v>
      </c>
      <c r="BR52" t="s">
        <v>1162</v>
      </c>
      <c r="BS52" t="s">
        <v>1192</v>
      </c>
    </row>
    <row r="53" spans="1:71" ht="12.75">
      <c r="A53">
        <f t="shared" si="16"/>
        <v>52</v>
      </c>
      <c r="B53" t="s">
        <v>672</v>
      </c>
      <c r="C53" t="s">
        <v>673</v>
      </c>
      <c r="D53" t="s">
        <v>674</v>
      </c>
      <c r="E53" t="s">
        <v>675</v>
      </c>
      <c r="M53">
        <f t="shared" si="2"/>
        <v>52</v>
      </c>
      <c r="N53" t="s">
        <v>1733</v>
      </c>
      <c r="O53" s="331" t="s">
        <v>1730</v>
      </c>
      <c r="P53" s="331" t="s">
        <v>1720</v>
      </c>
      <c r="Q53" s="331" t="s">
        <v>1725</v>
      </c>
      <c r="S53">
        <f t="shared" si="3"/>
        <v>52</v>
      </c>
      <c r="T53" t="s">
        <v>63</v>
      </c>
      <c r="U53" t="s">
        <v>373</v>
      </c>
      <c r="V53" t="s">
        <v>374</v>
      </c>
      <c r="W53" t="s">
        <v>2054</v>
      </c>
      <c r="Y53">
        <f t="shared" si="4"/>
        <v>52</v>
      </c>
      <c r="AE53">
        <f t="shared" si="5"/>
        <v>52</v>
      </c>
      <c r="AK53">
        <f t="shared" si="6"/>
        <v>52</v>
      </c>
      <c r="AL53" s="331" t="s">
        <v>2402</v>
      </c>
      <c r="AM53" s="331" t="s">
        <v>2461</v>
      </c>
      <c r="AN53" s="331" t="s">
        <v>2462</v>
      </c>
      <c r="AO53" s="331" t="s">
        <v>2463</v>
      </c>
      <c r="AQ53">
        <f t="shared" si="7"/>
        <v>52</v>
      </c>
      <c r="AR53" t="s">
        <v>526</v>
      </c>
      <c r="AS53" t="s">
        <v>554</v>
      </c>
      <c r="AT53" t="s">
        <v>583</v>
      </c>
      <c r="AU53" t="s">
        <v>615</v>
      </c>
      <c r="AW53">
        <f t="shared" si="8"/>
        <v>52</v>
      </c>
      <c r="AX53" t="s">
        <v>732</v>
      </c>
      <c r="AY53" t="s">
        <v>999</v>
      </c>
      <c r="AZ53" t="s">
        <v>1015</v>
      </c>
      <c r="BA53" t="s">
        <v>1034</v>
      </c>
      <c r="BC53">
        <f t="shared" si="9"/>
        <v>52</v>
      </c>
      <c r="BD53" t="s">
        <v>760</v>
      </c>
      <c r="BE53" t="s">
        <v>1067</v>
      </c>
      <c r="BF53" t="s">
        <v>1122</v>
      </c>
      <c r="BG53" t="s">
        <v>1093</v>
      </c>
      <c r="BI53">
        <f t="shared" si="10"/>
        <v>52</v>
      </c>
      <c r="BO53">
        <f t="shared" si="11"/>
        <v>52</v>
      </c>
      <c r="BP53" t="s">
        <v>789</v>
      </c>
      <c r="BQ53" t="s">
        <v>1134</v>
      </c>
      <c r="BR53" t="s">
        <v>1163</v>
      </c>
      <c r="BS53" t="s">
        <v>1193</v>
      </c>
    </row>
    <row r="54" spans="1:71" ht="12.75">
      <c r="A54">
        <f aca="true" t="shared" si="17" ref="A54:A67">ROW()-1</f>
        <v>53</v>
      </c>
      <c r="B54" t="s">
        <v>1362</v>
      </c>
      <c r="C54" t="s">
        <v>1907</v>
      </c>
      <c r="D54" t="s">
        <v>1838</v>
      </c>
      <c r="E54" t="s">
        <v>1908</v>
      </c>
      <c r="M54">
        <f t="shared" si="2"/>
        <v>53</v>
      </c>
      <c r="N54" t="s">
        <v>1734</v>
      </c>
      <c r="O54" s="331" t="s">
        <v>1731</v>
      </c>
      <c r="P54" s="331" t="s">
        <v>1721</v>
      </c>
      <c r="Q54" s="331" t="s">
        <v>1726</v>
      </c>
      <c r="S54">
        <f t="shared" si="3"/>
        <v>53</v>
      </c>
      <c r="Y54">
        <f t="shared" si="4"/>
        <v>53</v>
      </c>
      <c r="AE54">
        <f t="shared" si="5"/>
        <v>53</v>
      </c>
      <c r="AK54">
        <f t="shared" si="6"/>
        <v>53</v>
      </c>
      <c r="AL54" s="331" t="s">
        <v>2403</v>
      </c>
      <c r="AM54" s="331" t="s">
        <v>467</v>
      </c>
      <c r="AN54" s="331" t="s">
        <v>2464</v>
      </c>
      <c r="AO54" s="331" t="s">
        <v>2465</v>
      </c>
      <c r="AQ54">
        <f t="shared" si="7"/>
        <v>53</v>
      </c>
      <c r="AR54" s="331" t="s">
        <v>2384</v>
      </c>
      <c r="AS54" s="331" t="s">
        <v>2497</v>
      </c>
      <c r="AT54" s="331" t="s">
        <v>2498</v>
      </c>
      <c r="AU54" s="331" t="s">
        <v>2499</v>
      </c>
      <c r="AW54">
        <f t="shared" si="8"/>
        <v>53</v>
      </c>
      <c r="AX54" t="s">
        <v>733</v>
      </c>
      <c r="AY54" t="s">
        <v>876</v>
      </c>
      <c r="AZ54" t="s">
        <v>1016</v>
      </c>
      <c r="BA54" t="s">
        <v>866</v>
      </c>
      <c r="BC54">
        <f t="shared" si="9"/>
        <v>53</v>
      </c>
      <c r="BD54" t="s">
        <v>762</v>
      </c>
      <c r="BE54" t="s">
        <v>1068</v>
      </c>
      <c r="BF54" t="s">
        <v>1123</v>
      </c>
      <c r="BG54" t="s">
        <v>1094</v>
      </c>
      <c r="BI54">
        <f t="shared" si="10"/>
        <v>53</v>
      </c>
      <c r="BO54">
        <f t="shared" si="11"/>
        <v>53</v>
      </c>
      <c r="BP54" t="s">
        <v>790</v>
      </c>
      <c r="BQ54" t="s">
        <v>1135</v>
      </c>
      <c r="BR54" t="s">
        <v>1164</v>
      </c>
      <c r="BS54" t="s">
        <v>1194</v>
      </c>
    </row>
    <row r="55" spans="1:71" ht="12.75">
      <c r="A55">
        <f t="shared" si="17"/>
        <v>54</v>
      </c>
      <c r="B55" t="s">
        <v>1380</v>
      </c>
      <c r="C55" t="s">
        <v>2055</v>
      </c>
      <c r="D55" t="s">
        <v>2056</v>
      </c>
      <c r="E55" t="s">
        <v>852</v>
      </c>
      <c r="M55">
        <f t="shared" si="2"/>
        <v>54</v>
      </c>
      <c r="N55" t="s">
        <v>1320</v>
      </c>
      <c r="O55" s="331" t="s">
        <v>1732</v>
      </c>
      <c r="P55" s="331" t="s">
        <v>1722</v>
      </c>
      <c r="Q55" s="331" t="s">
        <v>1727</v>
      </c>
      <c r="S55">
        <f t="shared" si="3"/>
        <v>54</v>
      </c>
      <c r="Y55">
        <f t="shared" si="4"/>
        <v>54</v>
      </c>
      <c r="AE55">
        <f t="shared" si="5"/>
        <v>54</v>
      </c>
      <c r="AK55">
        <f t="shared" si="6"/>
        <v>54</v>
      </c>
      <c r="AL55" s="331" t="s">
        <v>2404</v>
      </c>
      <c r="AM55" s="331" t="s">
        <v>2466</v>
      </c>
      <c r="AN55" s="331" t="s">
        <v>2467</v>
      </c>
      <c r="AO55" s="331" t="s">
        <v>2468</v>
      </c>
      <c r="AQ55">
        <f t="shared" si="7"/>
        <v>54</v>
      </c>
      <c r="AR55" t="s">
        <v>677</v>
      </c>
      <c r="AS55" t="s">
        <v>679</v>
      </c>
      <c r="AT55" t="s">
        <v>680</v>
      </c>
      <c r="AU55" t="s">
        <v>678</v>
      </c>
      <c r="AW55">
        <f t="shared" si="8"/>
        <v>54</v>
      </c>
      <c r="AX55" t="s">
        <v>730</v>
      </c>
      <c r="AY55" t="s">
        <v>730</v>
      </c>
      <c r="AZ55" t="s">
        <v>1014</v>
      </c>
      <c r="BA55" t="s">
        <v>730</v>
      </c>
      <c r="BC55">
        <f t="shared" si="9"/>
        <v>54</v>
      </c>
      <c r="BD55" t="s">
        <v>763</v>
      </c>
      <c r="BE55" t="s">
        <v>1069</v>
      </c>
      <c r="BF55" t="s">
        <v>1124</v>
      </c>
      <c r="BG55" t="s">
        <v>1095</v>
      </c>
      <c r="BI55">
        <f t="shared" si="10"/>
        <v>54</v>
      </c>
      <c r="BO55">
        <f t="shared" si="11"/>
        <v>54</v>
      </c>
      <c r="BP55" t="s">
        <v>791</v>
      </c>
      <c r="BQ55" t="s">
        <v>1136</v>
      </c>
      <c r="BR55" t="s">
        <v>1165</v>
      </c>
      <c r="BS55" t="s">
        <v>1195</v>
      </c>
    </row>
    <row r="56" spans="1:71" ht="12.75">
      <c r="A56">
        <f t="shared" si="17"/>
        <v>55</v>
      </c>
      <c r="M56">
        <f t="shared" si="2"/>
        <v>55</v>
      </c>
      <c r="O56" s="331"/>
      <c r="P56" s="331"/>
      <c r="Q56" s="331"/>
      <c r="S56">
        <f t="shared" si="3"/>
        <v>55</v>
      </c>
      <c r="Y56">
        <f t="shared" si="4"/>
        <v>55</v>
      </c>
      <c r="AE56">
        <f t="shared" si="5"/>
        <v>55</v>
      </c>
      <c r="AK56">
        <f t="shared" si="6"/>
        <v>55</v>
      </c>
      <c r="AL56" s="331" t="s">
        <v>2405</v>
      </c>
      <c r="AM56" s="331" t="s">
        <v>2469</v>
      </c>
      <c r="AN56" s="331" t="s">
        <v>2470</v>
      </c>
      <c r="AO56" s="331" t="s">
        <v>2471</v>
      </c>
      <c r="AQ56">
        <f t="shared" si="7"/>
        <v>55</v>
      </c>
      <c r="AR56" t="s">
        <v>527</v>
      </c>
      <c r="AS56" t="s">
        <v>527</v>
      </c>
      <c r="AT56" t="s">
        <v>584</v>
      </c>
      <c r="AU56" t="s">
        <v>527</v>
      </c>
      <c r="AW56">
        <f t="shared" si="8"/>
        <v>55</v>
      </c>
      <c r="AX56" t="s">
        <v>731</v>
      </c>
      <c r="AY56" t="s">
        <v>731</v>
      </c>
      <c r="AZ56" t="s">
        <v>731</v>
      </c>
      <c r="BA56" t="s">
        <v>1033</v>
      </c>
      <c r="BC56">
        <f t="shared" si="9"/>
        <v>55</v>
      </c>
      <c r="BD56" t="s">
        <v>764</v>
      </c>
      <c r="BE56" t="s">
        <v>1070</v>
      </c>
      <c r="BF56" t="s">
        <v>1125</v>
      </c>
      <c r="BG56" t="s">
        <v>1096</v>
      </c>
      <c r="BI56">
        <f t="shared" si="10"/>
        <v>55</v>
      </c>
      <c r="BO56">
        <f t="shared" si="11"/>
        <v>55</v>
      </c>
      <c r="BP56" t="s">
        <v>792</v>
      </c>
      <c r="BQ56" t="s">
        <v>1137</v>
      </c>
      <c r="BR56" t="s">
        <v>1166</v>
      </c>
      <c r="BS56" t="s">
        <v>1196</v>
      </c>
    </row>
    <row r="57" spans="1:67" ht="12.75">
      <c r="A57">
        <f t="shared" si="17"/>
        <v>56</v>
      </c>
      <c r="M57">
        <f t="shared" si="2"/>
        <v>56</v>
      </c>
      <c r="O57" s="331"/>
      <c r="P57" s="331"/>
      <c r="Q57" s="331"/>
      <c r="S57">
        <f t="shared" si="3"/>
        <v>56</v>
      </c>
      <c r="Y57">
        <f t="shared" si="4"/>
        <v>56</v>
      </c>
      <c r="AE57">
        <f t="shared" si="5"/>
        <v>56</v>
      </c>
      <c r="AK57">
        <f t="shared" si="6"/>
        <v>56</v>
      </c>
      <c r="AL57" s="331" t="s">
        <v>2406</v>
      </c>
      <c r="AM57" s="331" t="s">
        <v>2472</v>
      </c>
      <c r="AN57" s="331" t="s">
        <v>2473</v>
      </c>
      <c r="AO57" s="331" t="s">
        <v>2474</v>
      </c>
      <c r="AQ57">
        <f t="shared" si="7"/>
        <v>56</v>
      </c>
      <c r="AR57" t="s">
        <v>528</v>
      </c>
      <c r="AS57" t="s">
        <v>555</v>
      </c>
      <c r="AT57" t="s">
        <v>585</v>
      </c>
      <c r="AU57" t="s">
        <v>616</v>
      </c>
      <c r="AW57">
        <f t="shared" si="8"/>
        <v>56</v>
      </c>
      <c r="AX57" t="s">
        <v>732</v>
      </c>
      <c r="AY57" t="s">
        <v>999</v>
      </c>
      <c r="AZ57" t="s">
        <v>1015</v>
      </c>
      <c r="BA57" t="s">
        <v>1034</v>
      </c>
      <c r="BC57">
        <f t="shared" si="9"/>
        <v>56</v>
      </c>
      <c r="BI57">
        <f t="shared" si="10"/>
        <v>56</v>
      </c>
      <c r="BO57">
        <f t="shared" si="11"/>
        <v>56</v>
      </c>
    </row>
    <row r="58" spans="1:67" ht="12.75">
      <c r="A58">
        <f t="shared" si="17"/>
        <v>57</v>
      </c>
      <c r="M58">
        <f t="shared" si="2"/>
        <v>57</v>
      </c>
      <c r="O58" s="331"/>
      <c r="P58" s="331"/>
      <c r="Q58" s="331"/>
      <c r="S58">
        <f t="shared" si="3"/>
        <v>57</v>
      </c>
      <c r="Y58">
        <f t="shared" si="4"/>
        <v>57</v>
      </c>
      <c r="AE58">
        <f t="shared" si="5"/>
        <v>57</v>
      </c>
      <c r="AK58">
        <f t="shared" si="6"/>
        <v>57</v>
      </c>
      <c r="AL58" s="331" t="s">
        <v>244</v>
      </c>
      <c r="AM58" s="331" t="s">
        <v>429</v>
      </c>
      <c r="AN58" s="331" t="s">
        <v>2475</v>
      </c>
      <c r="AO58" s="331" t="s">
        <v>439</v>
      </c>
      <c r="AQ58">
        <f t="shared" si="7"/>
        <v>57</v>
      </c>
      <c r="AR58" t="s">
        <v>526</v>
      </c>
      <c r="AS58" t="s">
        <v>554</v>
      </c>
      <c r="AT58" t="s">
        <v>583</v>
      </c>
      <c r="AU58" t="s">
        <v>615</v>
      </c>
      <c r="AW58">
        <f t="shared" si="8"/>
        <v>57</v>
      </c>
      <c r="AX58" t="s">
        <v>726</v>
      </c>
      <c r="AY58" t="s">
        <v>1008</v>
      </c>
      <c r="AZ58" t="s">
        <v>1026</v>
      </c>
      <c r="BA58" t="s">
        <v>1044</v>
      </c>
      <c r="BC58">
        <f t="shared" si="9"/>
        <v>57</v>
      </c>
      <c r="BI58">
        <f t="shared" si="10"/>
        <v>57</v>
      </c>
      <c r="BO58">
        <f t="shared" si="11"/>
        <v>57</v>
      </c>
    </row>
    <row r="59" spans="1:67" ht="12.75">
      <c r="A59">
        <f t="shared" si="17"/>
        <v>58</v>
      </c>
      <c r="M59">
        <f t="shared" si="2"/>
        <v>58</v>
      </c>
      <c r="O59" s="331"/>
      <c r="P59" s="331"/>
      <c r="Q59" s="331"/>
      <c r="S59">
        <f t="shared" si="3"/>
        <v>58</v>
      </c>
      <c r="Y59">
        <f t="shared" si="4"/>
        <v>58</v>
      </c>
      <c r="AE59">
        <f t="shared" si="5"/>
        <v>58</v>
      </c>
      <c r="AK59">
        <f t="shared" si="6"/>
        <v>58</v>
      </c>
      <c r="AL59" s="331" t="s">
        <v>2411</v>
      </c>
      <c r="AM59" s="331" t="s">
        <v>2476</v>
      </c>
      <c r="AN59" s="331" t="s">
        <v>2477</v>
      </c>
      <c r="AO59" s="331" t="s">
        <v>2478</v>
      </c>
      <c r="AQ59">
        <f t="shared" si="7"/>
        <v>58</v>
      </c>
      <c r="AR59" t="s">
        <v>529</v>
      </c>
      <c r="AS59" t="s">
        <v>556</v>
      </c>
      <c r="AT59" t="s">
        <v>586</v>
      </c>
      <c r="AU59" t="s">
        <v>617</v>
      </c>
      <c r="AW59">
        <f t="shared" si="8"/>
        <v>58</v>
      </c>
      <c r="AX59" t="s">
        <v>727</v>
      </c>
      <c r="AY59" t="s">
        <v>1009</v>
      </c>
      <c r="AZ59" t="s">
        <v>1027</v>
      </c>
      <c r="BA59" t="s">
        <v>1045</v>
      </c>
      <c r="BC59">
        <f t="shared" si="9"/>
        <v>58</v>
      </c>
      <c r="BI59">
        <f t="shared" si="10"/>
        <v>58</v>
      </c>
      <c r="BO59">
        <f t="shared" si="11"/>
        <v>58</v>
      </c>
    </row>
    <row r="60" spans="1:67" ht="12.75">
      <c r="A60">
        <f t="shared" si="17"/>
        <v>59</v>
      </c>
      <c r="M60">
        <f t="shared" si="2"/>
        <v>59</v>
      </c>
      <c r="O60" s="331"/>
      <c r="P60" s="331"/>
      <c r="Q60" s="331"/>
      <c r="S60">
        <f t="shared" si="3"/>
        <v>59</v>
      </c>
      <c r="Y60">
        <f t="shared" si="4"/>
        <v>59</v>
      </c>
      <c r="AE60">
        <f t="shared" si="5"/>
        <v>59</v>
      </c>
      <c r="AK60">
        <f t="shared" si="6"/>
        <v>59</v>
      </c>
      <c r="AL60" s="331" t="s">
        <v>2412</v>
      </c>
      <c r="AM60" s="331" t="s">
        <v>2479</v>
      </c>
      <c r="AN60" s="331" t="s">
        <v>2480</v>
      </c>
      <c r="AO60" s="331" t="s">
        <v>2481</v>
      </c>
      <c r="AQ60">
        <f t="shared" si="7"/>
        <v>59</v>
      </c>
      <c r="AR60" t="s">
        <v>530</v>
      </c>
      <c r="AS60" t="s">
        <v>557</v>
      </c>
      <c r="AT60" t="s">
        <v>587</v>
      </c>
      <c r="AU60" t="s">
        <v>618</v>
      </c>
      <c r="AW60">
        <f t="shared" si="8"/>
        <v>59</v>
      </c>
      <c r="BC60">
        <f t="shared" si="9"/>
        <v>59</v>
      </c>
      <c r="BI60">
        <f t="shared" si="10"/>
        <v>59</v>
      </c>
      <c r="BO60">
        <f t="shared" si="11"/>
        <v>59</v>
      </c>
    </row>
    <row r="61" spans="1:67" ht="12.75">
      <c r="A61">
        <f t="shared" si="17"/>
        <v>60</v>
      </c>
      <c r="M61">
        <f t="shared" si="2"/>
        <v>60</v>
      </c>
      <c r="O61" s="331"/>
      <c r="P61" s="331"/>
      <c r="Q61" s="331"/>
      <c r="S61">
        <f t="shared" si="3"/>
        <v>60</v>
      </c>
      <c r="Y61">
        <f t="shared" si="4"/>
        <v>60</v>
      </c>
      <c r="AE61">
        <f t="shared" si="5"/>
        <v>60</v>
      </c>
      <c r="AK61">
        <f t="shared" si="6"/>
        <v>60</v>
      </c>
      <c r="AL61" s="331" t="s">
        <v>2413</v>
      </c>
      <c r="AM61" s="331" t="s">
        <v>2159</v>
      </c>
      <c r="AN61" s="331" t="s">
        <v>2482</v>
      </c>
      <c r="AO61" s="331" t="s">
        <v>2483</v>
      </c>
      <c r="AQ61">
        <f t="shared" si="7"/>
        <v>60</v>
      </c>
      <c r="AR61" t="s">
        <v>531</v>
      </c>
      <c r="AS61" t="s">
        <v>558</v>
      </c>
      <c r="AT61" t="s">
        <v>588</v>
      </c>
      <c r="AU61" t="s">
        <v>619</v>
      </c>
      <c r="AW61">
        <f t="shared" si="8"/>
        <v>60</v>
      </c>
      <c r="BC61">
        <f t="shared" si="9"/>
        <v>60</v>
      </c>
      <c r="BI61">
        <f t="shared" si="10"/>
        <v>60</v>
      </c>
      <c r="BO61">
        <f t="shared" si="11"/>
        <v>60</v>
      </c>
    </row>
    <row r="62" spans="1:67" ht="12.75">
      <c r="A62">
        <f t="shared" si="17"/>
        <v>61</v>
      </c>
      <c r="M62">
        <f t="shared" si="2"/>
        <v>61</v>
      </c>
      <c r="N62" t="s">
        <v>48</v>
      </c>
      <c r="O62" s="331" t="s">
        <v>290</v>
      </c>
      <c r="P62" s="331" t="s">
        <v>364</v>
      </c>
      <c r="Q62" s="331" t="s">
        <v>365</v>
      </c>
      <c r="S62">
        <f t="shared" si="3"/>
        <v>61</v>
      </c>
      <c r="T62" t="s">
        <v>1224</v>
      </c>
      <c r="U62" t="s">
        <v>1240</v>
      </c>
      <c r="V62" t="s">
        <v>1254</v>
      </c>
      <c r="W62" t="s">
        <v>1267</v>
      </c>
      <c r="Y62">
        <f t="shared" si="4"/>
        <v>61</v>
      </c>
      <c r="AE62">
        <f t="shared" si="5"/>
        <v>61</v>
      </c>
      <c r="AF62" t="s">
        <v>1416</v>
      </c>
      <c r="AG62" t="s">
        <v>1533</v>
      </c>
      <c r="AH62" t="s">
        <v>1562</v>
      </c>
      <c r="AI62" t="s">
        <v>1566</v>
      </c>
      <c r="AK62">
        <f t="shared" si="6"/>
        <v>61</v>
      </c>
      <c r="AL62" s="331" t="s">
        <v>2414</v>
      </c>
      <c r="AM62" s="331" t="s">
        <v>2484</v>
      </c>
      <c r="AN62" s="331" t="s">
        <v>2485</v>
      </c>
      <c r="AO62" s="331" t="s">
        <v>2486</v>
      </c>
      <c r="AQ62">
        <f t="shared" si="7"/>
        <v>61</v>
      </c>
      <c r="AR62" t="s">
        <v>532</v>
      </c>
      <c r="AS62" t="s">
        <v>2057</v>
      </c>
      <c r="AT62" t="s">
        <v>595</v>
      </c>
      <c r="AU62" t="s">
        <v>620</v>
      </c>
      <c r="AW62">
        <f t="shared" si="8"/>
        <v>61</v>
      </c>
      <c r="BC62">
        <f t="shared" si="9"/>
        <v>61</v>
      </c>
      <c r="BI62">
        <f t="shared" si="10"/>
        <v>61</v>
      </c>
      <c r="BJ62" t="s">
        <v>1292</v>
      </c>
      <c r="BK62" t="s">
        <v>1666</v>
      </c>
      <c r="BL62" t="s">
        <v>1669</v>
      </c>
      <c r="BM62" t="s">
        <v>1670</v>
      </c>
      <c r="BO62">
        <f t="shared" si="11"/>
        <v>61</v>
      </c>
    </row>
    <row r="63" spans="1:67" ht="12.75">
      <c r="A63">
        <f t="shared" si="17"/>
        <v>62</v>
      </c>
      <c r="M63">
        <f t="shared" si="2"/>
        <v>62</v>
      </c>
      <c r="N63" t="s">
        <v>1323</v>
      </c>
      <c r="O63" s="331" t="s">
        <v>1745</v>
      </c>
      <c r="P63" s="331" t="s">
        <v>1750</v>
      </c>
      <c r="Q63" s="331" t="s">
        <v>1736</v>
      </c>
      <c r="S63">
        <f t="shared" si="3"/>
        <v>62</v>
      </c>
      <c r="T63" t="s">
        <v>1225</v>
      </c>
      <c r="U63" t="s">
        <v>1241</v>
      </c>
      <c r="V63" t="s">
        <v>1255</v>
      </c>
      <c r="W63" t="s">
        <v>1268</v>
      </c>
      <c r="Y63">
        <f t="shared" si="4"/>
        <v>62</v>
      </c>
      <c r="AE63">
        <f t="shared" si="5"/>
        <v>62</v>
      </c>
      <c r="AF63" t="s">
        <v>1512</v>
      </c>
      <c r="AG63" s="34" t="s">
        <v>1534</v>
      </c>
      <c r="AH63" t="s">
        <v>1563</v>
      </c>
      <c r="AI63" t="s">
        <v>1567</v>
      </c>
      <c r="AK63">
        <f t="shared" si="6"/>
        <v>62</v>
      </c>
      <c r="AL63" s="331" t="s">
        <v>2407</v>
      </c>
      <c r="AM63" s="331" t="s">
        <v>2487</v>
      </c>
      <c r="AN63" s="331" t="s">
        <v>2488</v>
      </c>
      <c r="AO63" s="331" t="s">
        <v>2489</v>
      </c>
      <c r="AQ63">
        <f t="shared" si="7"/>
        <v>62</v>
      </c>
      <c r="AR63" t="s">
        <v>244</v>
      </c>
      <c r="AS63" t="s">
        <v>429</v>
      </c>
      <c r="AT63" t="s">
        <v>434</v>
      </c>
      <c r="AU63" t="s">
        <v>439</v>
      </c>
      <c r="AW63">
        <f t="shared" si="8"/>
        <v>62</v>
      </c>
      <c r="BC63">
        <f t="shared" si="9"/>
        <v>62</v>
      </c>
      <c r="BI63">
        <f t="shared" si="10"/>
        <v>62</v>
      </c>
      <c r="BJ63" t="s">
        <v>1311</v>
      </c>
      <c r="BK63" t="s">
        <v>1667</v>
      </c>
      <c r="BL63" t="s">
        <v>2791</v>
      </c>
      <c r="BM63" t="s">
        <v>1671</v>
      </c>
      <c r="BO63">
        <f t="shared" si="11"/>
        <v>62</v>
      </c>
    </row>
    <row r="64" spans="1:67" ht="12.75">
      <c r="A64">
        <f t="shared" si="17"/>
        <v>63</v>
      </c>
      <c r="M64">
        <f t="shared" si="2"/>
        <v>63</v>
      </c>
      <c r="N64" t="s">
        <v>1742</v>
      </c>
      <c r="O64" s="331" t="s">
        <v>1746</v>
      </c>
      <c r="P64" s="331" t="s">
        <v>1751</v>
      </c>
      <c r="Q64" s="331" t="s">
        <v>1739</v>
      </c>
      <c r="S64">
        <f t="shared" si="3"/>
        <v>63</v>
      </c>
      <c r="T64" t="s">
        <v>1226</v>
      </c>
      <c r="U64" t="s">
        <v>1242</v>
      </c>
      <c r="V64" t="s">
        <v>1256</v>
      </c>
      <c r="W64" t="s">
        <v>1269</v>
      </c>
      <c r="Y64">
        <f t="shared" si="4"/>
        <v>63</v>
      </c>
      <c r="AE64">
        <f t="shared" si="5"/>
        <v>63</v>
      </c>
      <c r="AF64" t="s">
        <v>1417</v>
      </c>
      <c r="AG64" t="s">
        <v>1513</v>
      </c>
      <c r="AH64" t="s">
        <v>1537</v>
      </c>
      <c r="AI64" t="s">
        <v>1417</v>
      </c>
      <c r="AK64">
        <f t="shared" si="6"/>
        <v>63</v>
      </c>
      <c r="AL64" s="331" t="s">
        <v>2407</v>
      </c>
      <c r="AM64" s="331" t="s">
        <v>2487</v>
      </c>
      <c r="AN64" s="331" t="s">
        <v>2488</v>
      </c>
      <c r="AO64" s="331" t="s">
        <v>2489</v>
      </c>
      <c r="AQ64">
        <f t="shared" si="7"/>
        <v>63</v>
      </c>
      <c r="AR64" s="331" t="s">
        <v>2387</v>
      </c>
      <c r="AS64" s="331" t="s">
        <v>2500</v>
      </c>
      <c r="AT64" s="331" t="s">
        <v>2501</v>
      </c>
      <c r="AU64" s="331" t="s">
        <v>2502</v>
      </c>
      <c r="AW64">
        <f t="shared" si="8"/>
        <v>63</v>
      </c>
      <c r="BC64">
        <f t="shared" si="9"/>
        <v>63</v>
      </c>
      <c r="BI64">
        <f t="shared" si="10"/>
        <v>63</v>
      </c>
      <c r="BJ64" t="s">
        <v>1312</v>
      </c>
      <c r="BK64" t="s">
        <v>1668</v>
      </c>
      <c r="BL64" t="s">
        <v>2792</v>
      </c>
      <c r="BM64" t="s">
        <v>1672</v>
      </c>
      <c r="BO64">
        <f t="shared" si="11"/>
        <v>63</v>
      </c>
    </row>
    <row r="65" spans="1:67" ht="12.75">
      <c r="A65">
        <f t="shared" si="17"/>
        <v>64</v>
      </c>
      <c r="M65">
        <f t="shared" si="2"/>
        <v>64</v>
      </c>
      <c r="N65" t="s">
        <v>1743</v>
      </c>
      <c r="O65" s="331" t="s">
        <v>2059</v>
      </c>
      <c r="P65" s="331" t="s">
        <v>1752</v>
      </c>
      <c r="Q65" s="331" t="s">
        <v>1740</v>
      </c>
      <c r="S65">
        <f t="shared" si="3"/>
        <v>64</v>
      </c>
      <c r="T65" t="s">
        <v>1227</v>
      </c>
      <c r="U65" t="s">
        <v>1243</v>
      </c>
      <c r="V65" t="s">
        <v>1257</v>
      </c>
      <c r="W65" t="s">
        <v>1270</v>
      </c>
      <c r="Y65">
        <f t="shared" si="4"/>
        <v>64</v>
      </c>
      <c r="AE65">
        <f t="shared" si="5"/>
        <v>64</v>
      </c>
      <c r="AF65" t="s">
        <v>1536</v>
      </c>
      <c r="AG65" t="s">
        <v>1561</v>
      </c>
      <c r="AH65" t="s">
        <v>1538</v>
      </c>
      <c r="AI65" t="s">
        <v>1536</v>
      </c>
      <c r="AK65">
        <f t="shared" si="6"/>
        <v>64</v>
      </c>
      <c r="AL65" s="331" t="s">
        <v>2408</v>
      </c>
      <c r="AM65" s="331" t="s">
        <v>2490</v>
      </c>
      <c r="AN65" s="331" t="s">
        <v>2491</v>
      </c>
      <c r="AO65" s="331" t="s">
        <v>2492</v>
      </c>
      <c r="AQ65">
        <f t="shared" si="7"/>
        <v>64</v>
      </c>
      <c r="AR65" t="s">
        <v>533</v>
      </c>
      <c r="AS65" t="s">
        <v>559</v>
      </c>
      <c r="AT65" t="s">
        <v>589</v>
      </c>
      <c r="AU65" t="s">
        <v>621</v>
      </c>
      <c r="AW65">
        <f t="shared" si="8"/>
        <v>64</v>
      </c>
      <c r="BC65">
        <f t="shared" si="9"/>
        <v>64</v>
      </c>
      <c r="BI65">
        <f t="shared" si="10"/>
        <v>64</v>
      </c>
      <c r="BO65">
        <f t="shared" si="11"/>
        <v>64</v>
      </c>
    </row>
    <row r="66" spans="1:67" ht="12.75">
      <c r="A66">
        <f t="shared" si="17"/>
        <v>65</v>
      </c>
      <c r="M66">
        <f t="shared" si="2"/>
        <v>65</v>
      </c>
      <c r="N66" t="s">
        <v>1324</v>
      </c>
      <c r="O66" s="331" t="s">
        <v>1747</v>
      </c>
      <c r="P66" s="331" t="s">
        <v>1753</v>
      </c>
      <c r="Q66" s="331" t="s">
        <v>1737</v>
      </c>
      <c r="S66">
        <f t="shared" si="3"/>
        <v>65</v>
      </c>
      <c r="T66" t="s">
        <v>1228</v>
      </c>
      <c r="U66" t="s">
        <v>1244</v>
      </c>
      <c r="V66" t="s">
        <v>1258</v>
      </c>
      <c r="W66" t="s">
        <v>1271</v>
      </c>
      <c r="Y66">
        <f t="shared" si="4"/>
        <v>65</v>
      </c>
      <c r="AE66">
        <f t="shared" si="5"/>
        <v>65</v>
      </c>
      <c r="AF66" t="s">
        <v>1535</v>
      </c>
      <c r="AG66" t="s">
        <v>1560</v>
      </c>
      <c r="AH66" t="s">
        <v>1539</v>
      </c>
      <c r="AI66" t="s">
        <v>1535</v>
      </c>
      <c r="AK66">
        <f t="shared" si="6"/>
        <v>65</v>
      </c>
      <c r="AL66" s="331" t="s">
        <v>2409</v>
      </c>
      <c r="AM66" s="331" t="s">
        <v>2058</v>
      </c>
      <c r="AN66" s="331" t="s">
        <v>2493</v>
      </c>
      <c r="AO66" s="331" t="s">
        <v>477</v>
      </c>
      <c r="AQ66">
        <f t="shared" si="7"/>
        <v>65</v>
      </c>
      <c r="AR66" t="s">
        <v>534</v>
      </c>
      <c r="AS66" t="s">
        <v>560</v>
      </c>
      <c r="AT66" t="s">
        <v>590</v>
      </c>
      <c r="AU66" t="s">
        <v>622</v>
      </c>
      <c r="AW66">
        <f t="shared" si="8"/>
        <v>65</v>
      </c>
      <c r="BC66">
        <f t="shared" si="9"/>
        <v>65</v>
      </c>
      <c r="BI66">
        <f t="shared" si="10"/>
        <v>65</v>
      </c>
      <c r="BO66">
        <f t="shared" si="11"/>
        <v>65</v>
      </c>
    </row>
    <row r="67" spans="1:67" ht="12.75">
      <c r="A67">
        <f t="shared" si="17"/>
        <v>66</v>
      </c>
      <c r="M67">
        <f aca="true" t="shared" si="18" ref="M67:M130">ROW()-1</f>
        <v>66</v>
      </c>
      <c r="N67" t="s">
        <v>1756</v>
      </c>
      <c r="O67" s="331" t="s">
        <v>1741</v>
      </c>
      <c r="P67" s="331" t="s">
        <v>1754</v>
      </c>
      <c r="Q67" s="331" t="s">
        <v>1741</v>
      </c>
      <c r="S67">
        <f aca="true" t="shared" si="19" ref="S67:S130">ROW()-1</f>
        <v>66</v>
      </c>
      <c r="T67" t="s">
        <v>1229</v>
      </c>
      <c r="U67" t="s">
        <v>2060</v>
      </c>
      <c r="V67" t="s">
        <v>1259</v>
      </c>
      <c r="W67" t="s">
        <v>1272</v>
      </c>
      <c r="Y67">
        <f aca="true" t="shared" si="20" ref="Y67:Y130">ROW()-1</f>
        <v>66</v>
      </c>
      <c r="AE67">
        <f aca="true" t="shared" si="21" ref="AE67:AE130">ROW()-1</f>
        <v>66</v>
      </c>
      <c r="AF67" t="s">
        <v>1418</v>
      </c>
      <c r="AG67" t="s">
        <v>1514</v>
      </c>
      <c r="AH67" t="s">
        <v>1540</v>
      </c>
      <c r="AI67" t="s">
        <v>1514</v>
      </c>
      <c r="AK67">
        <f aca="true" t="shared" si="22" ref="AK67:AK130">ROW()-1</f>
        <v>66</v>
      </c>
      <c r="AL67" s="331" t="s">
        <v>2410</v>
      </c>
      <c r="AM67" s="331" t="s">
        <v>2494</v>
      </c>
      <c r="AN67" s="331" t="s">
        <v>2495</v>
      </c>
      <c r="AO67" s="331" t="s">
        <v>2496</v>
      </c>
      <c r="AQ67">
        <f aca="true" t="shared" si="23" ref="AQ67:AQ130">ROW()-1</f>
        <v>66</v>
      </c>
      <c r="AR67" t="s">
        <v>535</v>
      </c>
      <c r="AS67" t="s">
        <v>563</v>
      </c>
      <c r="AT67" t="s">
        <v>596</v>
      </c>
      <c r="AU67" t="s">
        <v>623</v>
      </c>
      <c r="AW67">
        <f aca="true" t="shared" si="24" ref="AW67:AW130">ROW()-1</f>
        <v>66</v>
      </c>
      <c r="BC67">
        <f aca="true" t="shared" si="25" ref="BC67:BC130">ROW()-1</f>
        <v>66</v>
      </c>
      <c r="BI67">
        <f aca="true" t="shared" si="26" ref="BI67:BI130">ROW()-1</f>
        <v>66</v>
      </c>
      <c r="BO67">
        <f aca="true" t="shared" si="27" ref="BO67:BO130">ROW()-1</f>
        <v>66</v>
      </c>
    </row>
    <row r="68" spans="13:67" ht="12.75">
      <c r="M68">
        <f t="shared" si="18"/>
        <v>67</v>
      </c>
      <c r="N68" t="s">
        <v>1325</v>
      </c>
      <c r="O68" s="331" t="s">
        <v>1748</v>
      </c>
      <c r="P68" s="331" t="s">
        <v>1755</v>
      </c>
      <c r="Q68" s="331" t="s">
        <v>1738</v>
      </c>
      <c r="S68">
        <f t="shared" si="19"/>
        <v>67</v>
      </c>
      <c r="T68" t="s">
        <v>1230</v>
      </c>
      <c r="U68" t="s">
        <v>1245</v>
      </c>
      <c r="V68" t="s">
        <v>1260</v>
      </c>
      <c r="W68" t="s">
        <v>1273</v>
      </c>
      <c r="Y68">
        <f t="shared" si="20"/>
        <v>67</v>
      </c>
      <c r="AE68">
        <f t="shared" si="21"/>
        <v>67</v>
      </c>
      <c r="AF68" t="s">
        <v>1419</v>
      </c>
      <c r="AG68" t="s">
        <v>1515</v>
      </c>
      <c r="AH68" t="s">
        <v>1541</v>
      </c>
      <c r="AI68" t="s">
        <v>1564</v>
      </c>
      <c r="AK68">
        <f t="shared" si="22"/>
        <v>67</v>
      </c>
      <c r="AQ68">
        <f t="shared" si="23"/>
        <v>67</v>
      </c>
      <c r="AR68" s="331" t="s">
        <v>2385</v>
      </c>
      <c r="AS68" s="331" t="s">
        <v>561</v>
      </c>
      <c r="AT68" s="331" t="s">
        <v>2503</v>
      </c>
      <c r="AU68" s="331" t="s">
        <v>2504</v>
      </c>
      <c r="AW68">
        <f t="shared" si="24"/>
        <v>67</v>
      </c>
      <c r="BC68">
        <f t="shared" si="25"/>
        <v>67</v>
      </c>
      <c r="BI68">
        <f t="shared" si="26"/>
        <v>67</v>
      </c>
      <c r="BO68">
        <f t="shared" si="27"/>
        <v>67</v>
      </c>
    </row>
    <row r="69" spans="13:67" ht="12.75">
      <c r="M69">
        <f t="shared" si="18"/>
        <v>68</v>
      </c>
      <c r="O69" s="331"/>
      <c r="P69" s="331"/>
      <c r="Q69" s="331"/>
      <c r="S69">
        <f t="shared" si="19"/>
        <v>68</v>
      </c>
      <c r="T69" t="s">
        <v>1231</v>
      </c>
      <c r="U69" t="s">
        <v>1246</v>
      </c>
      <c r="V69" t="s">
        <v>1261</v>
      </c>
      <c r="W69" t="s">
        <v>1274</v>
      </c>
      <c r="Y69">
        <f t="shared" si="20"/>
        <v>68</v>
      </c>
      <c r="AE69">
        <f t="shared" si="21"/>
        <v>68</v>
      </c>
      <c r="AF69" t="s">
        <v>1420</v>
      </c>
      <c r="AG69" t="s">
        <v>1516</v>
      </c>
      <c r="AH69" t="s">
        <v>1542</v>
      </c>
      <c r="AI69" t="s">
        <v>1420</v>
      </c>
      <c r="AK69">
        <f t="shared" si="22"/>
        <v>68</v>
      </c>
      <c r="AQ69">
        <f t="shared" si="23"/>
        <v>68</v>
      </c>
      <c r="AR69" s="331" t="s">
        <v>2386</v>
      </c>
      <c r="AS69" s="331" t="s">
        <v>2505</v>
      </c>
      <c r="AT69" s="331" t="s">
        <v>2506</v>
      </c>
      <c r="AU69" s="331" t="s">
        <v>2507</v>
      </c>
      <c r="AW69">
        <f t="shared" si="24"/>
        <v>68</v>
      </c>
      <c r="BC69">
        <f t="shared" si="25"/>
        <v>68</v>
      </c>
      <c r="BI69">
        <f t="shared" si="26"/>
        <v>68</v>
      </c>
      <c r="BO69">
        <f t="shared" si="27"/>
        <v>68</v>
      </c>
    </row>
    <row r="70" spans="13:67" ht="12.75">
      <c r="M70">
        <f t="shared" si="18"/>
        <v>69</v>
      </c>
      <c r="O70" s="331"/>
      <c r="P70" s="331"/>
      <c r="Q70" s="331"/>
      <c r="S70">
        <f t="shared" si="19"/>
        <v>69</v>
      </c>
      <c r="T70" t="s">
        <v>1232</v>
      </c>
      <c r="U70" t="s">
        <v>1247</v>
      </c>
      <c r="V70" t="s">
        <v>1262</v>
      </c>
      <c r="W70" t="s">
        <v>1275</v>
      </c>
      <c r="Y70">
        <f t="shared" si="20"/>
        <v>69</v>
      </c>
      <c r="AE70">
        <f t="shared" si="21"/>
        <v>69</v>
      </c>
      <c r="AF70" t="s">
        <v>1421</v>
      </c>
      <c r="AG70" t="s">
        <v>1517</v>
      </c>
      <c r="AH70" t="s">
        <v>1543</v>
      </c>
      <c r="AI70" t="s">
        <v>1517</v>
      </c>
      <c r="AK70">
        <f t="shared" si="22"/>
        <v>69</v>
      </c>
      <c r="AQ70">
        <f t="shared" si="23"/>
        <v>69</v>
      </c>
      <c r="AR70" s="331" t="s">
        <v>2415</v>
      </c>
      <c r="AS70" s="331" t="s">
        <v>2508</v>
      </c>
      <c r="AT70" s="331" t="s">
        <v>2509</v>
      </c>
      <c r="AU70" s="331" t="s">
        <v>624</v>
      </c>
      <c r="AW70">
        <f t="shared" si="24"/>
        <v>69</v>
      </c>
      <c r="BC70">
        <f t="shared" si="25"/>
        <v>69</v>
      </c>
      <c r="BI70">
        <f t="shared" si="26"/>
        <v>69</v>
      </c>
      <c r="BO70">
        <f t="shared" si="27"/>
        <v>69</v>
      </c>
    </row>
    <row r="71" spans="13:67" ht="12.75">
      <c r="M71">
        <f t="shared" si="18"/>
        <v>70</v>
      </c>
      <c r="O71" s="331"/>
      <c r="P71" s="331"/>
      <c r="Q71" s="331"/>
      <c r="S71">
        <f t="shared" si="19"/>
        <v>70</v>
      </c>
      <c r="T71" t="s">
        <v>1233</v>
      </c>
      <c r="U71" t="s">
        <v>1248</v>
      </c>
      <c r="V71" t="s">
        <v>1263</v>
      </c>
      <c r="W71" t="s">
        <v>1276</v>
      </c>
      <c r="Y71">
        <f t="shared" si="20"/>
        <v>70</v>
      </c>
      <c r="AE71">
        <f t="shared" si="21"/>
        <v>70</v>
      </c>
      <c r="AF71" t="s">
        <v>1422</v>
      </c>
      <c r="AG71" t="s">
        <v>1518</v>
      </c>
      <c r="AH71" t="s">
        <v>1544</v>
      </c>
      <c r="AI71" t="s">
        <v>1565</v>
      </c>
      <c r="AK71">
        <f t="shared" si="22"/>
        <v>70</v>
      </c>
      <c r="AQ71">
        <f t="shared" si="23"/>
        <v>70</v>
      </c>
      <c r="AR71" t="s">
        <v>536</v>
      </c>
      <c r="AS71" t="s">
        <v>2061</v>
      </c>
      <c r="AT71" t="s">
        <v>591</v>
      </c>
      <c r="AU71" t="s">
        <v>625</v>
      </c>
      <c r="AW71">
        <f t="shared" si="24"/>
        <v>70</v>
      </c>
      <c r="BC71">
        <f t="shared" si="25"/>
        <v>70</v>
      </c>
      <c r="BI71">
        <f t="shared" si="26"/>
        <v>70</v>
      </c>
      <c r="BO71">
        <f t="shared" si="27"/>
        <v>70</v>
      </c>
    </row>
    <row r="72" spans="13:71" ht="12.75">
      <c r="M72">
        <f t="shared" si="18"/>
        <v>71</v>
      </c>
      <c r="N72" t="s">
        <v>1328</v>
      </c>
      <c r="O72" s="331" t="s">
        <v>1764</v>
      </c>
      <c r="P72" s="331" t="s">
        <v>1808</v>
      </c>
      <c r="Q72" s="331" t="s">
        <v>1853</v>
      </c>
      <c r="S72">
        <f t="shared" si="19"/>
        <v>71</v>
      </c>
      <c r="Y72">
        <f t="shared" si="20"/>
        <v>71</v>
      </c>
      <c r="AE72">
        <f t="shared" si="21"/>
        <v>71</v>
      </c>
      <c r="AF72" t="s">
        <v>1423</v>
      </c>
      <c r="AG72" t="s">
        <v>1519</v>
      </c>
      <c r="AH72" t="s">
        <v>1545</v>
      </c>
      <c r="AI72" t="s">
        <v>1423</v>
      </c>
      <c r="AK72">
        <f t="shared" si="22"/>
        <v>71</v>
      </c>
      <c r="AQ72">
        <f t="shared" si="23"/>
        <v>71</v>
      </c>
      <c r="AR72" t="s">
        <v>537</v>
      </c>
      <c r="AS72" t="s">
        <v>550</v>
      </c>
      <c r="AT72" t="s">
        <v>592</v>
      </c>
      <c r="AU72" t="s">
        <v>609</v>
      </c>
      <c r="AW72">
        <f t="shared" si="24"/>
        <v>71</v>
      </c>
      <c r="AX72" t="s">
        <v>806</v>
      </c>
      <c r="AY72" t="s">
        <v>1588</v>
      </c>
      <c r="AZ72" t="s">
        <v>1589</v>
      </c>
      <c r="BA72" t="s">
        <v>1587</v>
      </c>
      <c r="BC72">
        <f t="shared" si="25"/>
        <v>71</v>
      </c>
      <c r="BI72">
        <f t="shared" si="26"/>
        <v>71</v>
      </c>
      <c r="BO72">
        <f t="shared" si="27"/>
        <v>71</v>
      </c>
      <c r="BP72" t="s">
        <v>794</v>
      </c>
      <c r="BQ72" t="s">
        <v>1139</v>
      </c>
      <c r="BR72" t="s">
        <v>1168</v>
      </c>
      <c r="BS72" t="s">
        <v>1197</v>
      </c>
    </row>
    <row r="73" spans="13:71" ht="12.75">
      <c r="M73">
        <f t="shared" si="18"/>
        <v>72</v>
      </c>
      <c r="N73" t="s">
        <v>1330</v>
      </c>
      <c r="O73" s="331" t="s">
        <v>1765</v>
      </c>
      <c r="P73" s="331" t="s">
        <v>1809</v>
      </c>
      <c r="Q73" s="331" t="s">
        <v>1854</v>
      </c>
      <c r="S73">
        <f t="shared" si="19"/>
        <v>72</v>
      </c>
      <c r="Y73">
        <f t="shared" si="20"/>
        <v>72</v>
      </c>
      <c r="AE73">
        <f t="shared" si="21"/>
        <v>72</v>
      </c>
      <c r="AF73" t="s">
        <v>1424</v>
      </c>
      <c r="AG73" t="s">
        <v>1520</v>
      </c>
      <c r="AH73" t="s">
        <v>1546</v>
      </c>
      <c r="AI73" t="s">
        <v>1424</v>
      </c>
      <c r="AK73">
        <f t="shared" si="22"/>
        <v>72</v>
      </c>
      <c r="AQ73">
        <f t="shared" si="23"/>
        <v>72</v>
      </c>
      <c r="AR73" s="331" t="s">
        <v>2388</v>
      </c>
      <c r="AS73" s="331" t="s">
        <v>2510</v>
      </c>
      <c r="AT73" s="331" t="s">
        <v>2511</v>
      </c>
      <c r="AU73" s="331" t="s">
        <v>2512</v>
      </c>
      <c r="AW73">
        <f t="shared" si="24"/>
        <v>72</v>
      </c>
      <c r="BC73">
        <f t="shared" si="25"/>
        <v>72</v>
      </c>
      <c r="BI73">
        <f t="shared" si="26"/>
        <v>72</v>
      </c>
      <c r="BO73">
        <f t="shared" si="27"/>
        <v>72</v>
      </c>
      <c r="BP73" t="s">
        <v>686</v>
      </c>
      <c r="BQ73" t="s">
        <v>826</v>
      </c>
      <c r="BR73" t="s">
        <v>829</v>
      </c>
      <c r="BS73" t="s">
        <v>845</v>
      </c>
    </row>
    <row r="74" spans="13:71" ht="12.75">
      <c r="M74">
        <f t="shared" si="18"/>
        <v>73</v>
      </c>
      <c r="N74" t="s">
        <v>1331</v>
      </c>
      <c r="O74" s="331" t="s">
        <v>1766</v>
      </c>
      <c r="P74" s="331" t="s">
        <v>1810</v>
      </c>
      <c r="Q74" s="331" t="s">
        <v>1855</v>
      </c>
      <c r="S74">
        <f t="shared" si="19"/>
        <v>73</v>
      </c>
      <c r="Y74">
        <f t="shared" si="20"/>
        <v>73</v>
      </c>
      <c r="AE74">
        <f t="shared" si="21"/>
        <v>73</v>
      </c>
      <c r="AF74" t="s">
        <v>1425</v>
      </c>
      <c r="AG74" t="s">
        <v>1425</v>
      </c>
      <c r="AH74" t="s">
        <v>1547</v>
      </c>
      <c r="AI74" t="s">
        <v>1425</v>
      </c>
      <c r="AK74">
        <f t="shared" si="22"/>
        <v>73</v>
      </c>
      <c r="AQ74">
        <f t="shared" si="23"/>
        <v>73</v>
      </c>
      <c r="AR74" s="331" t="s">
        <v>2416</v>
      </c>
      <c r="AS74" s="331" t="s">
        <v>2513</v>
      </c>
      <c r="AT74" s="331" t="s">
        <v>2514</v>
      </c>
      <c r="AU74" s="331" t="s">
        <v>2515</v>
      </c>
      <c r="AW74">
        <f t="shared" si="24"/>
        <v>73</v>
      </c>
      <c r="BC74">
        <f t="shared" si="25"/>
        <v>73</v>
      </c>
      <c r="BI74">
        <f t="shared" si="26"/>
        <v>73</v>
      </c>
      <c r="BO74">
        <f t="shared" si="27"/>
        <v>73</v>
      </c>
      <c r="BP74" t="s">
        <v>1146</v>
      </c>
      <c r="BQ74" t="s">
        <v>1152</v>
      </c>
      <c r="BR74" t="s">
        <v>1171</v>
      </c>
      <c r="BS74" t="s">
        <v>1199</v>
      </c>
    </row>
    <row r="75" spans="13:71" ht="12.75">
      <c r="M75">
        <f t="shared" si="18"/>
        <v>74</v>
      </c>
      <c r="N75" t="s">
        <v>1332</v>
      </c>
      <c r="O75" s="331" t="s">
        <v>1767</v>
      </c>
      <c r="P75" s="331" t="s">
        <v>1811</v>
      </c>
      <c r="Q75" s="331" t="s">
        <v>1856</v>
      </c>
      <c r="S75">
        <f t="shared" si="19"/>
        <v>74</v>
      </c>
      <c r="Y75">
        <f t="shared" si="20"/>
        <v>74</v>
      </c>
      <c r="AE75">
        <f t="shared" si="21"/>
        <v>74</v>
      </c>
      <c r="AF75" t="s">
        <v>1426</v>
      </c>
      <c r="AG75" t="s">
        <v>1521</v>
      </c>
      <c r="AH75" t="s">
        <v>1548</v>
      </c>
      <c r="AI75" t="s">
        <v>1521</v>
      </c>
      <c r="AK75">
        <f t="shared" si="22"/>
        <v>74</v>
      </c>
      <c r="AQ75">
        <f t="shared" si="23"/>
        <v>74</v>
      </c>
      <c r="AR75" s="331" t="s">
        <v>2417</v>
      </c>
      <c r="AS75" s="331" t="s">
        <v>2516</v>
      </c>
      <c r="AT75" s="331" t="s">
        <v>2517</v>
      </c>
      <c r="AU75" s="331" t="s">
        <v>2518</v>
      </c>
      <c r="AW75">
        <f t="shared" si="24"/>
        <v>74</v>
      </c>
      <c r="BC75">
        <f t="shared" si="25"/>
        <v>74</v>
      </c>
      <c r="BI75">
        <f t="shared" si="26"/>
        <v>74</v>
      </c>
      <c r="BO75">
        <f t="shared" si="27"/>
        <v>74</v>
      </c>
      <c r="BP75" t="s">
        <v>1147</v>
      </c>
      <c r="BQ75" t="s">
        <v>1153</v>
      </c>
      <c r="BR75" t="s">
        <v>1172</v>
      </c>
      <c r="BS75" t="s">
        <v>1200</v>
      </c>
    </row>
    <row r="76" spans="13:71" ht="12.75">
      <c r="M76">
        <f t="shared" si="18"/>
        <v>75</v>
      </c>
      <c r="N76" t="s">
        <v>1333</v>
      </c>
      <c r="O76" s="331" t="s">
        <v>1768</v>
      </c>
      <c r="P76" s="331" t="s">
        <v>1812</v>
      </c>
      <c r="Q76" s="331" t="s">
        <v>1857</v>
      </c>
      <c r="S76">
        <f t="shared" si="19"/>
        <v>75</v>
      </c>
      <c r="Y76">
        <f t="shared" si="20"/>
        <v>75</v>
      </c>
      <c r="AE76">
        <f t="shared" si="21"/>
        <v>75</v>
      </c>
      <c r="AF76" t="s">
        <v>1427</v>
      </c>
      <c r="AG76" t="s">
        <v>1522</v>
      </c>
      <c r="AH76" t="s">
        <v>1522</v>
      </c>
      <c r="AI76" t="s">
        <v>1522</v>
      </c>
      <c r="AK76">
        <f t="shared" si="22"/>
        <v>75</v>
      </c>
      <c r="AQ76">
        <f t="shared" si="23"/>
        <v>75</v>
      </c>
      <c r="AW76">
        <f t="shared" si="24"/>
        <v>75</v>
      </c>
      <c r="BC76">
        <f t="shared" si="25"/>
        <v>75</v>
      </c>
      <c r="BI76">
        <f t="shared" si="26"/>
        <v>75</v>
      </c>
      <c r="BO76">
        <f t="shared" si="27"/>
        <v>75</v>
      </c>
      <c r="BP76" t="s">
        <v>1148</v>
      </c>
      <c r="BQ76" t="s">
        <v>1154</v>
      </c>
      <c r="BR76" t="s">
        <v>1173</v>
      </c>
      <c r="BS76" t="s">
        <v>1201</v>
      </c>
    </row>
    <row r="77" spans="13:71" ht="12.75">
      <c r="M77">
        <f t="shared" si="18"/>
        <v>76</v>
      </c>
      <c r="N77" t="s">
        <v>1334</v>
      </c>
      <c r="O77" s="331" t="s">
        <v>1769</v>
      </c>
      <c r="P77" s="331" t="s">
        <v>1813</v>
      </c>
      <c r="Q77" s="331" t="s">
        <v>1858</v>
      </c>
      <c r="S77">
        <f t="shared" si="19"/>
        <v>76</v>
      </c>
      <c r="Y77">
        <f t="shared" si="20"/>
        <v>76</v>
      </c>
      <c r="AE77">
        <f t="shared" si="21"/>
        <v>76</v>
      </c>
      <c r="AF77" t="s">
        <v>1428</v>
      </c>
      <c r="AG77" t="s">
        <v>1523</v>
      </c>
      <c r="AH77" t="s">
        <v>1549</v>
      </c>
      <c r="AI77" t="s">
        <v>1428</v>
      </c>
      <c r="AK77">
        <f t="shared" si="22"/>
        <v>76</v>
      </c>
      <c r="AQ77">
        <f t="shared" si="23"/>
        <v>76</v>
      </c>
      <c r="AW77">
        <f t="shared" si="24"/>
        <v>76</v>
      </c>
      <c r="BC77">
        <f t="shared" si="25"/>
        <v>76</v>
      </c>
      <c r="BI77">
        <f t="shared" si="26"/>
        <v>76</v>
      </c>
      <c r="BO77">
        <f t="shared" si="27"/>
        <v>76</v>
      </c>
      <c r="BP77" t="s">
        <v>795</v>
      </c>
      <c r="BQ77" t="s">
        <v>795</v>
      </c>
      <c r="BR77" t="s">
        <v>1169</v>
      </c>
      <c r="BS77" t="s">
        <v>795</v>
      </c>
    </row>
    <row r="78" spans="13:71" ht="12.75">
      <c r="M78">
        <f t="shared" si="18"/>
        <v>77</v>
      </c>
      <c r="N78" t="s">
        <v>1335</v>
      </c>
      <c r="O78" s="331" t="s">
        <v>1770</v>
      </c>
      <c r="P78" s="331" t="s">
        <v>1814</v>
      </c>
      <c r="Q78" s="331" t="s">
        <v>1859</v>
      </c>
      <c r="S78">
        <f t="shared" si="19"/>
        <v>77</v>
      </c>
      <c r="Y78">
        <f t="shared" si="20"/>
        <v>77</v>
      </c>
      <c r="AE78">
        <f t="shared" si="21"/>
        <v>77</v>
      </c>
      <c r="AF78" t="s">
        <v>1429</v>
      </c>
      <c r="AG78" t="s">
        <v>1524</v>
      </c>
      <c r="AH78" t="s">
        <v>1550</v>
      </c>
      <c r="AI78" t="s">
        <v>1429</v>
      </c>
      <c r="AK78">
        <f t="shared" si="22"/>
        <v>77</v>
      </c>
      <c r="AQ78">
        <f t="shared" si="23"/>
        <v>77</v>
      </c>
      <c r="AW78">
        <f t="shared" si="24"/>
        <v>77</v>
      </c>
      <c r="BC78">
        <f t="shared" si="25"/>
        <v>77</v>
      </c>
      <c r="BI78">
        <f t="shared" si="26"/>
        <v>77</v>
      </c>
      <c r="BO78">
        <f t="shared" si="27"/>
        <v>77</v>
      </c>
      <c r="BP78" t="s">
        <v>1149</v>
      </c>
      <c r="BQ78" t="s">
        <v>1155</v>
      </c>
      <c r="BR78" t="s">
        <v>1174</v>
      </c>
      <c r="BS78" t="s">
        <v>1202</v>
      </c>
    </row>
    <row r="79" spans="13:71" ht="12.75">
      <c r="M79">
        <f t="shared" si="18"/>
        <v>78</v>
      </c>
      <c r="N79" t="s">
        <v>1336</v>
      </c>
      <c r="O79" s="331" t="s">
        <v>1771</v>
      </c>
      <c r="P79" s="331" t="s">
        <v>1815</v>
      </c>
      <c r="Q79" s="331" t="s">
        <v>1860</v>
      </c>
      <c r="S79">
        <f t="shared" si="19"/>
        <v>78</v>
      </c>
      <c r="Y79">
        <f t="shared" si="20"/>
        <v>78</v>
      </c>
      <c r="AE79">
        <f t="shared" si="21"/>
        <v>78</v>
      </c>
      <c r="AF79" t="s">
        <v>1430</v>
      </c>
      <c r="AG79" t="s">
        <v>1525</v>
      </c>
      <c r="AH79" t="s">
        <v>1551</v>
      </c>
      <c r="AI79" t="s">
        <v>1430</v>
      </c>
      <c r="AK79">
        <f t="shared" si="22"/>
        <v>78</v>
      </c>
      <c r="AQ79">
        <f t="shared" si="23"/>
        <v>78</v>
      </c>
      <c r="AW79">
        <f t="shared" si="24"/>
        <v>78</v>
      </c>
      <c r="BC79">
        <f t="shared" si="25"/>
        <v>78</v>
      </c>
      <c r="BI79">
        <f t="shared" si="26"/>
        <v>78</v>
      </c>
      <c r="BO79">
        <f t="shared" si="27"/>
        <v>78</v>
      </c>
      <c r="BP79" t="s">
        <v>1150</v>
      </c>
      <c r="BQ79" t="s">
        <v>1156</v>
      </c>
      <c r="BR79" t="s">
        <v>1175</v>
      </c>
      <c r="BS79" t="s">
        <v>1156</v>
      </c>
    </row>
    <row r="80" spans="13:71" ht="12.75">
      <c r="M80">
        <f t="shared" si="18"/>
        <v>79</v>
      </c>
      <c r="N80" t="s">
        <v>1337</v>
      </c>
      <c r="O80" s="331" t="s">
        <v>1772</v>
      </c>
      <c r="P80" s="331" t="s">
        <v>1816</v>
      </c>
      <c r="Q80" s="331" t="s">
        <v>1861</v>
      </c>
      <c r="S80">
        <f t="shared" si="19"/>
        <v>79</v>
      </c>
      <c r="Y80">
        <f t="shared" si="20"/>
        <v>79</v>
      </c>
      <c r="AE80">
        <f t="shared" si="21"/>
        <v>79</v>
      </c>
      <c r="AF80" t="s">
        <v>1431</v>
      </c>
      <c r="AG80" t="s">
        <v>1526</v>
      </c>
      <c r="AH80" t="s">
        <v>1552</v>
      </c>
      <c r="AI80" t="s">
        <v>1431</v>
      </c>
      <c r="AK80">
        <f t="shared" si="22"/>
        <v>79</v>
      </c>
      <c r="AQ80">
        <f t="shared" si="23"/>
        <v>79</v>
      </c>
      <c r="AW80">
        <f t="shared" si="24"/>
        <v>79</v>
      </c>
      <c r="BC80">
        <f t="shared" si="25"/>
        <v>79</v>
      </c>
      <c r="BI80">
        <f t="shared" si="26"/>
        <v>79</v>
      </c>
      <c r="BO80">
        <f t="shared" si="27"/>
        <v>79</v>
      </c>
      <c r="BP80" t="s">
        <v>1151</v>
      </c>
      <c r="BQ80" t="s">
        <v>1157</v>
      </c>
      <c r="BR80" t="s">
        <v>1176</v>
      </c>
      <c r="BS80" t="s">
        <v>1203</v>
      </c>
    </row>
    <row r="81" spans="13:71" ht="12.75">
      <c r="M81">
        <f t="shared" si="18"/>
        <v>80</v>
      </c>
      <c r="N81" t="s">
        <v>1338</v>
      </c>
      <c r="O81" s="331" t="s">
        <v>1700</v>
      </c>
      <c r="P81" s="331" t="s">
        <v>1710</v>
      </c>
      <c r="Q81" s="331" t="s">
        <v>1684</v>
      </c>
      <c r="S81">
        <f t="shared" si="19"/>
        <v>80</v>
      </c>
      <c r="Y81">
        <f t="shared" si="20"/>
        <v>80</v>
      </c>
      <c r="AE81">
        <f t="shared" si="21"/>
        <v>80</v>
      </c>
      <c r="AF81" t="s">
        <v>1432</v>
      </c>
      <c r="AG81" t="s">
        <v>1527</v>
      </c>
      <c r="AH81" t="s">
        <v>1553</v>
      </c>
      <c r="AI81" t="s">
        <v>1432</v>
      </c>
      <c r="AK81">
        <f t="shared" si="22"/>
        <v>80</v>
      </c>
      <c r="AQ81">
        <f t="shared" si="23"/>
        <v>80</v>
      </c>
      <c r="AW81">
        <f t="shared" si="24"/>
        <v>80</v>
      </c>
      <c r="BC81">
        <f t="shared" si="25"/>
        <v>80</v>
      </c>
      <c r="BI81">
        <f t="shared" si="26"/>
        <v>80</v>
      </c>
      <c r="BO81">
        <f t="shared" si="27"/>
        <v>80</v>
      </c>
      <c r="BP81" t="s">
        <v>796</v>
      </c>
      <c r="BQ81" t="s">
        <v>1140</v>
      </c>
      <c r="BR81" t="s">
        <v>1170</v>
      </c>
      <c r="BS81" t="s">
        <v>1198</v>
      </c>
    </row>
    <row r="82" spans="13:67" ht="12.75">
      <c r="M82">
        <f t="shared" si="18"/>
        <v>81</v>
      </c>
      <c r="N82" t="s">
        <v>1757</v>
      </c>
      <c r="O82" s="331" t="s">
        <v>1773</v>
      </c>
      <c r="P82" s="331" t="s">
        <v>1817</v>
      </c>
      <c r="Q82" s="331" t="s">
        <v>1862</v>
      </c>
      <c r="S82">
        <f t="shared" si="19"/>
        <v>81</v>
      </c>
      <c r="Y82">
        <f t="shared" si="20"/>
        <v>81</v>
      </c>
      <c r="AE82">
        <f t="shared" si="21"/>
        <v>81</v>
      </c>
      <c r="AF82" t="s">
        <v>1433</v>
      </c>
      <c r="AG82" t="s">
        <v>1433</v>
      </c>
      <c r="AH82" t="s">
        <v>1554</v>
      </c>
      <c r="AI82" t="s">
        <v>1433</v>
      </c>
      <c r="AK82">
        <f t="shared" si="22"/>
        <v>81</v>
      </c>
      <c r="AL82" t="s">
        <v>247</v>
      </c>
      <c r="AM82" t="s">
        <v>431</v>
      </c>
      <c r="AN82" t="s">
        <v>2062</v>
      </c>
      <c r="AO82" t="s">
        <v>441</v>
      </c>
      <c r="AQ82">
        <f t="shared" si="23"/>
        <v>81</v>
      </c>
      <c r="AR82" t="s">
        <v>630</v>
      </c>
      <c r="AS82" t="s">
        <v>634</v>
      </c>
      <c r="AT82" t="s">
        <v>639</v>
      </c>
      <c r="AU82" t="s">
        <v>643</v>
      </c>
      <c r="AW82">
        <f t="shared" si="24"/>
        <v>81</v>
      </c>
      <c r="AX82" t="s">
        <v>1459</v>
      </c>
      <c r="AY82" t="s">
        <v>2063</v>
      </c>
      <c r="AZ82" t="s">
        <v>1610</v>
      </c>
      <c r="BA82" t="s">
        <v>1609</v>
      </c>
      <c r="BC82">
        <f t="shared" si="25"/>
        <v>81</v>
      </c>
      <c r="BI82">
        <f t="shared" si="26"/>
        <v>81</v>
      </c>
      <c r="BJ82" t="s">
        <v>2297</v>
      </c>
      <c r="BK82" s="331" t="s">
        <v>2334</v>
      </c>
      <c r="BL82" s="331" t="s">
        <v>2335</v>
      </c>
      <c r="BM82" s="331" t="s">
        <v>2336</v>
      </c>
      <c r="BO82">
        <f t="shared" si="27"/>
        <v>81</v>
      </c>
    </row>
    <row r="83" spans="13:67" ht="12.75">
      <c r="M83">
        <f t="shared" si="18"/>
        <v>82</v>
      </c>
      <c r="N83" t="s">
        <v>1758</v>
      </c>
      <c r="O83" s="331" t="s">
        <v>1774</v>
      </c>
      <c r="P83" s="331" t="s">
        <v>1818</v>
      </c>
      <c r="Q83" s="331" t="s">
        <v>1863</v>
      </c>
      <c r="S83">
        <f t="shared" si="19"/>
        <v>82</v>
      </c>
      <c r="Y83">
        <f t="shared" si="20"/>
        <v>82</v>
      </c>
      <c r="AE83">
        <f t="shared" si="21"/>
        <v>82</v>
      </c>
      <c r="AF83" t="s">
        <v>1434</v>
      </c>
      <c r="AG83" t="s">
        <v>1528</v>
      </c>
      <c r="AH83" t="s">
        <v>1555</v>
      </c>
      <c r="AI83" t="s">
        <v>1434</v>
      </c>
      <c r="AK83">
        <f t="shared" si="22"/>
        <v>82</v>
      </c>
      <c r="AL83" t="s">
        <v>2341</v>
      </c>
      <c r="AM83" t="s">
        <v>2342</v>
      </c>
      <c r="AN83" t="s">
        <v>2343</v>
      </c>
      <c r="AO83" t="s">
        <v>2344</v>
      </c>
      <c r="AQ83">
        <f t="shared" si="23"/>
        <v>82</v>
      </c>
      <c r="AR83" t="s">
        <v>631</v>
      </c>
      <c r="AS83" t="s">
        <v>2064</v>
      </c>
      <c r="AT83" t="s">
        <v>2065</v>
      </c>
      <c r="AU83" t="s">
        <v>644</v>
      </c>
      <c r="AW83">
        <f t="shared" si="24"/>
        <v>82</v>
      </c>
      <c r="AX83" t="s">
        <v>1414</v>
      </c>
      <c r="AY83" t="s">
        <v>1596</v>
      </c>
      <c r="AZ83" t="s">
        <v>1600</v>
      </c>
      <c r="BA83" t="s">
        <v>1604</v>
      </c>
      <c r="BC83">
        <f t="shared" si="25"/>
        <v>82</v>
      </c>
      <c r="BI83">
        <f t="shared" si="26"/>
        <v>82</v>
      </c>
      <c r="BJ83" t="s">
        <v>1412</v>
      </c>
      <c r="BK83" t="s">
        <v>2066</v>
      </c>
      <c r="BL83" t="s">
        <v>1676</v>
      </c>
      <c r="BM83" t="s">
        <v>1674</v>
      </c>
      <c r="BO83">
        <f t="shared" si="27"/>
        <v>82</v>
      </c>
    </row>
    <row r="84" spans="13:67" ht="12.75">
      <c r="M84">
        <f t="shared" si="18"/>
        <v>83</v>
      </c>
      <c r="N84" t="s">
        <v>1339</v>
      </c>
      <c r="O84" s="331" t="s">
        <v>1775</v>
      </c>
      <c r="P84" s="331" t="s">
        <v>1339</v>
      </c>
      <c r="Q84" s="331" t="s">
        <v>1864</v>
      </c>
      <c r="S84">
        <f t="shared" si="19"/>
        <v>83</v>
      </c>
      <c r="Y84">
        <f t="shared" si="20"/>
        <v>83</v>
      </c>
      <c r="AE84">
        <f t="shared" si="21"/>
        <v>83</v>
      </c>
      <c r="AF84" t="s">
        <v>1435</v>
      </c>
      <c r="AG84" t="s">
        <v>1435</v>
      </c>
      <c r="AH84" t="s">
        <v>1556</v>
      </c>
      <c r="AI84" t="s">
        <v>1556</v>
      </c>
      <c r="AK84">
        <f t="shared" si="22"/>
        <v>83</v>
      </c>
      <c r="AL84" t="s">
        <v>2345</v>
      </c>
      <c r="AM84" t="s">
        <v>2346</v>
      </c>
      <c r="AN84" t="s">
        <v>2347</v>
      </c>
      <c r="AO84" t="s">
        <v>2348</v>
      </c>
      <c r="AQ84">
        <f t="shared" si="23"/>
        <v>83</v>
      </c>
      <c r="AR84" t="s">
        <v>632</v>
      </c>
      <c r="AS84" t="s">
        <v>635</v>
      </c>
      <c r="AT84" t="s">
        <v>640</v>
      </c>
      <c r="AU84" t="s">
        <v>645</v>
      </c>
      <c r="AW84">
        <f t="shared" si="24"/>
        <v>83</v>
      </c>
      <c r="AX84" t="s">
        <v>1460</v>
      </c>
      <c r="AY84" t="s">
        <v>1460</v>
      </c>
      <c r="AZ84" t="s">
        <v>1602</v>
      </c>
      <c r="BA84" t="s">
        <v>1606</v>
      </c>
      <c r="BC84">
        <f t="shared" si="25"/>
        <v>83</v>
      </c>
      <c r="BI84">
        <f t="shared" si="26"/>
        <v>83</v>
      </c>
      <c r="BJ84" t="s">
        <v>1412</v>
      </c>
      <c r="BK84" t="s">
        <v>2066</v>
      </c>
      <c r="BL84" t="s">
        <v>1676</v>
      </c>
      <c r="BM84" t="s">
        <v>1674</v>
      </c>
      <c r="BO84">
        <f t="shared" si="27"/>
        <v>83</v>
      </c>
    </row>
    <row r="85" spans="13:67" ht="12.75">
      <c r="M85">
        <f t="shared" si="18"/>
        <v>84</v>
      </c>
      <c r="N85" t="s">
        <v>1340</v>
      </c>
      <c r="O85" s="331" t="s">
        <v>1776</v>
      </c>
      <c r="P85" s="331" t="s">
        <v>1340</v>
      </c>
      <c r="Q85" s="331" t="s">
        <v>1865</v>
      </c>
      <c r="S85">
        <f t="shared" si="19"/>
        <v>84</v>
      </c>
      <c r="Y85">
        <f t="shared" si="20"/>
        <v>84</v>
      </c>
      <c r="AE85">
        <f t="shared" si="21"/>
        <v>84</v>
      </c>
      <c r="AF85" t="s">
        <v>1436</v>
      </c>
      <c r="AG85" t="s">
        <v>1436</v>
      </c>
      <c r="AH85" t="s">
        <v>1436</v>
      </c>
      <c r="AI85" t="s">
        <v>1436</v>
      </c>
      <c r="AK85">
        <f t="shared" si="22"/>
        <v>84</v>
      </c>
      <c r="AL85" t="s">
        <v>2337</v>
      </c>
      <c r="AM85" t="s">
        <v>2338</v>
      </c>
      <c r="AN85" t="s">
        <v>2339</v>
      </c>
      <c r="AO85" t="s">
        <v>2340</v>
      </c>
      <c r="AQ85">
        <f t="shared" si="23"/>
        <v>84</v>
      </c>
      <c r="AW85">
        <f t="shared" si="24"/>
        <v>84</v>
      </c>
      <c r="AX85" t="s">
        <v>1461</v>
      </c>
      <c r="AY85" t="s">
        <v>2067</v>
      </c>
      <c r="AZ85" t="s">
        <v>2068</v>
      </c>
      <c r="BA85" t="s">
        <v>1607</v>
      </c>
      <c r="BC85">
        <f t="shared" si="25"/>
        <v>84</v>
      </c>
      <c r="BI85">
        <f t="shared" si="26"/>
        <v>84</v>
      </c>
      <c r="BO85">
        <f t="shared" si="27"/>
        <v>84</v>
      </c>
    </row>
    <row r="86" spans="13:67" ht="12.75">
      <c r="M86">
        <f t="shared" si="18"/>
        <v>85</v>
      </c>
      <c r="N86" t="s">
        <v>1341</v>
      </c>
      <c r="O86" s="331" t="s">
        <v>1777</v>
      </c>
      <c r="P86" s="331" t="s">
        <v>1819</v>
      </c>
      <c r="Q86" s="331" t="s">
        <v>1866</v>
      </c>
      <c r="S86">
        <f t="shared" si="19"/>
        <v>85</v>
      </c>
      <c r="Y86">
        <f t="shared" si="20"/>
        <v>85</v>
      </c>
      <c r="AE86">
        <f t="shared" si="21"/>
        <v>85</v>
      </c>
      <c r="AF86" t="s">
        <v>1437</v>
      </c>
      <c r="AG86" t="s">
        <v>1529</v>
      </c>
      <c r="AH86" t="s">
        <v>1529</v>
      </c>
      <c r="AI86" t="s">
        <v>1529</v>
      </c>
      <c r="AK86">
        <f t="shared" si="22"/>
        <v>85</v>
      </c>
      <c r="AQ86">
        <f t="shared" si="23"/>
        <v>85</v>
      </c>
      <c r="AW86">
        <f t="shared" si="24"/>
        <v>85</v>
      </c>
      <c r="AX86" t="s">
        <v>1462</v>
      </c>
      <c r="AY86" t="s">
        <v>1599</v>
      </c>
      <c r="AZ86" t="s">
        <v>1603</v>
      </c>
      <c r="BA86" t="s">
        <v>1608</v>
      </c>
      <c r="BC86">
        <f t="shared" si="25"/>
        <v>85</v>
      </c>
      <c r="BI86">
        <f t="shared" si="26"/>
        <v>85</v>
      </c>
      <c r="BO86">
        <f t="shared" si="27"/>
        <v>85</v>
      </c>
    </row>
    <row r="87" spans="13:67" ht="12.75">
      <c r="M87">
        <f t="shared" si="18"/>
        <v>86</v>
      </c>
      <c r="N87" t="s">
        <v>1903</v>
      </c>
      <c r="O87" s="331" t="s">
        <v>1904</v>
      </c>
      <c r="P87" s="331" t="s">
        <v>1905</v>
      </c>
      <c r="Q87" s="331" t="s">
        <v>1906</v>
      </c>
      <c r="S87">
        <f t="shared" si="19"/>
        <v>86</v>
      </c>
      <c r="Y87">
        <f t="shared" si="20"/>
        <v>86</v>
      </c>
      <c r="AE87">
        <f t="shared" si="21"/>
        <v>86</v>
      </c>
      <c r="AF87" t="s">
        <v>1438</v>
      </c>
      <c r="AG87" t="s">
        <v>1530</v>
      </c>
      <c r="AH87" t="s">
        <v>1557</v>
      </c>
      <c r="AI87" t="s">
        <v>1530</v>
      </c>
      <c r="AK87">
        <f t="shared" si="22"/>
        <v>86</v>
      </c>
      <c r="AQ87">
        <f t="shared" si="23"/>
        <v>86</v>
      </c>
      <c r="AW87">
        <f t="shared" si="24"/>
        <v>86</v>
      </c>
      <c r="BC87">
        <f t="shared" si="25"/>
        <v>86</v>
      </c>
      <c r="BI87">
        <f t="shared" si="26"/>
        <v>86</v>
      </c>
      <c r="BO87">
        <f t="shared" si="27"/>
        <v>86</v>
      </c>
    </row>
    <row r="88" spans="13:67" ht="12.75">
      <c r="M88">
        <f t="shared" si="18"/>
        <v>87</v>
      </c>
      <c r="N88" s="331" t="s">
        <v>2294</v>
      </c>
      <c r="O88" s="331" t="s">
        <v>2319</v>
      </c>
      <c r="P88" s="331" t="s">
        <v>2320</v>
      </c>
      <c r="Q88" s="331" t="s">
        <v>2321</v>
      </c>
      <c r="S88">
        <f t="shared" si="19"/>
        <v>87</v>
      </c>
      <c r="Y88">
        <f t="shared" si="20"/>
        <v>87</v>
      </c>
      <c r="AE88">
        <f t="shared" si="21"/>
        <v>87</v>
      </c>
      <c r="AF88" t="s">
        <v>1439</v>
      </c>
      <c r="AG88" t="s">
        <v>1531</v>
      </c>
      <c r="AH88" t="s">
        <v>1558</v>
      </c>
      <c r="AI88" t="s">
        <v>1439</v>
      </c>
      <c r="AK88">
        <f t="shared" si="22"/>
        <v>87</v>
      </c>
      <c r="AQ88">
        <f t="shared" si="23"/>
        <v>87</v>
      </c>
      <c r="AW88">
        <f t="shared" si="24"/>
        <v>87</v>
      </c>
      <c r="BC88">
        <f t="shared" si="25"/>
        <v>87</v>
      </c>
      <c r="BI88">
        <f t="shared" si="26"/>
        <v>87</v>
      </c>
      <c r="BO88">
        <f t="shared" si="27"/>
        <v>87</v>
      </c>
    </row>
    <row r="89" spans="13:67" ht="12.75">
      <c r="M89">
        <f t="shared" si="18"/>
        <v>88</v>
      </c>
      <c r="N89" t="s">
        <v>1342</v>
      </c>
      <c r="O89" s="331" t="s">
        <v>1778</v>
      </c>
      <c r="P89" s="331" t="s">
        <v>1820</v>
      </c>
      <c r="Q89" s="331" t="s">
        <v>1867</v>
      </c>
      <c r="S89">
        <f t="shared" si="19"/>
        <v>88</v>
      </c>
      <c r="Y89">
        <f t="shared" si="20"/>
        <v>88</v>
      </c>
      <c r="AE89">
        <f t="shared" si="21"/>
        <v>88</v>
      </c>
      <c r="AF89" t="s">
        <v>1440</v>
      </c>
      <c r="AG89" t="s">
        <v>1532</v>
      </c>
      <c r="AH89" t="s">
        <v>1559</v>
      </c>
      <c r="AI89" t="s">
        <v>1532</v>
      </c>
      <c r="AK89">
        <f t="shared" si="22"/>
        <v>88</v>
      </c>
      <c r="AQ89">
        <f t="shared" si="23"/>
        <v>88</v>
      </c>
      <c r="AW89">
        <f t="shared" si="24"/>
        <v>88</v>
      </c>
      <c r="BC89">
        <f t="shared" si="25"/>
        <v>88</v>
      </c>
      <c r="BI89">
        <f t="shared" si="26"/>
        <v>88</v>
      </c>
      <c r="BO89">
        <f t="shared" si="27"/>
        <v>88</v>
      </c>
    </row>
    <row r="90" spans="13:67" ht="12.75">
      <c r="M90">
        <f t="shared" si="18"/>
        <v>89</v>
      </c>
      <c r="N90" t="s">
        <v>1343</v>
      </c>
      <c r="O90" s="331" t="s">
        <v>1779</v>
      </c>
      <c r="P90" s="331" t="s">
        <v>1821</v>
      </c>
      <c r="Q90" s="331" t="s">
        <v>1868</v>
      </c>
      <c r="S90">
        <f t="shared" si="19"/>
        <v>89</v>
      </c>
      <c r="Y90">
        <f t="shared" si="20"/>
        <v>89</v>
      </c>
      <c r="AE90">
        <f t="shared" si="21"/>
        <v>89</v>
      </c>
      <c r="AF90" t="s">
        <v>794</v>
      </c>
      <c r="AG90" t="s">
        <v>1139</v>
      </c>
      <c r="AH90" t="s">
        <v>1168</v>
      </c>
      <c r="AI90" t="s">
        <v>1197</v>
      </c>
      <c r="AK90">
        <f t="shared" si="22"/>
        <v>89</v>
      </c>
      <c r="AQ90">
        <f t="shared" si="23"/>
        <v>89</v>
      </c>
      <c r="AW90">
        <f t="shared" si="24"/>
        <v>89</v>
      </c>
      <c r="BC90">
        <f t="shared" si="25"/>
        <v>89</v>
      </c>
      <c r="BI90">
        <f t="shared" si="26"/>
        <v>89</v>
      </c>
      <c r="BO90">
        <f t="shared" si="27"/>
        <v>89</v>
      </c>
    </row>
    <row r="91" spans="13:67" ht="12.75">
      <c r="M91">
        <f t="shared" si="18"/>
        <v>90</v>
      </c>
      <c r="N91" t="s">
        <v>1344</v>
      </c>
      <c r="O91" s="331" t="s">
        <v>1780</v>
      </c>
      <c r="P91" s="331" t="s">
        <v>1822</v>
      </c>
      <c r="Q91" s="331" t="s">
        <v>1869</v>
      </c>
      <c r="S91">
        <f t="shared" si="19"/>
        <v>90</v>
      </c>
      <c r="Y91">
        <f t="shared" si="20"/>
        <v>90</v>
      </c>
      <c r="AE91">
        <f t="shared" si="21"/>
        <v>90</v>
      </c>
      <c r="AK91">
        <f t="shared" si="22"/>
        <v>90</v>
      </c>
      <c r="AQ91">
        <f t="shared" si="23"/>
        <v>90</v>
      </c>
      <c r="AW91">
        <f t="shared" si="24"/>
        <v>90</v>
      </c>
      <c r="BC91">
        <f t="shared" si="25"/>
        <v>90</v>
      </c>
      <c r="BI91">
        <f t="shared" si="26"/>
        <v>90</v>
      </c>
      <c r="BO91">
        <f t="shared" si="27"/>
        <v>90</v>
      </c>
    </row>
    <row r="92" spans="13:71" ht="12.75">
      <c r="M92">
        <f t="shared" si="18"/>
        <v>91</v>
      </c>
      <c r="N92" t="s">
        <v>1345</v>
      </c>
      <c r="O92" s="331" t="s">
        <v>1781</v>
      </c>
      <c r="P92" s="331" t="s">
        <v>1823</v>
      </c>
      <c r="Q92" s="331" t="s">
        <v>1870</v>
      </c>
      <c r="S92">
        <f t="shared" si="19"/>
        <v>91</v>
      </c>
      <c r="Y92">
        <f t="shared" si="20"/>
        <v>91</v>
      </c>
      <c r="AE92">
        <f t="shared" si="21"/>
        <v>91</v>
      </c>
      <c r="AK92">
        <f t="shared" si="22"/>
        <v>91</v>
      </c>
      <c r="AQ92">
        <f t="shared" si="23"/>
        <v>91</v>
      </c>
      <c r="AR92" t="s">
        <v>660</v>
      </c>
      <c r="AS92" t="s">
        <v>636</v>
      </c>
      <c r="AT92" t="s">
        <v>641</v>
      </c>
      <c r="AU92" t="s">
        <v>646</v>
      </c>
      <c r="AW92">
        <f t="shared" si="24"/>
        <v>91</v>
      </c>
      <c r="BC92">
        <f t="shared" si="25"/>
        <v>91</v>
      </c>
      <c r="BI92">
        <f t="shared" si="26"/>
        <v>91</v>
      </c>
      <c r="BO92">
        <f t="shared" si="27"/>
        <v>91</v>
      </c>
      <c r="BP92" t="s">
        <v>1127</v>
      </c>
      <c r="BQ92" t="s">
        <v>2069</v>
      </c>
      <c r="BR92" t="s">
        <v>1177</v>
      </c>
      <c r="BS92" t="s">
        <v>1205</v>
      </c>
    </row>
    <row r="93" spans="13:71" ht="12.75">
      <c r="M93">
        <f t="shared" si="18"/>
        <v>92</v>
      </c>
      <c r="N93" t="s">
        <v>1759</v>
      </c>
      <c r="O93" s="331" t="s">
        <v>1782</v>
      </c>
      <c r="P93" s="331" t="s">
        <v>1824</v>
      </c>
      <c r="Q93" s="331" t="s">
        <v>1871</v>
      </c>
      <c r="S93">
        <f t="shared" si="19"/>
        <v>92</v>
      </c>
      <c r="Y93">
        <f t="shared" si="20"/>
        <v>92</v>
      </c>
      <c r="AE93">
        <f t="shared" si="21"/>
        <v>92</v>
      </c>
      <c r="AK93">
        <f t="shared" si="22"/>
        <v>92</v>
      </c>
      <c r="AQ93">
        <f t="shared" si="23"/>
        <v>92</v>
      </c>
      <c r="AR93" t="s">
        <v>633</v>
      </c>
      <c r="AS93" t="s">
        <v>637</v>
      </c>
      <c r="AT93" t="s">
        <v>642</v>
      </c>
      <c r="AU93" t="s">
        <v>647</v>
      </c>
      <c r="AW93">
        <f t="shared" si="24"/>
        <v>92</v>
      </c>
      <c r="BC93">
        <f t="shared" si="25"/>
        <v>92</v>
      </c>
      <c r="BI93">
        <f t="shared" si="26"/>
        <v>92</v>
      </c>
      <c r="BO93">
        <f t="shared" si="27"/>
        <v>92</v>
      </c>
      <c r="BP93" t="s">
        <v>798</v>
      </c>
      <c r="BQ93" t="s">
        <v>1142</v>
      </c>
      <c r="BR93" t="s">
        <v>1178</v>
      </c>
      <c r="BS93" t="s">
        <v>1206</v>
      </c>
    </row>
    <row r="94" spans="13:71" ht="12.75">
      <c r="M94">
        <f t="shared" si="18"/>
        <v>93</v>
      </c>
      <c r="N94" t="s">
        <v>293</v>
      </c>
      <c r="O94" s="331" t="s">
        <v>294</v>
      </c>
      <c r="P94" s="331" t="s">
        <v>1825</v>
      </c>
      <c r="Q94" s="331" t="s">
        <v>369</v>
      </c>
      <c r="S94">
        <f t="shared" si="19"/>
        <v>93</v>
      </c>
      <c r="Y94">
        <f t="shared" si="20"/>
        <v>93</v>
      </c>
      <c r="AE94">
        <f t="shared" si="21"/>
        <v>93</v>
      </c>
      <c r="AK94">
        <f t="shared" si="22"/>
        <v>93</v>
      </c>
      <c r="AQ94">
        <f t="shared" si="23"/>
        <v>93</v>
      </c>
      <c r="AW94">
        <f t="shared" si="24"/>
        <v>93</v>
      </c>
      <c r="BC94">
        <f t="shared" si="25"/>
        <v>93</v>
      </c>
      <c r="BI94">
        <f t="shared" si="26"/>
        <v>93</v>
      </c>
      <c r="BO94">
        <f t="shared" si="27"/>
        <v>93</v>
      </c>
      <c r="BP94" t="s">
        <v>730</v>
      </c>
      <c r="BQ94" t="s">
        <v>730</v>
      </c>
      <c r="BR94" t="s">
        <v>1014</v>
      </c>
      <c r="BS94" t="s">
        <v>730</v>
      </c>
    </row>
    <row r="95" spans="13:71" ht="12.75">
      <c r="M95">
        <f t="shared" si="18"/>
        <v>94</v>
      </c>
      <c r="N95" t="s">
        <v>1346</v>
      </c>
      <c r="O95" s="331" t="s">
        <v>1783</v>
      </c>
      <c r="P95" s="331" t="s">
        <v>1826</v>
      </c>
      <c r="Q95" s="331" t="s">
        <v>1872</v>
      </c>
      <c r="S95">
        <f t="shared" si="19"/>
        <v>94</v>
      </c>
      <c r="Y95">
        <f t="shared" si="20"/>
        <v>94</v>
      </c>
      <c r="AE95">
        <f t="shared" si="21"/>
        <v>94</v>
      </c>
      <c r="AK95">
        <f t="shared" si="22"/>
        <v>94</v>
      </c>
      <c r="AQ95">
        <f t="shared" si="23"/>
        <v>94</v>
      </c>
      <c r="AW95">
        <f t="shared" si="24"/>
        <v>94</v>
      </c>
      <c r="BC95">
        <f t="shared" si="25"/>
        <v>94</v>
      </c>
      <c r="BI95">
        <f t="shared" si="26"/>
        <v>94</v>
      </c>
      <c r="BO95">
        <f t="shared" si="27"/>
        <v>94</v>
      </c>
      <c r="BP95" t="s">
        <v>799</v>
      </c>
      <c r="BQ95" t="s">
        <v>799</v>
      </c>
      <c r="BR95" t="s">
        <v>1179</v>
      </c>
      <c r="BS95" t="s">
        <v>799</v>
      </c>
    </row>
    <row r="96" spans="13:71" ht="12.75">
      <c r="M96">
        <f t="shared" si="18"/>
        <v>95</v>
      </c>
      <c r="N96" t="s">
        <v>2548</v>
      </c>
      <c r="O96" s="331" t="s">
        <v>2755</v>
      </c>
      <c r="P96" s="331" t="s">
        <v>2770</v>
      </c>
      <c r="Q96" s="331" t="s">
        <v>2729</v>
      </c>
      <c r="S96">
        <f t="shared" si="19"/>
        <v>95</v>
      </c>
      <c r="Y96">
        <f t="shared" si="20"/>
        <v>95</v>
      </c>
      <c r="AE96">
        <f t="shared" si="21"/>
        <v>95</v>
      </c>
      <c r="AK96">
        <f t="shared" si="22"/>
        <v>95</v>
      </c>
      <c r="AQ96">
        <f t="shared" si="23"/>
        <v>95</v>
      </c>
      <c r="AW96">
        <f t="shared" si="24"/>
        <v>95</v>
      </c>
      <c r="BC96">
        <f t="shared" si="25"/>
        <v>95</v>
      </c>
      <c r="BI96">
        <f t="shared" si="26"/>
        <v>95</v>
      </c>
      <c r="BO96">
        <f t="shared" si="27"/>
        <v>95</v>
      </c>
      <c r="BP96" t="s">
        <v>800</v>
      </c>
      <c r="BQ96" t="s">
        <v>800</v>
      </c>
      <c r="BR96" t="s">
        <v>1180</v>
      </c>
      <c r="BS96" t="s">
        <v>800</v>
      </c>
    </row>
    <row r="97" spans="13:71" ht="12.75">
      <c r="M97">
        <f t="shared" si="18"/>
        <v>96</v>
      </c>
      <c r="N97" t="s">
        <v>1347</v>
      </c>
      <c r="O97" s="331" t="s">
        <v>1784</v>
      </c>
      <c r="P97" s="331" t="s">
        <v>1827</v>
      </c>
      <c r="Q97" s="331" t="s">
        <v>1873</v>
      </c>
      <c r="S97">
        <f t="shared" si="19"/>
        <v>96</v>
      </c>
      <c r="Y97">
        <f t="shared" si="20"/>
        <v>96</v>
      </c>
      <c r="AE97">
        <f t="shared" si="21"/>
        <v>96</v>
      </c>
      <c r="AK97">
        <f t="shared" si="22"/>
        <v>96</v>
      </c>
      <c r="AQ97">
        <f t="shared" si="23"/>
        <v>96</v>
      </c>
      <c r="AW97">
        <f t="shared" si="24"/>
        <v>96</v>
      </c>
      <c r="BC97">
        <f t="shared" si="25"/>
        <v>96</v>
      </c>
      <c r="BI97">
        <f t="shared" si="26"/>
        <v>96</v>
      </c>
      <c r="BO97">
        <f t="shared" si="27"/>
        <v>96</v>
      </c>
      <c r="BP97" t="s">
        <v>801</v>
      </c>
      <c r="BQ97" t="s">
        <v>801</v>
      </c>
      <c r="BR97" t="s">
        <v>1181</v>
      </c>
      <c r="BS97" t="s">
        <v>801</v>
      </c>
    </row>
    <row r="98" spans="13:71" ht="12.75">
      <c r="M98">
        <f t="shared" si="18"/>
        <v>97</v>
      </c>
      <c r="N98" t="s">
        <v>2549</v>
      </c>
      <c r="O98" s="331" t="s">
        <v>2756</v>
      </c>
      <c r="P98" s="331" t="s">
        <v>2771</v>
      </c>
      <c r="Q98" s="331" t="s">
        <v>2730</v>
      </c>
      <c r="S98">
        <f t="shared" si="19"/>
        <v>97</v>
      </c>
      <c r="Y98">
        <f t="shared" si="20"/>
        <v>97</v>
      </c>
      <c r="AE98">
        <f t="shared" si="21"/>
        <v>97</v>
      </c>
      <c r="AK98">
        <f t="shared" si="22"/>
        <v>97</v>
      </c>
      <c r="AQ98">
        <f t="shared" si="23"/>
        <v>97</v>
      </c>
      <c r="AW98">
        <f t="shared" si="24"/>
        <v>97</v>
      </c>
      <c r="BC98">
        <f t="shared" si="25"/>
        <v>97</v>
      </c>
      <c r="BI98">
        <f t="shared" si="26"/>
        <v>97</v>
      </c>
      <c r="BO98">
        <f t="shared" si="27"/>
        <v>97</v>
      </c>
      <c r="BP98" t="s">
        <v>802</v>
      </c>
      <c r="BQ98" t="s">
        <v>1143</v>
      </c>
      <c r="BR98" t="s">
        <v>1182</v>
      </c>
      <c r="BS98" t="s">
        <v>1207</v>
      </c>
    </row>
    <row r="99" spans="13:71" ht="12.75">
      <c r="M99">
        <f t="shared" si="18"/>
        <v>98</v>
      </c>
      <c r="N99" t="s">
        <v>2550</v>
      </c>
      <c r="O99" s="331" t="s">
        <v>2757</v>
      </c>
      <c r="P99" s="331" t="s">
        <v>2772</v>
      </c>
      <c r="Q99" s="331" t="s">
        <v>2731</v>
      </c>
      <c r="S99">
        <f t="shared" si="19"/>
        <v>98</v>
      </c>
      <c r="Y99">
        <f t="shared" si="20"/>
        <v>98</v>
      </c>
      <c r="AE99">
        <f t="shared" si="21"/>
        <v>98</v>
      </c>
      <c r="AK99">
        <f t="shared" si="22"/>
        <v>98</v>
      </c>
      <c r="AQ99">
        <f t="shared" si="23"/>
        <v>98</v>
      </c>
      <c r="AW99">
        <f t="shared" si="24"/>
        <v>98</v>
      </c>
      <c r="BC99">
        <f t="shared" si="25"/>
        <v>98</v>
      </c>
      <c r="BI99">
        <f t="shared" si="26"/>
        <v>98</v>
      </c>
      <c r="BO99">
        <f t="shared" si="27"/>
        <v>98</v>
      </c>
      <c r="BP99" t="s">
        <v>803</v>
      </c>
      <c r="BQ99" t="s">
        <v>1144</v>
      </c>
      <c r="BR99" t="s">
        <v>1183</v>
      </c>
      <c r="BS99" t="s">
        <v>1208</v>
      </c>
    </row>
    <row r="100" spans="13:67" ht="12.75">
      <c r="M100">
        <f t="shared" si="18"/>
        <v>99</v>
      </c>
      <c r="N100" t="s">
        <v>1348</v>
      </c>
      <c r="O100" s="331" t="s">
        <v>1785</v>
      </c>
      <c r="P100" s="331" t="s">
        <v>1828</v>
      </c>
      <c r="Q100" s="331" t="s">
        <v>1874</v>
      </c>
      <c r="S100">
        <f t="shared" si="19"/>
        <v>99</v>
      </c>
      <c r="Y100">
        <f t="shared" si="20"/>
        <v>99</v>
      </c>
      <c r="AE100">
        <f t="shared" si="21"/>
        <v>99</v>
      </c>
      <c r="AK100">
        <f t="shared" si="22"/>
        <v>99</v>
      </c>
      <c r="AQ100">
        <f t="shared" si="23"/>
        <v>99</v>
      </c>
      <c r="AW100">
        <f t="shared" si="24"/>
        <v>99</v>
      </c>
      <c r="BC100">
        <f t="shared" si="25"/>
        <v>99</v>
      </c>
      <c r="BI100">
        <f t="shared" si="26"/>
        <v>99</v>
      </c>
      <c r="BO100">
        <f t="shared" si="27"/>
        <v>99</v>
      </c>
    </row>
    <row r="101" spans="13:67" ht="12.75">
      <c r="M101">
        <f t="shared" si="18"/>
        <v>100</v>
      </c>
      <c r="N101" t="s">
        <v>1349</v>
      </c>
      <c r="O101" s="331" t="s">
        <v>1786</v>
      </c>
      <c r="P101" s="331" t="s">
        <v>1829</v>
      </c>
      <c r="Q101" s="331" t="s">
        <v>1875</v>
      </c>
      <c r="S101">
        <f t="shared" si="19"/>
        <v>100</v>
      </c>
      <c r="Y101">
        <f t="shared" si="20"/>
        <v>100</v>
      </c>
      <c r="AE101">
        <f t="shared" si="21"/>
        <v>100</v>
      </c>
      <c r="AK101">
        <f t="shared" si="22"/>
        <v>100</v>
      </c>
      <c r="AQ101">
        <f t="shared" si="23"/>
        <v>100</v>
      </c>
      <c r="AW101">
        <f t="shared" si="24"/>
        <v>100</v>
      </c>
      <c r="BC101">
        <f t="shared" si="25"/>
        <v>100</v>
      </c>
      <c r="BI101">
        <f t="shared" si="26"/>
        <v>100</v>
      </c>
      <c r="BO101">
        <f t="shared" si="27"/>
        <v>100</v>
      </c>
    </row>
    <row r="102" spans="13:67" ht="12.75">
      <c r="M102">
        <f t="shared" si="18"/>
        <v>101</v>
      </c>
      <c r="N102" t="s">
        <v>1351</v>
      </c>
      <c r="O102" s="331" t="s">
        <v>1787</v>
      </c>
      <c r="P102" s="331" t="s">
        <v>1830</v>
      </c>
      <c r="Q102" s="331" t="s">
        <v>1876</v>
      </c>
      <c r="S102">
        <f t="shared" si="19"/>
        <v>101</v>
      </c>
      <c r="Y102">
        <f t="shared" si="20"/>
        <v>101</v>
      </c>
      <c r="AE102">
        <f t="shared" si="21"/>
        <v>101</v>
      </c>
      <c r="AF102" t="s">
        <v>1568</v>
      </c>
      <c r="AG102" t="s">
        <v>1570</v>
      </c>
      <c r="AH102" t="s">
        <v>1571</v>
      </c>
      <c r="AI102" t="s">
        <v>1569</v>
      </c>
      <c r="AK102">
        <f t="shared" si="22"/>
        <v>101</v>
      </c>
      <c r="AQ102">
        <f t="shared" si="23"/>
        <v>101</v>
      </c>
      <c r="AR102" t="s">
        <v>659</v>
      </c>
      <c r="AS102" t="s">
        <v>638</v>
      </c>
      <c r="AT102" t="s">
        <v>2070</v>
      </c>
      <c r="AU102" t="s">
        <v>648</v>
      </c>
      <c r="AW102">
        <f t="shared" si="24"/>
        <v>101</v>
      </c>
      <c r="BC102">
        <f t="shared" si="25"/>
        <v>101</v>
      </c>
      <c r="BI102">
        <f t="shared" si="26"/>
        <v>101</v>
      </c>
      <c r="BO102">
        <f t="shared" si="27"/>
        <v>101</v>
      </c>
    </row>
    <row r="103" spans="13:67" ht="12.75">
      <c r="M103">
        <f t="shared" si="18"/>
        <v>102</v>
      </c>
      <c r="N103" t="s">
        <v>1352</v>
      </c>
      <c r="O103" s="331" t="s">
        <v>1788</v>
      </c>
      <c r="P103" s="331" t="s">
        <v>1831</v>
      </c>
      <c r="Q103" s="331" t="s">
        <v>1877</v>
      </c>
      <c r="S103">
        <f t="shared" si="19"/>
        <v>102</v>
      </c>
      <c r="Y103">
        <f t="shared" si="20"/>
        <v>102</v>
      </c>
      <c r="AE103">
        <f t="shared" si="21"/>
        <v>102</v>
      </c>
      <c r="AF103" t="s">
        <v>700</v>
      </c>
      <c r="AG103" t="s">
        <v>810</v>
      </c>
      <c r="AH103" t="s">
        <v>809</v>
      </c>
      <c r="AI103" t="s">
        <v>808</v>
      </c>
      <c r="AK103">
        <f t="shared" si="22"/>
        <v>102</v>
      </c>
      <c r="AQ103">
        <f t="shared" si="23"/>
        <v>102</v>
      </c>
      <c r="AW103">
        <f t="shared" si="24"/>
        <v>102</v>
      </c>
      <c r="BC103">
        <f t="shared" si="25"/>
        <v>102</v>
      </c>
      <c r="BI103">
        <f t="shared" si="26"/>
        <v>102</v>
      </c>
      <c r="BO103">
        <f t="shared" si="27"/>
        <v>102</v>
      </c>
    </row>
    <row r="104" spans="13:67" ht="12.75">
      <c r="M104">
        <f t="shared" si="18"/>
        <v>103</v>
      </c>
      <c r="N104" t="s">
        <v>1353</v>
      </c>
      <c r="O104" s="331" t="s">
        <v>1789</v>
      </c>
      <c r="P104" s="331" t="s">
        <v>1832</v>
      </c>
      <c r="Q104" s="331" t="s">
        <v>1878</v>
      </c>
      <c r="S104">
        <f t="shared" si="19"/>
        <v>103</v>
      </c>
      <c r="Y104">
        <f t="shared" si="20"/>
        <v>103</v>
      </c>
      <c r="AE104">
        <f t="shared" si="21"/>
        <v>103</v>
      </c>
      <c r="AF104" t="s">
        <v>1568</v>
      </c>
      <c r="AG104" t="s">
        <v>1570</v>
      </c>
      <c r="AH104" t="s">
        <v>1571</v>
      </c>
      <c r="AI104" t="s">
        <v>1569</v>
      </c>
      <c r="AK104">
        <f t="shared" si="22"/>
        <v>103</v>
      </c>
      <c r="AQ104">
        <f t="shared" si="23"/>
        <v>103</v>
      </c>
      <c r="AW104">
        <f t="shared" si="24"/>
        <v>103</v>
      </c>
      <c r="BC104">
        <f t="shared" si="25"/>
        <v>103</v>
      </c>
      <c r="BI104">
        <f t="shared" si="26"/>
        <v>103</v>
      </c>
      <c r="BO104">
        <f t="shared" si="27"/>
        <v>103</v>
      </c>
    </row>
    <row r="105" spans="13:67" ht="12.75">
      <c r="M105">
        <f t="shared" si="18"/>
        <v>104</v>
      </c>
      <c r="N105" t="s">
        <v>1354</v>
      </c>
      <c r="O105" s="331" t="s">
        <v>1790</v>
      </c>
      <c r="P105" s="331" t="s">
        <v>1833</v>
      </c>
      <c r="Q105" s="331" t="s">
        <v>1879</v>
      </c>
      <c r="S105">
        <f t="shared" si="19"/>
        <v>104</v>
      </c>
      <c r="Y105">
        <f t="shared" si="20"/>
        <v>104</v>
      </c>
      <c r="AE105">
        <f t="shared" si="21"/>
        <v>104</v>
      </c>
      <c r="AF105" t="s">
        <v>1572</v>
      </c>
      <c r="AG105" t="s">
        <v>1574</v>
      </c>
      <c r="AH105" t="s">
        <v>1573</v>
      </c>
      <c r="AI105" t="s">
        <v>1575</v>
      </c>
      <c r="AK105">
        <f t="shared" si="22"/>
        <v>104</v>
      </c>
      <c r="AQ105">
        <f t="shared" si="23"/>
        <v>104</v>
      </c>
      <c r="AW105">
        <f t="shared" si="24"/>
        <v>104</v>
      </c>
      <c r="BC105">
        <f t="shared" si="25"/>
        <v>104</v>
      </c>
      <c r="BI105">
        <f t="shared" si="26"/>
        <v>104</v>
      </c>
      <c r="BO105">
        <f t="shared" si="27"/>
        <v>104</v>
      </c>
    </row>
    <row r="106" spans="13:67" ht="12.75">
      <c r="M106">
        <f t="shared" si="18"/>
        <v>105</v>
      </c>
      <c r="N106" t="s">
        <v>1355</v>
      </c>
      <c r="O106" s="331" t="s">
        <v>1791</v>
      </c>
      <c r="P106" s="331" t="s">
        <v>1834</v>
      </c>
      <c r="Q106" s="331" t="s">
        <v>1880</v>
      </c>
      <c r="S106">
        <f t="shared" si="19"/>
        <v>105</v>
      </c>
      <c r="Y106">
        <f t="shared" si="20"/>
        <v>105</v>
      </c>
      <c r="AE106">
        <f t="shared" si="21"/>
        <v>105</v>
      </c>
      <c r="AK106">
        <f t="shared" si="22"/>
        <v>105</v>
      </c>
      <c r="AQ106">
        <f t="shared" si="23"/>
        <v>105</v>
      </c>
      <c r="AW106">
        <f t="shared" si="24"/>
        <v>105</v>
      </c>
      <c r="BC106">
        <f t="shared" si="25"/>
        <v>105</v>
      </c>
      <c r="BI106">
        <f t="shared" si="26"/>
        <v>105</v>
      </c>
      <c r="BO106">
        <f t="shared" si="27"/>
        <v>105</v>
      </c>
    </row>
    <row r="107" spans="13:67" ht="12.75">
      <c r="M107">
        <f t="shared" si="18"/>
        <v>106</v>
      </c>
      <c r="N107" t="s">
        <v>1356</v>
      </c>
      <c r="O107" s="331" t="s">
        <v>1792</v>
      </c>
      <c r="P107" s="331" t="s">
        <v>1835</v>
      </c>
      <c r="Q107" s="331" t="s">
        <v>1881</v>
      </c>
      <c r="S107">
        <f t="shared" si="19"/>
        <v>106</v>
      </c>
      <c r="Y107">
        <f t="shared" si="20"/>
        <v>106</v>
      </c>
      <c r="AE107">
        <f t="shared" si="21"/>
        <v>106</v>
      </c>
      <c r="AK107">
        <f t="shared" si="22"/>
        <v>106</v>
      </c>
      <c r="AQ107">
        <f t="shared" si="23"/>
        <v>106</v>
      </c>
      <c r="AW107">
        <f t="shared" si="24"/>
        <v>106</v>
      </c>
      <c r="BC107">
        <f t="shared" si="25"/>
        <v>106</v>
      </c>
      <c r="BI107">
        <f t="shared" si="26"/>
        <v>106</v>
      </c>
      <c r="BO107">
        <f t="shared" si="27"/>
        <v>106</v>
      </c>
    </row>
    <row r="108" spans="13:67" ht="12.75">
      <c r="M108">
        <f t="shared" si="18"/>
        <v>107</v>
      </c>
      <c r="N108" t="s">
        <v>1358</v>
      </c>
      <c r="O108" s="331" t="s">
        <v>1793</v>
      </c>
      <c r="P108" s="331" t="s">
        <v>1836</v>
      </c>
      <c r="Q108" s="331" t="s">
        <v>1882</v>
      </c>
      <c r="S108">
        <f t="shared" si="19"/>
        <v>107</v>
      </c>
      <c r="Y108">
        <f t="shared" si="20"/>
        <v>107</v>
      </c>
      <c r="AE108">
        <f t="shared" si="21"/>
        <v>107</v>
      </c>
      <c r="AK108">
        <f t="shared" si="22"/>
        <v>107</v>
      </c>
      <c r="AQ108">
        <f t="shared" si="23"/>
        <v>107</v>
      </c>
      <c r="AW108">
        <f t="shared" si="24"/>
        <v>107</v>
      </c>
      <c r="BC108">
        <f t="shared" si="25"/>
        <v>107</v>
      </c>
      <c r="BI108">
        <f t="shared" si="26"/>
        <v>107</v>
      </c>
      <c r="BO108">
        <f t="shared" si="27"/>
        <v>107</v>
      </c>
    </row>
    <row r="109" spans="13:67" ht="12.75">
      <c r="M109">
        <f t="shared" si="18"/>
        <v>108</v>
      </c>
      <c r="N109" t="s">
        <v>1360</v>
      </c>
      <c r="O109" s="331" t="s">
        <v>1794</v>
      </c>
      <c r="P109" s="331" t="s">
        <v>1837</v>
      </c>
      <c r="Q109" s="331" t="s">
        <v>1883</v>
      </c>
      <c r="S109">
        <f t="shared" si="19"/>
        <v>108</v>
      </c>
      <c r="Y109">
        <f t="shared" si="20"/>
        <v>108</v>
      </c>
      <c r="AE109">
        <f t="shared" si="21"/>
        <v>108</v>
      </c>
      <c r="AK109">
        <f t="shared" si="22"/>
        <v>108</v>
      </c>
      <c r="AQ109">
        <f t="shared" si="23"/>
        <v>108</v>
      </c>
      <c r="AW109">
        <f t="shared" si="24"/>
        <v>108</v>
      </c>
      <c r="BC109">
        <f t="shared" si="25"/>
        <v>108</v>
      </c>
      <c r="BI109">
        <f t="shared" si="26"/>
        <v>108</v>
      </c>
      <c r="BO109">
        <f t="shared" si="27"/>
        <v>108</v>
      </c>
    </row>
    <row r="110" spans="13:67" ht="12.75">
      <c r="M110">
        <f t="shared" si="18"/>
        <v>109</v>
      </c>
      <c r="N110" t="s">
        <v>1363</v>
      </c>
      <c r="O110" s="331" t="s">
        <v>1795</v>
      </c>
      <c r="P110" s="331" t="s">
        <v>1838</v>
      </c>
      <c r="Q110" s="331" t="s">
        <v>1884</v>
      </c>
      <c r="S110">
        <f t="shared" si="19"/>
        <v>109</v>
      </c>
      <c r="Y110">
        <f t="shared" si="20"/>
        <v>109</v>
      </c>
      <c r="AE110">
        <f t="shared" si="21"/>
        <v>109</v>
      </c>
      <c r="AK110">
        <f t="shared" si="22"/>
        <v>109</v>
      </c>
      <c r="AQ110">
        <f t="shared" si="23"/>
        <v>109</v>
      </c>
      <c r="AW110">
        <f t="shared" si="24"/>
        <v>109</v>
      </c>
      <c r="BC110">
        <f t="shared" si="25"/>
        <v>109</v>
      </c>
      <c r="BI110">
        <f t="shared" si="26"/>
        <v>109</v>
      </c>
      <c r="BO110">
        <f t="shared" si="27"/>
        <v>109</v>
      </c>
    </row>
    <row r="111" spans="13:67" ht="12.75">
      <c r="M111">
        <f t="shared" si="18"/>
        <v>110</v>
      </c>
      <c r="N111" t="s">
        <v>1760</v>
      </c>
      <c r="O111" s="331" t="s">
        <v>1796</v>
      </c>
      <c r="P111" s="331" t="s">
        <v>1850</v>
      </c>
      <c r="Q111" s="331" t="s">
        <v>1898</v>
      </c>
      <c r="S111">
        <f t="shared" si="19"/>
        <v>110</v>
      </c>
      <c r="Y111">
        <f t="shared" si="20"/>
        <v>110</v>
      </c>
      <c r="AE111">
        <f t="shared" si="21"/>
        <v>110</v>
      </c>
      <c r="AK111">
        <f t="shared" si="22"/>
        <v>110</v>
      </c>
      <c r="AQ111">
        <f t="shared" si="23"/>
        <v>110</v>
      </c>
      <c r="AW111">
        <f t="shared" si="24"/>
        <v>110</v>
      </c>
      <c r="BC111">
        <f t="shared" si="25"/>
        <v>110</v>
      </c>
      <c r="BI111">
        <f t="shared" si="26"/>
        <v>110</v>
      </c>
      <c r="BO111">
        <f t="shared" si="27"/>
        <v>110</v>
      </c>
    </row>
    <row r="112" spans="13:67" ht="12.75">
      <c r="M112">
        <f t="shared" si="18"/>
        <v>111</v>
      </c>
      <c r="N112" t="s">
        <v>1761</v>
      </c>
      <c r="O112" s="331" t="s">
        <v>1797</v>
      </c>
      <c r="P112" s="331" t="s">
        <v>1851</v>
      </c>
      <c r="Q112" s="331" t="s">
        <v>1899</v>
      </c>
      <c r="S112">
        <f t="shared" si="19"/>
        <v>111</v>
      </c>
      <c r="Y112">
        <f t="shared" si="20"/>
        <v>111</v>
      </c>
      <c r="AE112">
        <f t="shared" si="21"/>
        <v>111</v>
      </c>
      <c r="AF112" t="s">
        <v>2165</v>
      </c>
      <c r="AG112" t="s">
        <v>2208</v>
      </c>
      <c r="AH112" t="s">
        <v>2210</v>
      </c>
      <c r="AI112" t="s">
        <v>2212</v>
      </c>
      <c r="AK112">
        <f t="shared" si="22"/>
        <v>111</v>
      </c>
      <c r="AQ112">
        <f t="shared" si="23"/>
        <v>111</v>
      </c>
      <c r="AR112" t="s">
        <v>985</v>
      </c>
      <c r="AS112" t="s">
        <v>984</v>
      </c>
      <c r="AT112" t="s">
        <v>972</v>
      </c>
      <c r="AU112" t="s">
        <v>976</v>
      </c>
      <c r="AW112">
        <f t="shared" si="24"/>
        <v>111</v>
      </c>
      <c r="BC112">
        <f t="shared" si="25"/>
        <v>111</v>
      </c>
      <c r="BI112">
        <f t="shared" si="26"/>
        <v>111</v>
      </c>
      <c r="BO112">
        <f t="shared" si="27"/>
        <v>111</v>
      </c>
    </row>
    <row r="113" spans="13:67" ht="12.75">
      <c r="M113">
        <f t="shared" si="18"/>
        <v>112</v>
      </c>
      <c r="N113" t="s">
        <v>1364</v>
      </c>
      <c r="O113" s="331" t="s">
        <v>1798</v>
      </c>
      <c r="P113" s="331" t="s">
        <v>1839</v>
      </c>
      <c r="Q113" s="331" t="s">
        <v>1885</v>
      </c>
      <c r="S113">
        <f t="shared" si="19"/>
        <v>112</v>
      </c>
      <c r="Y113">
        <f t="shared" si="20"/>
        <v>112</v>
      </c>
      <c r="AE113">
        <f t="shared" si="21"/>
        <v>112</v>
      </c>
      <c r="AF113" t="s">
        <v>2175</v>
      </c>
      <c r="AG113" t="s">
        <v>2270</v>
      </c>
      <c r="AH113" t="s">
        <v>2271</v>
      </c>
      <c r="AI113" t="s">
        <v>2213</v>
      </c>
      <c r="AK113">
        <f t="shared" si="22"/>
        <v>112</v>
      </c>
      <c r="AQ113">
        <f t="shared" si="23"/>
        <v>112</v>
      </c>
      <c r="AR113" t="s">
        <v>979</v>
      </c>
      <c r="AS113" t="s">
        <v>2071</v>
      </c>
      <c r="AT113" t="s">
        <v>969</v>
      </c>
      <c r="AU113" t="s">
        <v>2288</v>
      </c>
      <c r="AW113">
        <f t="shared" si="24"/>
        <v>112</v>
      </c>
      <c r="BC113">
        <f t="shared" si="25"/>
        <v>112</v>
      </c>
      <c r="BI113">
        <f t="shared" si="26"/>
        <v>112</v>
      </c>
      <c r="BO113">
        <f t="shared" si="27"/>
        <v>112</v>
      </c>
    </row>
    <row r="114" spans="13:67" ht="12.75">
      <c r="M114">
        <f t="shared" si="18"/>
        <v>113</v>
      </c>
      <c r="N114" t="s">
        <v>1762</v>
      </c>
      <c r="O114" s="331" t="s">
        <v>1799</v>
      </c>
      <c r="P114" s="331" t="s">
        <v>1852</v>
      </c>
      <c r="Q114" s="331" t="s">
        <v>1900</v>
      </c>
      <c r="S114">
        <f t="shared" si="19"/>
        <v>113</v>
      </c>
      <c r="Y114">
        <f t="shared" si="20"/>
        <v>113</v>
      </c>
      <c r="AE114">
        <f t="shared" si="21"/>
        <v>113</v>
      </c>
      <c r="AF114" t="s">
        <v>2176</v>
      </c>
      <c r="AG114" t="s">
        <v>2209</v>
      </c>
      <c r="AH114" t="s">
        <v>2211</v>
      </c>
      <c r="AI114" t="s">
        <v>2214</v>
      </c>
      <c r="AK114">
        <f t="shared" si="22"/>
        <v>113</v>
      </c>
      <c r="AQ114">
        <f t="shared" si="23"/>
        <v>113</v>
      </c>
      <c r="AR114" t="s">
        <v>2292</v>
      </c>
      <c r="AS114" t="s">
        <v>2289</v>
      </c>
      <c r="AT114" t="s">
        <v>2290</v>
      </c>
      <c r="AU114" t="s">
        <v>2291</v>
      </c>
      <c r="AW114">
        <f t="shared" si="24"/>
        <v>113</v>
      </c>
      <c r="BC114">
        <f t="shared" si="25"/>
        <v>113</v>
      </c>
      <c r="BI114">
        <f t="shared" si="26"/>
        <v>113</v>
      </c>
      <c r="BO114">
        <f t="shared" si="27"/>
        <v>113</v>
      </c>
    </row>
    <row r="115" spans="13:67" ht="12.75">
      <c r="M115">
        <f t="shared" si="18"/>
        <v>114</v>
      </c>
      <c r="N115" t="s">
        <v>1762</v>
      </c>
      <c r="O115" s="331" t="s">
        <v>1799</v>
      </c>
      <c r="P115" s="331" t="s">
        <v>1852</v>
      </c>
      <c r="Q115" s="331" t="s">
        <v>1900</v>
      </c>
      <c r="S115">
        <f t="shared" si="19"/>
        <v>114</v>
      </c>
      <c r="Y115">
        <f t="shared" si="20"/>
        <v>114</v>
      </c>
      <c r="AE115">
        <f t="shared" si="21"/>
        <v>114</v>
      </c>
      <c r="AF115" t="s">
        <v>2177</v>
      </c>
      <c r="AG115" t="s">
        <v>2272</v>
      </c>
      <c r="AH115" t="s">
        <v>2273</v>
      </c>
      <c r="AI115" t="s">
        <v>2215</v>
      </c>
      <c r="AK115">
        <f t="shared" si="22"/>
        <v>114</v>
      </c>
      <c r="AQ115">
        <f t="shared" si="23"/>
        <v>114</v>
      </c>
      <c r="AR115" t="s">
        <v>980</v>
      </c>
      <c r="AS115" t="s">
        <v>983</v>
      </c>
      <c r="AT115" t="s">
        <v>970</v>
      </c>
      <c r="AU115" t="s">
        <v>974</v>
      </c>
      <c r="AW115">
        <f t="shared" si="24"/>
        <v>114</v>
      </c>
      <c r="BC115">
        <f t="shared" si="25"/>
        <v>114</v>
      </c>
      <c r="BI115">
        <f t="shared" si="26"/>
        <v>114</v>
      </c>
      <c r="BO115">
        <f t="shared" si="27"/>
        <v>114</v>
      </c>
    </row>
    <row r="116" spans="13:67" ht="12.75">
      <c r="M116">
        <f t="shared" si="18"/>
        <v>115</v>
      </c>
      <c r="N116" t="s">
        <v>1366</v>
      </c>
      <c r="O116" s="331" t="s">
        <v>2072</v>
      </c>
      <c r="P116" s="331" t="s">
        <v>2073</v>
      </c>
      <c r="Q116" s="331" t="s">
        <v>1886</v>
      </c>
      <c r="S116">
        <f t="shared" si="19"/>
        <v>115</v>
      </c>
      <c r="Y116">
        <f t="shared" si="20"/>
        <v>115</v>
      </c>
      <c r="AE116">
        <f t="shared" si="21"/>
        <v>115</v>
      </c>
      <c r="AF116" t="s">
        <v>2171</v>
      </c>
      <c r="AG116" t="s">
        <v>2182</v>
      </c>
      <c r="AH116" t="s">
        <v>2183</v>
      </c>
      <c r="AI116" t="s">
        <v>2183</v>
      </c>
      <c r="AK116">
        <f t="shared" si="22"/>
        <v>115</v>
      </c>
      <c r="AQ116">
        <f t="shared" si="23"/>
        <v>115</v>
      </c>
      <c r="AR116" t="s">
        <v>981</v>
      </c>
      <c r="AS116" t="s">
        <v>982</v>
      </c>
      <c r="AT116" t="s">
        <v>971</v>
      </c>
      <c r="AU116" t="s">
        <v>975</v>
      </c>
      <c r="AW116">
        <f t="shared" si="24"/>
        <v>115</v>
      </c>
      <c r="BC116">
        <f t="shared" si="25"/>
        <v>115</v>
      </c>
      <c r="BI116">
        <f t="shared" si="26"/>
        <v>115</v>
      </c>
      <c r="BO116">
        <f t="shared" si="27"/>
        <v>115</v>
      </c>
    </row>
    <row r="117" spans="13:67" ht="12.75">
      <c r="M117">
        <f t="shared" si="18"/>
        <v>116</v>
      </c>
      <c r="N117" t="s">
        <v>1367</v>
      </c>
      <c r="O117" s="331" t="s">
        <v>1800</v>
      </c>
      <c r="P117" s="331" t="s">
        <v>1840</v>
      </c>
      <c r="Q117" s="331" t="s">
        <v>1887</v>
      </c>
      <c r="S117">
        <f t="shared" si="19"/>
        <v>116</v>
      </c>
      <c r="Y117">
        <f t="shared" si="20"/>
        <v>116</v>
      </c>
      <c r="AE117">
        <f t="shared" si="21"/>
        <v>116</v>
      </c>
      <c r="AF117" t="s">
        <v>2170</v>
      </c>
      <c r="AG117" t="s">
        <v>2184</v>
      </c>
      <c r="AH117" t="s">
        <v>2185</v>
      </c>
      <c r="AI117" t="s">
        <v>2186</v>
      </c>
      <c r="AK117">
        <f t="shared" si="22"/>
        <v>116</v>
      </c>
      <c r="AQ117">
        <f t="shared" si="23"/>
        <v>116</v>
      </c>
      <c r="AW117">
        <f t="shared" si="24"/>
        <v>116</v>
      </c>
      <c r="BC117">
        <f t="shared" si="25"/>
        <v>116</v>
      </c>
      <c r="BI117">
        <f t="shared" si="26"/>
        <v>116</v>
      </c>
      <c r="BO117">
        <f t="shared" si="27"/>
        <v>116</v>
      </c>
    </row>
    <row r="118" spans="13:67" ht="12.75">
      <c r="M118">
        <f t="shared" si="18"/>
        <v>117</v>
      </c>
      <c r="N118" t="s">
        <v>1368</v>
      </c>
      <c r="O118" s="331" t="s">
        <v>1801</v>
      </c>
      <c r="P118" s="331" t="s">
        <v>1841</v>
      </c>
      <c r="Q118" s="331" t="s">
        <v>1888</v>
      </c>
      <c r="S118">
        <f t="shared" si="19"/>
        <v>117</v>
      </c>
      <c r="Y118">
        <f t="shared" si="20"/>
        <v>117</v>
      </c>
      <c r="AE118">
        <f t="shared" si="21"/>
        <v>117</v>
      </c>
      <c r="AF118" t="s">
        <v>794</v>
      </c>
      <c r="AG118" t="s">
        <v>1139</v>
      </c>
      <c r="AH118" t="s">
        <v>1168</v>
      </c>
      <c r="AI118" t="s">
        <v>1197</v>
      </c>
      <c r="AK118">
        <f t="shared" si="22"/>
        <v>117</v>
      </c>
      <c r="AQ118">
        <f t="shared" si="23"/>
        <v>117</v>
      </c>
      <c r="AW118">
        <f t="shared" si="24"/>
        <v>117</v>
      </c>
      <c r="BC118">
        <f t="shared" si="25"/>
        <v>117</v>
      </c>
      <c r="BI118">
        <f t="shared" si="26"/>
        <v>117</v>
      </c>
      <c r="BO118">
        <f t="shared" si="27"/>
        <v>117</v>
      </c>
    </row>
    <row r="119" spans="13:67" ht="12.75">
      <c r="M119">
        <f t="shared" si="18"/>
        <v>118</v>
      </c>
      <c r="N119" t="s">
        <v>1369</v>
      </c>
      <c r="O119" s="331" t="s">
        <v>2074</v>
      </c>
      <c r="P119" s="331" t="s">
        <v>1842</v>
      </c>
      <c r="Q119" s="331" t="s">
        <v>1889</v>
      </c>
      <c r="S119">
        <f t="shared" si="19"/>
        <v>118</v>
      </c>
      <c r="Y119">
        <f t="shared" si="20"/>
        <v>118</v>
      </c>
      <c r="AE119">
        <f t="shared" si="21"/>
        <v>118</v>
      </c>
      <c r="AF119" t="s">
        <v>1147</v>
      </c>
      <c r="AG119" t="s">
        <v>1153</v>
      </c>
      <c r="AH119" t="s">
        <v>1172</v>
      </c>
      <c r="AI119" t="s">
        <v>1200</v>
      </c>
      <c r="AK119">
        <f t="shared" si="22"/>
        <v>118</v>
      </c>
      <c r="AQ119">
        <f t="shared" si="23"/>
        <v>118</v>
      </c>
      <c r="AW119">
        <f t="shared" si="24"/>
        <v>118</v>
      </c>
      <c r="BC119">
        <f t="shared" si="25"/>
        <v>118</v>
      </c>
      <c r="BI119">
        <f t="shared" si="26"/>
        <v>118</v>
      </c>
      <c r="BO119">
        <f t="shared" si="27"/>
        <v>118</v>
      </c>
    </row>
    <row r="120" spans="13:67" ht="12.75">
      <c r="M120">
        <f t="shared" si="18"/>
        <v>119</v>
      </c>
      <c r="N120" t="s">
        <v>1370</v>
      </c>
      <c r="O120" s="331" t="s">
        <v>2075</v>
      </c>
      <c r="P120" s="331" t="s">
        <v>1843</v>
      </c>
      <c r="Q120" s="331" t="s">
        <v>1890</v>
      </c>
      <c r="S120">
        <f t="shared" si="19"/>
        <v>119</v>
      </c>
      <c r="Y120">
        <f t="shared" si="20"/>
        <v>119</v>
      </c>
      <c r="AE120">
        <f t="shared" si="21"/>
        <v>119</v>
      </c>
      <c r="AF120" t="s">
        <v>2166</v>
      </c>
      <c r="AG120" t="s">
        <v>2187</v>
      </c>
      <c r="AH120" t="s">
        <v>2188</v>
      </c>
      <c r="AI120" t="s">
        <v>2189</v>
      </c>
      <c r="AK120">
        <f t="shared" si="22"/>
        <v>119</v>
      </c>
      <c r="AQ120">
        <f t="shared" si="23"/>
        <v>119</v>
      </c>
      <c r="AW120">
        <f t="shared" si="24"/>
        <v>119</v>
      </c>
      <c r="BC120">
        <f t="shared" si="25"/>
        <v>119</v>
      </c>
      <c r="BI120">
        <f t="shared" si="26"/>
        <v>119</v>
      </c>
      <c r="BO120">
        <f t="shared" si="27"/>
        <v>119</v>
      </c>
    </row>
    <row r="121" spans="13:67" ht="12.75">
      <c r="M121">
        <f t="shared" si="18"/>
        <v>120</v>
      </c>
      <c r="N121" t="s">
        <v>1371</v>
      </c>
      <c r="O121" s="331" t="s">
        <v>1802</v>
      </c>
      <c r="P121" s="331" t="s">
        <v>1844</v>
      </c>
      <c r="Q121" s="331" t="s">
        <v>1891</v>
      </c>
      <c r="S121">
        <f t="shared" si="19"/>
        <v>120</v>
      </c>
      <c r="Y121">
        <f t="shared" si="20"/>
        <v>120</v>
      </c>
      <c r="AE121">
        <f t="shared" si="21"/>
        <v>120</v>
      </c>
      <c r="AF121" t="s">
        <v>1148</v>
      </c>
      <c r="AG121" t="s">
        <v>1154</v>
      </c>
      <c r="AH121" t="s">
        <v>1173</v>
      </c>
      <c r="AI121" t="s">
        <v>1201</v>
      </c>
      <c r="AK121">
        <f t="shared" si="22"/>
        <v>120</v>
      </c>
      <c r="AQ121">
        <f t="shared" si="23"/>
        <v>120</v>
      </c>
      <c r="AW121">
        <f t="shared" si="24"/>
        <v>120</v>
      </c>
      <c r="BC121">
        <f t="shared" si="25"/>
        <v>120</v>
      </c>
      <c r="BI121">
        <f t="shared" si="26"/>
        <v>120</v>
      </c>
      <c r="BO121">
        <f t="shared" si="27"/>
        <v>120</v>
      </c>
    </row>
    <row r="122" spans="13:67" ht="12.75">
      <c r="M122">
        <f t="shared" si="18"/>
        <v>121</v>
      </c>
      <c r="N122" t="s">
        <v>1372</v>
      </c>
      <c r="O122" s="331" t="s">
        <v>1803</v>
      </c>
      <c r="P122" s="331" t="s">
        <v>1845</v>
      </c>
      <c r="Q122" s="331" t="s">
        <v>1892</v>
      </c>
      <c r="S122">
        <f t="shared" si="19"/>
        <v>121</v>
      </c>
      <c r="Y122">
        <f t="shared" si="20"/>
        <v>121</v>
      </c>
      <c r="AE122">
        <f t="shared" si="21"/>
        <v>121</v>
      </c>
      <c r="AF122" t="s">
        <v>2168</v>
      </c>
      <c r="AG122" t="s">
        <v>2190</v>
      </c>
      <c r="AH122" t="s">
        <v>2191</v>
      </c>
      <c r="AI122" t="s">
        <v>2192</v>
      </c>
      <c r="AK122">
        <f t="shared" si="22"/>
        <v>121</v>
      </c>
      <c r="AQ122">
        <f t="shared" si="23"/>
        <v>121</v>
      </c>
      <c r="AW122">
        <f t="shared" si="24"/>
        <v>121</v>
      </c>
      <c r="BC122">
        <f t="shared" si="25"/>
        <v>121</v>
      </c>
      <c r="BI122">
        <f t="shared" si="26"/>
        <v>121</v>
      </c>
      <c r="BO122">
        <f t="shared" si="27"/>
        <v>121</v>
      </c>
    </row>
    <row r="123" spans="13:67" ht="12.75">
      <c r="M123">
        <f t="shared" si="18"/>
        <v>122</v>
      </c>
      <c r="N123" t="s">
        <v>1373</v>
      </c>
      <c r="O123" s="331" t="s">
        <v>1804</v>
      </c>
      <c r="P123" s="331" t="s">
        <v>1846</v>
      </c>
      <c r="Q123" s="331" t="s">
        <v>1893</v>
      </c>
      <c r="S123">
        <f t="shared" si="19"/>
        <v>122</v>
      </c>
      <c r="Y123">
        <f t="shared" si="20"/>
        <v>122</v>
      </c>
      <c r="AE123">
        <f t="shared" si="21"/>
        <v>122</v>
      </c>
      <c r="AF123" t="s">
        <v>1150</v>
      </c>
      <c r="AG123" t="s">
        <v>1156</v>
      </c>
      <c r="AH123" t="s">
        <v>1175</v>
      </c>
      <c r="AI123" t="s">
        <v>1156</v>
      </c>
      <c r="AK123">
        <f t="shared" si="22"/>
        <v>122</v>
      </c>
      <c r="AQ123">
        <f t="shared" si="23"/>
        <v>122</v>
      </c>
      <c r="AW123">
        <f t="shared" si="24"/>
        <v>122</v>
      </c>
      <c r="BC123">
        <f t="shared" si="25"/>
        <v>122</v>
      </c>
      <c r="BI123">
        <f t="shared" si="26"/>
        <v>122</v>
      </c>
      <c r="BO123">
        <f t="shared" si="27"/>
        <v>122</v>
      </c>
    </row>
    <row r="124" spans="13:67" ht="12.75">
      <c r="M124">
        <f t="shared" si="18"/>
        <v>123</v>
      </c>
      <c r="N124" t="s">
        <v>1374</v>
      </c>
      <c r="O124" s="331" t="s">
        <v>2076</v>
      </c>
      <c r="P124" s="331" t="s">
        <v>1847</v>
      </c>
      <c r="Q124" s="331" t="s">
        <v>1894</v>
      </c>
      <c r="S124">
        <f t="shared" si="19"/>
        <v>123</v>
      </c>
      <c r="Y124">
        <f t="shared" si="20"/>
        <v>123</v>
      </c>
      <c r="AE124">
        <f t="shared" si="21"/>
        <v>123</v>
      </c>
      <c r="AF124" t="s">
        <v>2174</v>
      </c>
      <c r="AG124" t="s">
        <v>2193</v>
      </c>
      <c r="AH124" t="s">
        <v>2194</v>
      </c>
      <c r="AI124" t="s">
        <v>2195</v>
      </c>
      <c r="AK124">
        <f t="shared" si="22"/>
        <v>123</v>
      </c>
      <c r="AQ124">
        <f t="shared" si="23"/>
        <v>123</v>
      </c>
      <c r="AW124">
        <f t="shared" si="24"/>
        <v>123</v>
      </c>
      <c r="BC124">
        <f t="shared" si="25"/>
        <v>123</v>
      </c>
      <c r="BI124">
        <f t="shared" si="26"/>
        <v>123</v>
      </c>
      <c r="BO124">
        <f t="shared" si="27"/>
        <v>123</v>
      </c>
    </row>
    <row r="125" spans="13:67" ht="12.75">
      <c r="M125">
        <f t="shared" si="18"/>
        <v>124</v>
      </c>
      <c r="N125" t="s">
        <v>1375</v>
      </c>
      <c r="O125" s="331" t="s">
        <v>1805</v>
      </c>
      <c r="P125" s="331" t="s">
        <v>2077</v>
      </c>
      <c r="Q125" s="331" t="s">
        <v>1895</v>
      </c>
      <c r="S125">
        <f t="shared" si="19"/>
        <v>124</v>
      </c>
      <c r="Y125">
        <f t="shared" si="20"/>
        <v>124</v>
      </c>
      <c r="AE125">
        <f t="shared" si="21"/>
        <v>124</v>
      </c>
      <c r="AF125" t="s">
        <v>2173</v>
      </c>
      <c r="AG125" t="s">
        <v>2196</v>
      </c>
      <c r="AH125" t="s">
        <v>2197</v>
      </c>
      <c r="AI125" t="s">
        <v>2198</v>
      </c>
      <c r="AK125">
        <f t="shared" si="22"/>
        <v>124</v>
      </c>
      <c r="AQ125">
        <f t="shared" si="23"/>
        <v>124</v>
      </c>
      <c r="AW125">
        <f t="shared" si="24"/>
        <v>124</v>
      </c>
      <c r="BC125">
        <f t="shared" si="25"/>
        <v>124</v>
      </c>
      <c r="BI125">
        <f t="shared" si="26"/>
        <v>124</v>
      </c>
      <c r="BO125">
        <f t="shared" si="27"/>
        <v>124</v>
      </c>
    </row>
    <row r="126" spans="13:67" ht="12.75">
      <c r="M126">
        <f t="shared" si="18"/>
        <v>125</v>
      </c>
      <c r="N126" t="s">
        <v>1377</v>
      </c>
      <c r="O126" s="331" t="s">
        <v>1806</v>
      </c>
      <c r="P126" s="331" t="s">
        <v>1848</v>
      </c>
      <c r="Q126" s="331" t="s">
        <v>1896</v>
      </c>
      <c r="S126">
        <f t="shared" si="19"/>
        <v>125</v>
      </c>
      <c r="Y126">
        <f t="shared" si="20"/>
        <v>125</v>
      </c>
      <c r="AE126">
        <f t="shared" si="21"/>
        <v>125</v>
      </c>
      <c r="AF126" t="s">
        <v>1146</v>
      </c>
      <c r="AG126" t="s">
        <v>1152</v>
      </c>
      <c r="AH126" t="s">
        <v>1171</v>
      </c>
      <c r="AI126" t="s">
        <v>1199</v>
      </c>
      <c r="AK126">
        <f t="shared" si="22"/>
        <v>125</v>
      </c>
      <c r="AQ126">
        <f t="shared" si="23"/>
        <v>125</v>
      </c>
      <c r="AW126">
        <f t="shared" si="24"/>
        <v>125</v>
      </c>
      <c r="BC126">
        <f t="shared" si="25"/>
        <v>125</v>
      </c>
      <c r="BI126">
        <f t="shared" si="26"/>
        <v>125</v>
      </c>
      <c r="BO126">
        <f t="shared" si="27"/>
        <v>125</v>
      </c>
    </row>
    <row r="127" spans="13:67" ht="12.75">
      <c r="M127">
        <f t="shared" si="18"/>
        <v>126</v>
      </c>
      <c r="N127" t="s">
        <v>1378</v>
      </c>
      <c r="O127" s="331" t="s">
        <v>1807</v>
      </c>
      <c r="P127" s="331" t="s">
        <v>1849</v>
      </c>
      <c r="Q127" s="331" t="s">
        <v>1897</v>
      </c>
      <c r="S127">
        <f t="shared" si="19"/>
        <v>126</v>
      </c>
      <c r="Y127">
        <f t="shared" si="20"/>
        <v>126</v>
      </c>
      <c r="AE127">
        <f t="shared" si="21"/>
        <v>126</v>
      </c>
      <c r="AF127" t="s">
        <v>2169</v>
      </c>
      <c r="AG127" t="s">
        <v>2199</v>
      </c>
      <c r="AH127" t="s">
        <v>2200</v>
      </c>
      <c r="AI127" t="s">
        <v>2201</v>
      </c>
      <c r="AK127">
        <f t="shared" si="22"/>
        <v>126</v>
      </c>
      <c r="AQ127">
        <f t="shared" si="23"/>
        <v>126</v>
      </c>
      <c r="AW127">
        <f t="shared" si="24"/>
        <v>126</v>
      </c>
      <c r="BC127">
        <f t="shared" si="25"/>
        <v>126</v>
      </c>
      <c r="BI127">
        <f t="shared" si="26"/>
        <v>126</v>
      </c>
      <c r="BO127">
        <f t="shared" si="27"/>
        <v>126</v>
      </c>
    </row>
    <row r="128" spans="13:67" ht="12.75">
      <c r="M128">
        <f t="shared" si="18"/>
        <v>127</v>
      </c>
      <c r="O128" s="331"/>
      <c r="P128" s="331"/>
      <c r="Q128" s="331"/>
      <c r="S128">
        <f t="shared" si="19"/>
        <v>127</v>
      </c>
      <c r="Y128">
        <f t="shared" si="20"/>
        <v>127</v>
      </c>
      <c r="AE128">
        <f t="shared" si="21"/>
        <v>127</v>
      </c>
      <c r="AF128" t="s">
        <v>2167</v>
      </c>
      <c r="AG128" t="s">
        <v>2202</v>
      </c>
      <c r="AH128" t="s">
        <v>2203</v>
      </c>
      <c r="AI128" t="s">
        <v>2204</v>
      </c>
      <c r="AK128">
        <f t="shared" si="22"/>
        <v>127</v>
      </c>
      <c r="AQ128">
        <f t="shared" si="23"/>
        <v>127</v>
      </c>
      <c r="AW128">
        <f t="shared" si="24"/>
        <v>127</v>
      </c>
      <c r="BC128">
        <f t="shared" si="25"/>
        <v>127</v>
      </c>
      <c r="BI128">
        <f t="shared" si="26"/>
        <v>127</v>
      </c>
      <c r="BO128">
        <f t="shared" si="27"/>
        <v>127</v>
      </c>
    </row>
    <row r="129" spans="13:67" ht="12.75">
      <c r="M129">
        <f t="shared" si="18"/>
        <v>128</v>
      </c>
      <c r="O129" s="331"/>
      <c r="P129" s="331"/>
      <c r="Q129" s="331"/>
      <c r="S129">
        <f t="shared" si="19"/>
        <v>128</v>
      </c>
      <c r="Y129">
        <f t="shared" si="20"/>
        <v>128</v>
      </c>
      <c r="AE129">
        <f t="shared" si="21"/>
        <v>128</v>
      </c>
      <c r="AF129" t="s">
        <v>795</v>
      </c>
      <c r="AG129" t="s">
        <v>795</v>
      </c>
      <c r="AH129" t="s">
        <v>1169</v>
      </c>
      <c r="AI129" t="s">
        <v>795</v>
      </c>
      <c r="AK129">
        <f t="shared" si="22"/>
        <v>128</v>
      </c>
      <c r="AQ129">
        <f t="shared" si="23"/>
        <v>128</v>
      </c>
      <c r="AW129">
        <f t="shared" si="24"/>
        <v>128</v>
      </c>
      <c r="BC129">
        <f t="shared" si="25"/>
        <v>128</v>
      </c>
      <c r="BI129">
        <f t="shared" si="26"/>
        <v>128</v>
      </c>
      <c r="BO129">
        <f t="shared" si="27"/>
        <v>128</v>
      </c>
    </row>
    <row r="130" spans="13:67" ht="12.75">
      <c r="M130">
        <f t="shared" si="18"/>
        <v>129</v>
      </c>
      <c r="O130" s="331"/>
      <c r="P130" s="331"/>
      <c r="Q130" s="331"/>
      <c r="S130">
        <f t="shared" si="19"/>
        <v>129</v>
      </c>
      <c r="Y130">
        <f t="shared" si="20"/>
        <v>129</v>
      </c>
      <c r="AE130">
        <f t="shared" si="21"/>
        <v>129</v>
      </c>
      <c r="AF130" t="s">
        <v>2172</v>
      </c>
      <c r="AG130" t="s">
        <v>2205</v>
      </c>
      <c r="AH130" t="s">
        <v>2206</v>
      </c>
      <c r="AI130" t="s">
        <v>2207</v>
      </c>
      <c r="AK130">
        <f t="shared" si="22"/>
        <v>129</v>
      </c>
      <c r="AQ130">
        <f t="shared" si="23"/>
        <v>129</v>
      </c>
      <c r="AW130">
        <f t="shared" si="24"/>
        <v>129</v>
      </c>
      <c r="BC130">
        <f t="shared" si="25"/>
        <v>129</v>
      </c>
      <c r="BI130">
        <f t="shared" si="26"/>
        <v>129</v>
      </c>
      <c r="BO130">
        <f t="shared" si="27"/>
        <v>129</v>
      </c>
    </row>
    <row r="131" spans="13:67" ht="12.75">
      <c r="M131">
        <f aca="true" t="shared" si="28" ref="M131:M151">ROW()-1</f>
        <v>130</v>
      </c>
      <c r="O131" s="331"/>
      <c r="P131" s="331"/>
      <c r="Q131" s="331"/>
      <c r="S131">
        <f aca="true" t="shared" si="29" ref="S131:S151">ROW()-1</f>
        <v>130</v>
      </c>
      <c r="Y131">
        <f aca="true" t="shared" si="30" ref="Y131:Y151">ROW()-1</f>
        <v>130</v>
      </c>
      <c r="AE131">
        <f aca="true" t="shared" si="31" ref="AE131:AE151">ROW()-1</f>
        <v>130</v>
      </c>
      <c r="AK131">
        <f aca="true" t="shared" si="32" ref="AK131:AK151">ROW()-1</f>
        <v>130</v>
      </c>
      <c r="AQ131">
        <f aca="true" t="shared" si="33" ref="AQ131:AQ151">ROW()-1</f>
        <v>130</v>
      </c>
      <c r="AR131" t="s">
        <v>649</v>
      </c>
      <c r="AS131" t="s">
        <v>2082</v>
      </c>
      <c r="AT131" t="s">
        <v>2083</v>
      </c>
      <c r="AU131" t="s">
        <v>652</v>
      </c>
      <c r="AW131">
        <f aca="true" t="shared" si="34" ref="AW131:AW151">ROW()-1</f>
        <v>130</v>
      </c>
      <c r="BC131">
        <f aca="true" t="shared" si="35" ref="BC131:BC151">ROW()-1</f>
        <v>130</v>
      </c>
      <c r="BI131">
        <f aca="true" t="shared" si="36" ref="BI131:BI151">ROW()-1</f>
        <v>130</v>
      </c>
      <c r="BO131">
        <f aca="true" t="shared" si="37" ref="BO131:BO151">ROW()-1</f>
        <v>130</v>
      </c>
    </row>
    <row r="132" spans="13:71" ht="12.75">
      <c r="M132">
        <f t="shared" si="28"/>
        <v>131</v>
      </c>
      <c r="N132" t="s">
        <v>1979</v>
      </c>
      <c r="O132" s="331" t="s">
        <v>1966</v>
      </c>
      <c r="P132" s="331" t="s">
        <v>1952</v>
      </c>
      <c r="Q132" s="331" t="s">
        <v>1938</v>
      </c>
      <c r="S132">
        <f t="shared" si="29"/>
        <v>131</v>
      </c>
      <c r="T132" t="s">
        <v>53</v>
      </c>
      <c r="U132" t="s">
        <v>2078</v>
      </c>
      <c r="V132" t="s">
        <v>295</v>
      </c>
      <c r="W132" t="s">
        <v>296</v>
      </c>
      <c r="Y132">
        <f t="shared" si="30"/>
        <v>131</v>
      </c>
      <c r="Z132" t="s">
        <v>82</v>
      </c>
      <c r="AA132" t="s">
        <v>2079</v>
      </c>
      <c r="AB132" t="s">
        <v>401</v>
      </c>
      <c r="AC132" t="s">
        <v>402</v>
      </c>
      <c r="AE132">
        <f t="shared" si="31"/>
        <v>131</v>
      </c>
      <c r="AK132">
        <f t="shared" si="32"/>
        <v>131</v>
      </c>
      <c r="AL132" t="s">
        <v>250</v>
      </c>
      <c r="AM132" t="s">
        <v>2081</v>
      </c>
      <c r="AN132" t="s">
        <v>436</v>
      </c>
      <c r="AO132" t="s">
        <v>442</v>
      </c>
      <c r="AQ132">
        <f t="shared" si="33"/>
        <v>131</v>
      </c>
      <c r="AR132" t="s">
        <v>650</v>
      </c>
      <c r="AS132" t="s">
        <v>2085</v>
      </c>
      <c r="AT132" t="s">
        <v>651</v>
      </c>
      <c r="AU132" t="s">
        <v>653</v>
      </c>
      <c r="AW132">
        <f t="shared" si="34"/>
        <v>131</v>
      </c>
      <c r="AX132" t="s">
        <v>701</v>
      </c>
      <c r="AY132" t="s">
        <v>827</v>
      </c>
      <c r="AZ132" t="s">
        <v>1028</v>
      </c>
      <c r="BA132" t="s">
        <v>856</v>
      </c>
      <c r="BC132">
        <f t="shared" si="35"/>
        <v>131</v>
      </c>
      <c r="BD132" t="s">
        <v>714</v>
      </c>
      <c r="BE132" t="s">
        <v>954</v>
      </c>
      <c r="BF132" t="s">
        <v>2084</v>
      </c>
      <c r="BG132" t="s">
        <v>942</v>
      </c>
      <c r="BI132">
        <f t="shared" si="36"/>
        <v>131</v>
      </c>
      <c r="BJ132" t="s">
        <v>2625</v>
      </c>
      <c r="BK132" s="331" t="s">
        <v>2626</v>
      </c>
      <c r="BL132" s="331" t="s">
        <v>2627</v>
      </c>
      <c r="BM132" s="331" t="s">
        <v>2628</v>
      </c>
      <c r="BO132">
        <f t="shared" si="37"/>
        <v>131</v>
      </c>
      <c r="BP132" t="s">
        <v>2629</v>
      </c>
      <c r="BQ132" s="331" t="s">
        <v>2798</v>
      </c>
      <c r="BR132" s="331" t="s">
        <v>2797</v>
      </c>
      <c r="BS132" s="331" t="s">
        <v>2754</v>
      </c>
    </row>
    <row r="133" spans="13:71" ht="12.75">
      <c r="M133">
        <f t="shared" si="28"/>
        <v>132</v>
      </c>
      <c r="N133" t="s">
        <v>1388</v>
      </c>
      <c r="O133" s="331" t="s">
        <v>1967</v>
      </c>
      <c r="P133" s="331" t="s">
        <v>1953</v>
      </c>
      <c r="Q133" s="331" t="s">
        <v>1939</v>
      </c>
      <c r="S133">
        <f t="shared" si="29"/>
        <v>132</v>
      </c>
      <c r="T133" t="s">
        <v>54</v>
      </c>
      <c r="U133" t="s">
        <v>297</v>
      </c>
      <c r="V133" t="s">
        <v>298</v>
      </c>
      <c r="W133" t="s">
        <v>299</v>
      </c>
      <c r="Y133">
        <f t="shared" si="30"/>
        <v>132</v>
      </c>
      <c r="Z133" t="s">
        <v>2131</v>
      </c>
      <c r="AA133" t="s">
        <v>2132</v>
      </c>
      <c r="AB133" t="s">
        <v>2133</v>
      </c>
      <c r="AC133" t="s">
        <v>2134</v>
      </c>
      <c r="AE133">
        <f t="shared" si="31"/>
        <v>132</v>
      </c>
      <c r="AK133">
        <f t="shared" si="32"/>
        <v>132</v>
      </c>
      <c r="AL133" t="s">
        <v>251</v>
      </c>
      <c r="AM133" t="s">
        <v>432</v>
      </c>
      <c r="AN133" t="s">
        <v>437</v>
      </c>
      <c r="AO133" t="s">
        <v>443</v>
      </c>
      <c r="AQ133">
        <f t="shared" si="33"/>
        <v>132</v>
      </c>
      <c r="AR133" t="s">
        <v>2725</v>
      </c>
      <c r="AS133" s="331" t="s">
        <v>2726</v>
      </c>
      <c r="AT133" s="331" t="s">
        <v>2727</v>
      </c>
      <c r="AU133" s="331" t="s">
        <v>2728</v>
      </c>
      <c r="AW133">
        <f t="shared" si="34"/>
        <v>132</v>
      </c>
      <c r="AX133" t="s">
        <v>717</v>
      </c>
      <c r="AY133" t="s">
        <v>2086</v>
      </c>
      <c r="AZ133" t="s">
        <v>2087</v>
      </c>
      <c r="BA133" t="s">
        <v>1046</v>
      </c>
      <c r="BC133">
        <f t="shared" si="35"/>
        <v>132</v>
      </c>
      <c r="BD133" t="s">
        <v>2601</v>
      </c>
      <c r="BE133" s="331" t="s">
        <v>2630</v>
      </c>
      <c r="BF133" s="331" t="s">
        <v>2631</v>
      </c>
      <c r="BG133" s="331" t="s">
        <v>2632</v>
      </c>
      <c r="BI133">
        <f t="shared" si="36"/>
        <v>132</v>
      </c>
      <c r="BJ133" t="s">
        <v>2561</v>
      </c>
      <c r="BK133" s="331" t="s">
        <v>2766</v>
      </c>
      <c r="BL133" s="331" t="s">
        <v>2782</v>
      </c>
      <c r="BM133" s="331" t="s">
        <v>2741</v>
      </c>
      <c r="BO133">
        <f t="shared" si="37"/>
        <v>132</v>
      </c>
      <c r="BP133" t="s">
        <v>2601</v>
      </c>
      <c r="BQ133" s="331" t="s">
        <v>2630</v>
      </c>
      <c r="BR133" s="331" t="s">
        <v>2631</v>
      </c>
      <c r="BS133" s="331" t="s">
        <v>2632</v>
      </c>
    </row>
    <row r="134" spans="13:71" ht="12.75">
      <c r="M134">
        <f t="shared" si="28"/>
        <v>133</v>
      </c>
      <c r="N134" t="s">
        <v>1389</v>
      </c>
      <c r="O134" s="331" t="s">
        <v>1968</v>
      </c>
      <c r="P134" s="331" t="s">
        <v>1954</v>
      </c>
      <c r="Q134" s="331" t="s">
        <v>1940</v>
      </c>
      <c r="S134">
        <f t="shared" si="29"/>
        <v>133</v>
      </c>
      <c r="T134" t="s">
        <v>55</v>
      </c>
      <c r="U134" t="s">
        <v>2088</v>
      </c>
      <c r="V134" t="s">
        <v>2089</v>
      </c>
      <c r="W134" t="s">
        <v>300</v>
      </c>
      <c r="Y134">
        <f t="shared" si="30"/>
        <v>133</v>
      </c>
      <c r="Z134" t="s">
        <v>2139</v>
      </c>
      <c r="AA134" t="s">
        <v>2140</v>
      </c>
      <c r="AB134" t="s">
        <v>2141</v>
      </c>
      <c r="AC134" t="s">
        <v>2142</v>
      </c>
      <c r="AE134">
        <f t="shared" si="31"/>
        <v>133</v>
      </c>
      <c r="AK134">
        <f t="shared" si="32"/>
        <v>133</v>
      </c>
      <c r="AL134" t="s">
        <v>252</v>
      </c>
      <c r="AM134" t="s">
        <v>433</v>
      </c>
      <c r="AN134" t="s">
        <v>438</v>
      </c>
      <c r="AO134" t="s">
        <v>444</v>
      </c>
      <c r="AQ134">
        <f t="shared" si="33"/>
        <v>133</v>
      </c>
      <c r="AR134" s="331"/>
      <c r="AS134" s="331"/>
      <c r="AT134" s="331"/>
      <c r="AU134" s="331"/>
      <c r="AW134">
        <f t="shared" si="34"/>
        <v>133</v>
      </c>
      <c r="AX134" t="s">
        <v>2637</v>
      </c>
      <c r="AY134" s="331" t="s">
        <v>2638</v>
      </c>
      <c r="AZ134" s="331" t="s">
        <v>2639</v>
      </c>
      <c r="BA134" s="331" t="s">
        <v>2640</v>
      </c>
      <c r="BC134">
        <f t="shared" si="35"/>
        <v>133</v>
      </c>
      <c r="BD134" t="s">
        <v>2614</v>
      </c>
      <c r="BE134" s="331" t="s">
        <v>2800</v>
      </c>
      <c r="BF134" s="331" t="s">
        <v>2790</v>
      </c>
      <c r="BG134" s="331" t="s">
        <v>2749</v>
      </c>
      <c r="BI134">
        <f t="shared" si="36"/>
        <v>133</v>
      </c>
      <c r="BJ134" t="s">
        <v>2623</v>
      </c>
      <c r="BK134" s="331" t="s">
        <v>2563</v>
      </c>
      <c r="BL134" s="331" t="s">
        <v>2793</v>
      </c>
      <c r="BM134" s="331" t="s">
        <v>2750</v>
      </c>
      <c r="BO134">
        <f t="shared" si="37"/>
        <v>133</v>
      </c>
      <c r="BP134" t="s">
        <v>2633</v>
      </c>
      <c r="BQ134" t="s">
        <v>2634</v>
      </c>
      <c r="BR134" t="s">
        <v>2635</v>
      </c>
      <c r="BS134" t="s">
        <v>2636</v>
      </c>
    </row>
    <row r="135" spans="13:67" ht="12.75">
      <c r="M135">
        <f t="shared" si="28"/>
        <v>134</v>
      </c>
      <c r="N135" t="s">
        <v>1390</v>
      </c>
      <c r="O135" s="331" t="s">
        <v>1969</v>
      </c>
      <c r="P135" s="331" t="s">
        <v>1955</v>
      </c>
      <c r="Q135" s="331" t="s">
        <v>1941</v>
      </c>
      <c r="S135">
        <f t="shared" si="29"/>
        <v>134</v>
      </c>
      <c r="T135" t="s">
        <v>2690</v>
      </c>
      <c r="U135" t="s">
        <v>2691</v>
      </c>
      <c r="V135" t="s">
        <v>2692</v>
      </c>
      <c r="W135" t="s">
        <v>2693</v>
      </c>
      <c r="Y135">
        <f t="shared" si="30"/>
        <v>134</v>
      </c>
      <c r="Z135" t="s">
        <v>2135</v>
      </c>
      <c r="AA135" t="s">
        <v>2136</v>
      </c>
      <c r="AB135" t="s">
        <v>2137</v>
      </c>
      <c r="AC135" t="s">
        <v>2138</v>
      </c>
      <c r="AE135">
        <f t="shared" si="31"/>
        <v>134</v>
      </c>
      <c r="AK135">
        <f t="shared" si="32"/>
        <v>134</v>
      </c>
      <c r="AL135" t="s">
        <v>253</v>
      </c>
      <c r="AM135" t="s">
        <v>2092</v>
      </c>
      <c r="AN135" t="s">
        <v>2093</v>
      </c>
      <c r="AO135" t="s">
        <v>445</v>
      </c>
      <c r="AQ135">
        <f t="shared" si="33"/>
        <v>134</v>
      </c>
      <c r="AR135" t="s">
        <v>654</v>
      </c>
      <c r="AS135" t="s">
        <v>655</v>
      </c>
      <c r="AT135" t="s">
        <v>2094</v>
      </c>
      <c r="AU135" t="s">
        <v>656</v>
      </c>
      <c r="AW135">
        <f t="shared" si="34"/>
        <v>134</v>
      </c>
      <c r="AX135" t="s">
        <v>2600</v>
      </c>
      <c r="AY135" s="331" t="s">
        <v>2801</v>
      </c>
      <c r="AZ135" s="331" t="s">
        <v>2789</v>
      </c>
      <c r="BA135" s="331" t="s">
        <v>2748</v>
      </c>
      <c r="BC135">
        <f t="shared" si="35"/>
        <v>134</v>
      </c>
      <c r="BD135" t="s">
        <v>737</v>
      </c>
      <c r="BE135" s="331" t="s">
        <v>1071</v>
      </c>
      <c r="BF135" s="331" t="s">
        <v>2095</v>
      </c>
      <c r="BG135" s="331" t="s">
        <v>1098</v>
      </c>
      <c r="BI135">
        <f t="shared" si="36"/>
        <v>134</v>
      </c>
      <c r="BJ135" t="s">
        <v>2624</v>
      </c>
      <c r="BK135" s="331" t="s">
        <v>2802</v>
      </c>
      <c r="BL135" s="331" t="s">
        <v>2794</v>
      </c>
      <c r="BM135" s="331" t="s">
        <v>2751</v>
      </c>
      <c r="BO135">
        <f t="shared" si="37"/>
        <v>134</v>
      </c>
    </row>
    <row r="136" spans="13:67" ht="12.75">
      <c r="M136">
        <f t="shared" si="28"/>
        <v>135</v>
      </c>
      <c r="N136" t="s">
        <v>1391</v>
      </c>
      <c r="O136" s="331" t="s">
        <v>1970</v>
      </c>
      <c r="P136" s="331" t="s">
        <v>1956</v>
      </c>
      <c r="Q136" s="331" t="s">
        <v>1942</v>
      </c>
      <c r="S136">
        <f t="shared" si="29"/>
        <v>135</v>
      </c>
      <c r="T136" t="s">
        <v>56</v>
      </c>
      <c r="U136" t="s">
        <v>301</v>
      </c>
      <c r="V136" t="s">
        <v>302</v>
      </c>
      <c r="W136" t="s">
        <v>303</v>
      </c>
      <c r="Y136">
        <f t="shared" si="30"/>
        <v>135</v>
      </c>
      <c r="Z136" t="s">
        <v>2648</v>
      </c>
      <c r="AA136" s="331" t="s">
        <v>2649</v>
      </c>
      <c r="AB136" s="331" t="s">
        <v>2650</v>
      </c>
      <c r="AC136" s="331" t="s">
        <v>2651</v>
      </c>
      <c r="AE136">
        <f t="shared" si="31"/>
        <v>135</v>
      </c>
      <c r="AK136">
        <f t="shared" si="32"/>
        <v>135</v>
      </c>
      <c r="AQ136">
        <f t="shared" si="33"/>
        <v>135</v>
      </c>
      <c r="AR136" t="s">
        <v>657</v>
      </c>
      <c r="AS136" t="s">
        <v>2096</v>
      </c>
      <c r="AT136" t="s">
        <v>2097</v>
      </c>
      <c r="AU136" t="s">
        <v>658</v>
      </c>
      <c r="AW136">
        <f t="shared" si="34"/>
        <v>135</v>
      </c>
      <c r="BC136">
        <f t="shared" si="35"/>
        <v>135</v>
      </c>
      <c r="BD136" s="458" t="s">
        <v>2615</v>
      </c>
      <c r="BE136" s="458" t="s">
        <v>2616</v>
      </c>
      <c r="BF136" s="458" t="s">
        <v>2617</v>
      </c>
      <c r="BG136" s="459" t="s">
        <v>2618</v>
      </c>
      <c r="BI136">
        <f t="shared" si="36"/>
        <v>135</v>
      </c>
      <c r="BJ136" t="s">
        <v>2652</v>
      </c>
      <c r="BK136" s="331" t="s">
        <v>2803</v>
      </c>
      <c r="BL136" s="331" t="s">
        <v>2795</v>
      </c>
      <c r="BM136" s="331" t="s">
        <v>2752</v>
      </c>
      <c r="BO136">
        <f t="shared" si="37"/>
        <v>135</v>
      </c>
    </row>
    <row r="137" spans="13:67" ht="12.75">
      <c r="M137">
        <f t="shared" si="28"/>
        <v>136</v>
      </c>
      <c r="N137" t="s">
        <v>1392</v>
      </c>
      <c r="O137" s="331" t="s">
        <v>1783</v>
      </c>
      <c r="P137" s="331" t="s">
        <v>1957</v>
      </c>
      <c r="Q137" s="331" t="s">
        <v>1943</v>
      </c>
      <c r="S137">
        <f t="shared" si="29"/>
        <v>136</v>
      </c>
      <c r="T137" t="s">
        <v>2299</v>
      </c>
      <c r="U137" t="s">
        <v>2300</v>
      </c>
      <c r="V137" t="s">
        <v>2301</v>
      </c>
      <c r="W137" t="s">
        <v>2302</v>
      </c>
      <c r="Y137">
        <f t="shared" si="30"/>
        <v>136</v>
      </c>
      <c r="Z137" t="s">
        <v>2593</v>
      </c>
      <c r="AA137" s="331" t="s">
        <v>2805</v>
      </c>
      <c r="AB137" s="331" t="s">
        <v>2786</v>
      </c>
      <c r="AC137" s="331" t="s">
        <v>2745</v>
      </c>
      <c r="AE137">
        <f t="shared" si="31"/>
        <v>136</v>
      </c>
      <c r="AK137">
        <f t="shared" si="32"/>
        <v>136</v>
      </c>
      <c r="AQ137">
        <f t="shared" si="33"/>
        <v>136</v>
      </c>
      <c r="AW137">
        <f t="shared" si="34"/>
        <v>136</v>
      </c>
      <c r="BC137">
        <f t="shared" si="35"/>
        <v>136</v>
      </c>
      <c r="BD137" t="s">
        <v>2602</v>
      </c>
      <c r="BE137" t="s">
        <v>2603</v>
      </c>
      <c r="BF137" t="s">
        <v>2604</v>
      </c>
      <c r="BG137" t="s">
        <v>2605</v>
      </c>
      <c r="BI137">
        <f t="shared" si="36"/>
        <v>136</v>
      </c>
      <c r="BJ137" t="s">
        <v>2653</v>
      </c>
      <c r="BK137" s="331" t="s">
        <v>2804</v>
      </c>
      <c r="BL137" s="331" t="s">
        <v>2796</v>
      </c>
      <c r="BM137" s="331" t="s">
        <v>2753</v>
      </c>
      <c r="BO137">
        <f t="shared" si="37"/>
        <v>136</v>
      </c>
    </row>
    <row r="138" spans="13:67" ht="12.75">
      <c r="M138">
        <f t="shared" si="28"/>
        <v>137</v>
      </c>
      <c r="N138" t="s">
        <v>1393</v>
      </c>
      <c r="O138" s="331" t="s">
        <v>1971</v>
      </c>
      <c r="P138" s="331" t="s">
        <v>435</v>
      </c>
      <c r="Q138" s="331" t="s">
        <v>246</v>
      </c>
      <c r="S138">
        <f t="shared" si="29"/>
        <v>137</v>
      </c>
      <c r="T138" t="s">
        <v>2360</v>
      </c>
      <c r="U138" t="s">
        <v>2361</v>
      </c>
      <c r="V138" t="s">
        <v>2362</v>
      </c>
      <c r="W138" t="s">
        <v>2363</v>
      </c>
      <c r="Y138">
        <f t="shared" si="30"/>
        <v>137</v>
      </c>
      <c r="Z138" t="s">
        <v>2143</v>
      </c>
      <c r="AA138" t="s">
        <v>2144</v>
      </c>
      <c r="AB138" t="s">
        <v>2145</v>
      </c>
      <c r="AC138" t="s">
        <v>2146</v>
      </c>
      <c r="AE138">
        <f t="shared" si="31"/>
        <v>137</v>
      </c>
      <c r="AK138">
        <f t="shared" si="32"/>
        <v>137</v>
      </c>
      <c r="AQ138">
        <f t="shared" si="33"/>
        <v>137</v>
      </c>
      <c r="AW138">
        <f t="shared" si="34"/>
        <v>137</v>
      </c>
      <c r="BC138">
        <f t="shared" si="35"/>
        <v>137</v>
      </c>
      <c r="BD138" t="s">
        <v>2606</v>
      </c>
      <c r="BE138" t="s">
        <v>2607</v>
      </c>
      <c r="BF138" t="s">
        <v>2608</v>
      </c>
      <c r="BG138" t="s">
        <v>2609</v>
      </c>
      <c r="BI138">
        <f t="shared" si="36"/>
        <v>137</v>
      </c>
      <c r="BJ138" t="s">
        <v>2654</v>
      </c>
      <c r="BK138" t="s">
        <v>2655</v>
      </c>
      <c r="BL138" s="331" t="s">
        <v>2656</v>
      </c>
      <c r="BM138" t="s">
        <v>2657</v>
      </c>
      <c r="BO138">
        <f t="shared" si="37"/>
        <v>137</v>
      </c>
    </row>
    <row r="139" spans="13:67" ht="12.75">
      <c r="M139">
        <f t="shared" si="28"/>
        <v>138</v>
      </c>
      <c r="N139" t="s">
        <v>1980</v>
      </c>
      <c r="O139" s="331" t="s">
        <v>1972</v>
      </c>
      <c r="P139" s="331" t="s">
        <v>1958</v>
      </c>
      <c r="Q139" s="331" t="s">
        <v>1944</v>
      </c>
      <c r="S139">
        <f t="shared" si="29"/>
        <v>138</v>
      </c>
      <c r="Y139">
        <f t="shared" si="30"/>
        <v>138</v>
      </c>
      <c r="Z139" t="s">
        <v>2147</v>
      </c>
      <c r="AA139" t="s">
        <v>2148</v>
      </c>
      <c r="AB139" t="s">
        <v>2149</v>
      </c>
      <c r="AC139" t="s">
        <v>2150</v>
      </c>
      <c r="AE139">
        <f t="shared" si="31"/>
        <v>138</v>
      </c>
      <c r="AK139">
        <f t="shared" si="32"/>
        <v>138</v>
      </c>
      <c r="AQ139">
        <f t="shared" si="33"/>
        <v>138</v>
      </c>
      <c r="AW139">
        <f t="shared" si="34"/>
        <v>138</v>
      </c>
      <c r="BC139">
        <f t="shared" si="35"/>
        <v>138</v>
      </c>
      <c r="BD139" t="s">
        <v>2610</v>
      </c>
      <c r="BE139" t="s">
        <v>2611</v>
      </c>
      <c r="BF139" t="s">
        <v>2612</v>
      </c>
      <c r="BG139" t="s">
        <v>2613</v>
      </c>
      <c r="BI139">
        <f t="shared" si="36"/>
        <v>138</v>
      </c>
      <c r="BL139" s="331"/>
      <c r="BO139">
        <f t="shared" si="37"/>
        <v>138</v>
      </c>
    </row>
    <row r="140" spans="13:67" ht="12.75">
      <c r="M140">
        <f t="shared" si="28"/>
        <v>139</v>
      </c>
      <c r="N140" t="s">
        <v>1394</v>
      </c>
      <c r="O140" s="331" t="s">
        <v>1973</v>
      </c>
      <c r="P140" s="331" t="s">
        <v>1959</v>
      </c>
      <c r="Q140" s="331" t="s">
        <v>1945</v>
      </c>
      <c r="S140">
        <f t="shared" si="29"/>
        <v>139</v>
      </c>
      <c r="Y140">
        <f t="shared" si="30"/>
        <v>139</v>
      </c>
      <c r="Z140" t="s">
        <v>2420</v>
      </c>
      <c r="AA140" s="331" t="s">
        <v>2421</v>
      </c>
      <c r="AB140" s="331" t="s">
        <v>2422</v>
      </c>
      <c r="AC140" s="331" t="s">
        <v>2519</v>
      </c>
      <c r="AE140">
        <f t="shared" si="31"/>
        <v>139</v>
      </c>
      <c r="AK140">
        <f t="shared" si="32"/>
        <v>139</v>
      </c>
      <c r="AQ140">
        <f t="shared" si="33"/>
        <v>139</v>
      </c>
      <c r="AW140">
        <f t="shared" si="34"/>
        <v>139</v>
      </c>
      <c r="BC140">
        <f t="shared" si="35"/>
        <v>139</v>
      </c>
      <c r="BI140">
        <f t="shared" si="36"/>
        <v>139</v>
      </c>
      <c r="BL140" s="331"/>
      <c r="BO140">
        <f t="shared" si="37"/>
        <v>139</v>
      </c>
    </row>
    <row r="141" spans="13:67" ht="12.75">
      <c r="M141">
        <f t="shared" si="28"/>
        <v>140</v>
      </c>
      <c r="N141" t="s">
        <v>1395</v>
      </c>
      <c r="O141" s="331" t="s">
        <v>1974</v>
      </c>
      <c r="P141" s="331" t="s">
        <v>1960</v>
      </c>
      <c r="Q141" s="331" t="s">
        <v>1946</v>
      </c>
      <c r="S141">
        <f t="shared" si="29"/>
        <v>140</v>
      </c>
      <c r="Y141">
        <f t="shared" si="30"/>
        <v>140</v>
      </c>
      <c r="AE141">
        <f t="shared" si="31"/>
        <v>140</v>
      </c>
      <c r="AK141">
        <f t="shared" si="32"/>
        <v>140</v>
      </c>
      <c r="AQ141">
        <f t="shared" si="33"/>
        <v>140</v>
      </c>
      <c r="AW141">
        <f t="shared" si="34"/>
        <v>140</v>
      </c>
      <c r="BC141">
        <f t="shared" si="35"/>
        <v>140</v>
      </c>
      <c r="BI141">
        <f t="shared" si="36"/>
        <v>140</v>
      </c>
      <c r="BL141" s="331"/>
      <c r="BO141">
        <f t="shared" si="37"/>
        <v>140</v>
      </c>
    </row>
    <row r="142" spans="13:71" ht="12.75">
      <c r="M142">
        <f t="shared" si="28"/>
        <v>141</v>
      </c>
      <c r="N142" t="s">
        <v>1396</v>
      </c>
      <c r="O142" s="331" t="s">
        <v>1975</v>
      </c>
      <c r="P142" s="331" t="s">
        <v>1961</v>
      </c>
      <c r="Q142" s="331" t="s">
        <v>1947</v>
      </c>
      <c r="S142">
        <f t="shared" si="29"/>
        <v>141</v>
      </c>
      <c r="T142" t="s">
        <v>70</v>
      </c>
      <c r="U142" t="s">
        <v>379</v>
      </c>
      <c r="V142" t="s">
        <v>380</v>
      </c>
      <c r="W142" t="s">
        <v>381</v>
      </c>
      <c r="Y142">
        <f t="shared" si="30"/>
        <v>141</v>
      </c>
      <c r="AE142">
        <f t="shared" si="31"/>
        <v>141</v>
      </c>
      <c r="AF142" t="s">
        <v>2239</v>
      </c>
      <c r="AG142" t="s">
        <v>2238</v>
      </c>
      <c r="AH142" t="s">
        <v>2242</v>
      </c>
      <c r="AI142" t="s">
        <v>2245</v>
      </c>
      <c r="AK142">
        <f t="shared" si="32"/>
        <v>141</v>
      </c>
      <c r="AL142" t="s">
        <v>449</v>
      </c>
      <c r="AM142" t="s">
        <v>2098</v>
      </c>
      <c r="AN142" t="s">
        <v>2099</v>
      </c>
      <c r="AO142" t="s">
        <v>450</v>
      </c>
      <c r="AQ142">
        <f t="shared" si="33"/>
        <v>141</v>
      </c>
      <c r="AR142" t="s">
        <v>986</v>
      </c>
      <c r="AS142" t="s">
        <v>2100</v>
      </c>
      <c r="AT142" t="s">
        <v>2101</v>
      </c>
      <c r="AU142" t="s">
        <v>977</v>
      </c>
      <c r="AW142">
        <f t="shared" si="34"/>
        <v>141</v>
      </c>
      <c r="AX142" t="s">
        <v>1594</v>
      </c>
      <c r="AY142" t="s">
        <v>1591</v>
      </c>
      <c r="AZ142" t="s">
        <v>1592</v>
      </c>
      <c r="BA142" t="s">
        <v>1593</v>
      </c>
      <c r="BC142">
        <f t="shared" si="35"/>
        <v>141</v>
      </c>
      <c r="BI142">
        <f t="shared" si="36"/>
        <v>141</v>
      </c>
      <c r="BJ142" t="s">
        <v>2625</v>
      </c>
      <c r="BK142" s="331" t="s">
        <v>2626</v>
      </c>
      <c r="BL142" s="331" t="s">
        <v>2627</v>
      </c>
      <c r="BM142" s="331" t="s">
        <v>2628</v>
      </c>
      <c r="BO142">
        <f t="shared" si="37"/>
        <v>141</v>
      </c>
      <c r="BP142" t="s">
        <v>2629</v>
      </c>
      <c r="BQ142" s="331" t="s">
        <v>2798</v>
      </c>
      <c r="BR142" s="331" t="s">
        <v>2797</v>
      </c>
      <c r="BS142" s="331" t="s">
        <v>2754</v>
      </c>
    </row>
    <row r="143" spans="13:71" ht="12.75">
      <c r="M143">
        <f t="shared" si="28"/>
        <v>142</v>
      </c>
      <c r="N143" t="s">
        <v>1397</v>
      </c>
      <c r="O143" s="331" t="s">
        <v>1976</v>
      </c>
      <c r="P143" s="331" t="s">
        <v>1962</v>
      </c>
      <c r="Q143" s="331" t="s">
        <v>1948</v>
      </c>
      <c r="S143">
        <f t="shared" si="29"/>
        <v>142</v>
      </c>
      <c r="T143" t="s">
        <v>71</v>
      </c>
      <c r="U143" t="s">
        <v>2102</v>
      </c>
      <c r="V143" t="s">
        <v>2103</v>
      </c>
      <c r="W143" t="s">
        <v>2104</v>
      </c>
      <c r="Y143">
        <f t="shared" si="30"/>
        <v>142</v>
      </c>
      <c r="AE143">
        <f t="shared" si="31"/>
        <v>142</v>
      </c>
      <c r="AF143" t="s">
        <v>2229</v>
      </c>
      <c r="AG143" t="s">
        <v>2235</v>
      </c>
      <c r="AH143" t="s">
        <v>2225</v>
      </c>
      <c r="AI143" t="s">
        <v>2243</v>
      </c>
      <c r="AK143">
        <f t="shared" si="32"/>
        <v>142</v>
      </c>
      <c r="AL143" t="s">
        <v>2286</v>
      </c>
      <c r="AM143" t="s">
        <v>2284</v>
      </c>
      <c r="AN143" t="s">
        <v>2282</v>
      </c>
      <c r="AO143" t="s">
        <v>2280</v>
      </c>
      <c r="AQ143">
        <f t="shared" si="33"/>
        <v>142</v>
      </c>
      <c r="AR143" t="s">
        <v>987</v>
      </c>
      <c r="AS143" t="s">
        <v>2106</v>
      </c>
      <c r="AT143" t="s">
        <v>973</v>
      </c>
      <c r="AU143" t="s">
        <v>978</v>
      </c>
      <c r="AW143">
        <f t="shared" si="34"/>
        <v>142</v>
      </c>
      <c r="AX143" t="s">
        <v>2601</v>
      </c>
      <c r="AY143" s="331" t="s">
        <v>2630</v>
      </c>
      <c r="AZ143" s="331" t="s">
        <v>2631</v>
      </c>
      <c r="BA143" s="331" t="s">
        <v>2632</v>
      </c>
      <c r="BC143">
        <f t="shared" si="35"/>
        <v>142</v>
      </c>
      <c r="BI143">
        <f t="shared" si="36"/>
        <v>142</v>
      </c>
      <c r="BJ143" t="s">
        <v>2561</v>
      </c>
      <c r="BK143" s="331" t="s">
        <v>2766</v>
      </c>
      <c r="BL143" s="331" t="s">
        <v>2782</v>
      </c>
      <c r="BM143" s="331" t="s">
        <v>2741</v>
      </c>
      <c r="BO143">
        <f t="shared" si="37"/>
        <v>142</v>
      </c>
      <c r="BP143" t="s">
        <v>2601</v>
      </c>
      <c r="BQ143" s="331" t="s">
        <v>2630</v>
      </c>
      <c r="BR143" s="331" t="s">
        <v>2631</v>
      </c>
      <c r="BS143" s="331" t="s">
        <v>2632</v>
      </c>
    </row>
    <row r="144" spans="13:71" ht="12.75">
      <c r="M144">
        <f t="shared" si="28"/>
        <v>143</v>
      </c>
      <c r="N144" t="s">
        <v>1398</v>
      </c>
      <c r="O144" s="331" t="s">
        <v>1977</v>
      </c>
      <c r="P144" s="331" t="s">
        <v>1963</v>
      </c>
      <c r="Q144" s="331" t="s">
        <v>1949</v>
      </c>
      <c r="S144">
        <f t="shared" si="29"/>
        <v>143</v>
      </c>
      <c r="T144" t="s">
        <v>2532</v>
      </c>
      <c r="U144" t="s">
        <v>2533</v>
      </c>
      <c r="V144" t="s">
        <v>2534</v>
      </c>
      <c r="W144" t="s">
        <v>2535</v>
      </c>
      <c r="Y144">
        <f t="shared" si="30"/>
        <v>143</v>
      </c>
      <c r="AE144">
        <f t="shared" si="31"/>
        <v>143</v>
      </c>
      <c r="AF144" t="s">
        <v>2230</v>
      </c>
      <c r="AG144" t="s">
        <v>2236</v>
      </c>
      <c r="AH144" t="s">
        <v>2226</v>
      </c>
      <c r="AI144" t="s">
        <v>2244</v>
      </c>
      <c r="AK144">
        <f t="shared" si="32"/>
        <v>143</v>
      </c>
      <c r="AL144" t="s">
        <v>2287</v>
      </c>
      <c r="AM144" t="s">
        <v>2285</v>
      </c>
      <c r="AN144" t="s">
        <v>2283</v>
      </c>
      <c r="AO144" t="s">
        <v>2281</v>
      </c>
      <c r="AQ144">
        <f t="shared" si="33"/>
        <v>143</v>
      </c>
      <c r="AW144">
        <f t="shared" si="34"/>
        <v>143</v>
      </c>
      <c r="BC144">
        <f t="shared" si="35"/>
        <v>143</v>
      </c>
      <c r="BI144">
        <f t="shared" si="36"/>
        <v>143</v>
      </c>
      <c r="BO144">
        <f t="shared" si="37"/>
        <v>143</v>
      </c>
      <c r="BP144" t="s">
        <v>2614</v>
      </c>
      <c r="BQ144" s="331" t="s">
        <v>2800</v>
      </c>
      <c r="BR144" s="331" t="s">
        <v>2790</v>
      </c>
      <c r="BS144" s="331" t="s">
        <v>2749</v>
      </c>
    </row>
    <row r="145" spans="13:67" ht="12.75">
      <c r="M145">
        <f t="shared" si="28"/>
        <v>144</v>
      </c>
      <c r="N145" t="s">
        <v>1399</v>
      </c>
      <c r="O145" s="331" t="s">
        <v>1978</v>
      </c>
      <c r="P145" s="331" t="s">
        <v>1964</v>
      </c>
      <c r="Q145" s="331" t="s">
        <v>1950</v>
      </c>
      <c r="S145">
        <f t="shared" si="29"/>
        <v>144</v>
      </c>
      <c r="Y145">
        <f t="shared" si="30"/>
        <v>144</v>
      </c>
      <c r="AE145">
        <f t="shared" si="31"/>
        <v>144</v>
      </c>
      <c r="AF145" t="s">
        <v>2240</v>
      </c>
      <c r="AG145" t="s">
        <v>2237</v>
      </c>
      <c r="AH145" t="s">
        <v>2241</v>
      </c>
      <c r="AI145" t="s">
        <v>2246</v>
      </c>
      <c r="AK145">
        <f t="shared" si="32"/>
        <v>144</v>
      </c>
      <c r="AQ145">
        <f t="shared" si="33"/>
        <v>144</v>
      </c>
      <c r="AW145">
        <f t="shared" si="34"/>
        <v>144</v>
      </c>
      <c r="BC145">
        <f t="shared" si="35"/>
        <v>144</v>
      </c>
      <c r="BI145">
        <f t="shared" si="36"/>
        <v>144</v>
      </c>
      <c r="BO145">
        <f t="shared" si="37"/>
        <v>144</v>
      </c>
    </row>
    <row r="146" spans="13:67" ht="12.75">
      <c r="M146">
        <f t="shared" si="28"/>
        <v>145</v>
      </c>
      <c r="N146" t="s">
        <v>1393</v>
      </c>
      <c r="O146" s="331" t="s">
        <v>1971</v>
      </c>
      <c r="P146" s="331" t="s">
        <v>435</v>
      </c>
      <c r="Q146" s="331" t="s">
        <v>246</v>
      </c>
      <c r="S146">
        <f t="shared" si="29"/>
        <v>145</v>
      </c>
      <c r="Y146">
        <f t="shared" si="30"/>
        <v>145</v>
      </c>
      <c r="AE146">
        <f t="shared" si="31"/>
        <v>145</v>
      </c>
      <c r="AF146" t="s">
        <v>2231</v>
      </c>
      <c r="AG146" t="s">
        <v>2231</v>
      </c>
      <c r="AH146" t="s">
        <v>2227</v>
      </c>
      <c r="AI146" t="s">
        <v>2231</v>
      </c>
      <c r="AK146">
        <f t="shared" si="32"/>
        <v>145</v>
      </c>
      <c r="AQ146">
        <f t="shared" si="33"/>
        <v>145</v>
      </c>
      <c r="AW146">
        <f t="shared" si="34"/>
        <v>145</v>
      </c>
      <c r="BC146">
        <f t="shared" si="35"/>
        <v>145</v>
      </c>
      <c r="BI146">
        <f t="shared" si="36"/>
        <v>145</v>
      </c>
      <c r="BO146">
        <f t="shared" si="37"/>
        <v>145</v>
      </c>
    </row>
    <row r="147" spans="13:67" ht="12.75">
      <c r="M147">
        <f t="shared" si="28"/>
        <v>146</v>
      </c>
      <c r="O147" s="331"/>
      <c r="P147" s="331"/>
      <c r="Q147" s="331"/>
      <c r="S147">
        <f t="shared" si="29"/>
        <v>146</v>
      </c>
      <c r="Y147">
        <f t="shared" si="30"/>
        <v>146</v>
      </c>
      <c r="AE147">
        <f t="shared" si="31"/>
        <v>146</v>
      </c>
      <c r="AF147" t="s">
        <v>2232</v>
      </c>
      <c r="AG147" t="s">
        <v>2232</v>
      </c>
      <c r="AH147" t="s">
        <v>2228</v>
      </c>
      <c r="AI147" t="s">
        <v>2232</v>
      </c>
      <c r="AK147">
        <f t="shared" si="32"/>
        <v>146</v>
      </c>
      <c r="AQ147">
        <f t="shared" si="33"/>
        <v>146</v>
      </c>
      <c r="AW147">
        <f t="shared" si="34"/>
        <v>146</v>
      </c>
      <c r="BC147">
        <f t="shared" si="35"/>
        <v>146</v>
      </c>
      <c r="BI147">
        <f t="shared" si="36"/>
        <v>146</v>
      </c>
      <c r="BO147">
        <f t="shared" si="37"/>
        <v>146</v>
      </c>
    </row>
    <row r="148" spans="13:67" ht="12.75">
      <c r="M148">
        <f t="shared" si="28"/>
        <v>147</v>
      </c>
      <c r="O148" s="331"/>
      <c r="P148" s="331"/>
      <c r="Q148" s="331"/>
      <c r="S148">
        <f t="shared" si="29"/>
        <v>147</v>
      </c>
      <c r="Y148">
        <f t="shared" si="30"/>
        <v>147</v>
      </c>
      <c r="AE148">
        <f t="shared" si="31"/>
        <v>147</v>
      </c>
      <c r="AK148">
        <f t="shared" si="32"/>
        <v>147</v>
      </c>
      <c r="AQ148">
        <f t="shared" si="33"/>
        <v>147</v>
      </c>
      <c r="AW148">
        <f t="shared" si="34"/>
        <v>147</v>
      </c>
      <c r="BC148">
        <f t="shared" si="35"/>
        <v>147</v>
      </c>
      <c r="BI148">
        <f t="shared" si="36"/>
        <v>147</v>
      </c>
      <c r="BO148">
        <f t="shared" si="37"/>
        <v>147</v>
      </c>
    </row>
    <row r="149" spans="13:67" ht="12.75">
      <c r="M149">
        <f t="shared" si="28"/>
        <v>148</v>
      </c>
      <c r="O149" s="331"/>
      <c r="P149" s="331"/>
      <c r="Q149" s="331"/>
      <c r="S149">
        <f t="shared" si="29"/>
        <v>148</v>
      </c>
      <c r="Y149">
        <f t="shared" si="30"/>
        <v>148</v>
      </c>
      <c r="AE149">
        <f t="shared" si="31"/>
        <v>148</v>
      </c>
      <c r="AK149">
        <f t="shared" si="32"/>
        <v>148</v>
      </c>
      <c r="AQ149">
        <f t="shared" si="33"/>
        <v>148</v>
      </c>
      <c r="AW149">
        <f t="shared" si="34"/>
        <v>148</v>
      </c>
      <c r="BC149">
        <f t="shared" si="35"/>
        <v>148</v>
      </c>
      <c r="BI149">
        <f t="shared" si="36"/>
        <v>148</v>
      </c>
      <c r="BO149">
        <f t="shared" si="37"/>
        <v>148</v>
      </c>
    </row>
    <row r="150" spans="13:67" ht="12.75">
      <c r="M150">
        <f t="shared" si="28"/>
        <v>149</v>
      </c>
      <c r="O150" s="331"/>
      <c r="P150" s="331"/>
      <c r="Q150" s="331"/>
      <c r="S150">
        <f t="shared" si="29"/>
        <v>149</v>
      </c>
      <c r="Y150">
        <f t="shared" si="30"/>
        <v>149</v>
      </c>
      <c r="AE150">
        <f t="shared" si="31"/>
        <v>149</v>
      </c>
      <c r="AK150">
        <f t="shared" si="32"/>
        <v>149</v>
      </c>
      <c r="AQ150">
        <f t="shared" si="33"/>
        <v>149</v>
      </c>
      <c r="AW150">
        <f t="shared" si="34"/>
        <v>149</v>
      </c>
      <c r="BC150">
        <f t="shared" si="35"/>
        <v>149</v>
      </c>
      <c r="BI150">
        <f t="shared" si="36"/>
        <v>149</v>
      </c>
      <c r="BO150">
        <f t="shared" si="37"/>
        <v>149</v>
      </c>
    </row>
    <row r="151" spans="13:67" ht="12.75">
      <c r="M151">
        <f t="shared" si="28"/>
        <v>150</v>
      </c>
      <c r="O151" s="331"/>
      <c r="P151" s="331"/>
      <c r="Q151" s="331"/>
      <c r="S151">
        <f t="shared" si="29"/>
        <v>150</v>
      </c>
      <c r="Y151">
        <f t="shared" si="30"/>
        <v>150</v>
      </c>
      <c r="AE151">
        <f t="shared" si="31"/>
        <v>150</v>
      </c>
      <c r="AK151">
        <f t="shared" si="32"/>
        <v>150</v>
      </c>
      <c r="AQ151">
        <f t="shared" si="33"/>
        <v>150</v>
      </c>
      <c r="AW151">
        <f t="shared" si="34"/>
        <v>150</v>
      </c>
      <c r="BC151">
        <f t="shared" si="35"/>
        <v>150</v>
      </c>
      <c r="BI151">
        <f t="shared" si="36"/>
        <v>150</v>
      </c>
      <c r="BO151">
        <f t="shared" si="37"/>
        <v>150</v>
      </c>
    </row>
    <row r="152" spans="13:53" ht="12.75">
      <c r="M152">
        <f aca="true" t="shared" si="38" ref="M152:M183">ROW()-1</f>
        <v>151</v>
      </c>
      <c r="N152" t="s">
        <v>700</v>
      </c>
      <c r="O152" s="331" t="s">
        <v>810</v>
      </c>
      <c r="P152" s="331" t="s">
        <v>809</v>
      </c>
      <c r="Q152" s="331" t="s">
        <v>1981</v>
      </c>
      <c r="S152">
        <f>ROW()-1</f>
        <v>151</v>
      </c>
      <c r="T152" t="s">
        <v>1234</v>
      </c>
      <c r="U152" t="s">
        <v>2107</v>
      </c>
      <c r="V152" t="s">
        <v>2108</v>
      </c>
      <c r="W152" t="s">
        <v>1277</v>
      </c>
      <c r="AE152">
        <f aca="true" t="shared" si="39" ref="AE152:AE183">ROW()-1</f>
        <v>151</v>
      </c>
      <c r="AF152" t="s">
        <v>2249</v>
      </c>
      <c r="AG152" t="s">
        <v>2274</v>
      </c>
      <c r="AH152" t="s">
        <v>2252</v>
      </c>
      <c r="AI152" t="s">
        <v>2248</v>
      </c>
      <c r="AW152">
        <f>ROW()-1</f>
        <v>151</v>
      </c>
      <c r="AX152" t="s">
        <v>1463</v>
      </c>
      <c r="AY152" t="s">
        <v>2109</v>
      </c>
      <c r="AZ152" t="s">
        <v>1613</v>
      </c>
      <c r="BA152" t="s">
        <v>1615</v>
      </c>
    </row>
    <row r="153" spans="13:53" ht="12.75">
      <c r="M153">
        <f t="shared" si="38"/>
        <v>152</v>
      </c>
      <c r="N153" t="s">
        <v>1468</v>
      </c>
      <c r="O153" s="331" t="s">
        <v>1985</v>
      </c>
      <c r="P153" s="331" t="s">
        <v>1982</v>
      </c>
      <c r="Q153" s="331" t="s">
        <v>1985</v>
      </c>
      <c r="S153">
        <f aca="true" t="shared" si="40" ref="S153:S160">ROW()-1</f>
        <v>152</v>
      </c>
      <c r="T153" t="s">
        <v>1235</v>
      </c>
      <c r="U153" t="s">
        <v>1249</v>
      </c>
      <c r="V153" t="s">
        <v>1264</v>
      </c>
      <c r="W153" t="s">
        <v>1278</v>
      </c>
      <c r="AE153">
        <f t="shared" si="39"/>
        <v>152</v>
      </c>
      <c r="AF153" s="331" t="s">
        <v>2357</v>
      </c>
      <c r="AG153" s="331" t="s">
        <v>2250</v>
      </c>
      <c r="AH153" s="331" t="s">
        <v>2253</v>
      </c>
      <c r="AI153" s="331" t="s">
        <v>2423</v>
      </c>
      <c r="AW153">
        <f>ROW()-1</f>
        <v>152</v>
      </c>
      <c r="AX153" t="s">
        <v>1611</v>
      </c>
      <c r="AY153" t="s">
        <v>2110</v>
      </c>
      <c r="AZ153" t="s">
        <v>1614</v>
      </c>
      <c r="BA153" t="s">
        <v>1616</v>
      </c>
    </row>
    <row r="154" spans="13:53" ht="12.75">
      <c r="M154">
        <f t="shared" si="38"/>
        <v>153</v>
      </c>
      <c r="N154" t="s">
        <v>1469</v>
      </c>
      <c r="O154" s="331" t="s">
        <v>1986</v>
      </c>
      <c r="P154" s="331" t="s">
        <v>1983</v>
      </c>
      <c r="Q154" s="331" t="s">
        <v>1984</v>
      </c>
      <c r="S154">
        <f t="shared" si="40"/>
        <v>153</v>
      </c>
      <c r="T154" t="s">
        <v>1236</v>
      </c>
      <c r="U154" t="s">
        <v>1250</v>
      </c>
      <c r="V154" t="s">
        <v>1265</v>
      </c>
      <c r="W154" t="s">
        <v>1279</v>
      </c>
      <c r="AE154">
        <f t="shared" si="39"/>
        <v>153</v>
      </c>
      <c r="AF154" s="331" t="s">
        <v>2358</v>
      </c>
      <c r="AG154" s="331" t="s">
        <v>2251</v>
      </c>
      <c r="AH154" s="331" t="s">
        <v>2254</v>
      </c>
      <c r="AI154" s="331" t="s">
        <v>2424</v>
      </c>
      <c r="AW154">
        <f>ROW()-1</f>
        <v>153</v>
      </c>
      <c r="AX154" t="s">
        <v>736</v>
      </c>
      <c r="AY154" t="s">
        <v>2090</v>
      </c>
      <c r="AZ154" t="s">
        <v>2091</v>
      </c>
      <c r="BA154" t="s">
        <v>1097</v>
      </c>
    </row>
    <row r="155" spans="13:49" ht="12.75">
      <c r="M155">
        <f t="shared" si="38"/>
        <v>154</v>
      </c>
      <c r="N155" t="s">
        <v>686</v>
      </c>
      <c r="O155" s="331" t="s">
        <v>826</v>
      </c>
      <c r="P155" s="331" t="s">
        <v>829</v>
      </c>
      <c r="Q155" s="331" t="s">
        <v>845</v>
      </c>
      <c r="S155">
        <f t="shared" si="40"/>
        <v>154</v>
      </c>
      <c r="T155" t="s">
        <v>1237</v>
      </c>
      <c r="U155" t="s">
        <v>1251</v>
      </c>
      <c r="V155" t="s">
        <v>2111</v>
      </c>
      <c r="W155" t="s">
        <v>1280</v>
      </c>
      <c r="AE155">
        <f t="shared" si="39"/>
        <v>154</v>
      </c>
      <c r="AW155">
        <f>ROW()-1</f>
        <v>154</v>
      </c>
    </row>
    <row r="156" spans="13:49" ht="12.75">
      <c r="M156">
        <f t="shared" si="38"/>
        <v>155</v>
      </c>
      <c r="N156" t="s">
        <v>1464</v>
      </c>
      <c r="O156" s="331" t="s">
        <v>1466</v>
      </c>
      <c r="P156" s="331" t="s">
        <v>1467</v>
      </c>
      <c r="Q156" s="331" t="s">
        <v>1465</v>
      </c>
      <c r="S156">
        <f t="shared" si="40"/>
        <v>155</v>
      </c>
      <c r="T156" t="s">
        <v>1238</v>
      </c>
      <c r="U156" t="s">
        <v>1252</v>
      </c>
      <c r="V156" t="s">
        <v>2112</v>
      </c>
      <c r="W156" t="s">
        <v>1281</v>
      </c>
      <c r="AE156">
        <f t="shared" si="39"/>
        <v>155</v>
      </c>
      <c r="AW156">
        <f>ROW()-1</f>
        <v>155</v>
      </c>
    </row>
    <row r="157" spans="13:31" ht="12.75">
      <c r="M157">
        <f t="shared" si="38"/>
        <v>156</v>
      </c>
      <c r="N157" t="s">
        <v>858</v>
      </c>
      <c r="O157" s="331" t="s">
        <v>859</v>
      </c>
      <c r="P157" s="331" t="s">
        <v>830</v>
      </c>
      <c r="Q157" s="331" t="s">
        <v>860</v>
      </c>
      <c r="S157">
        <f t="shared" si="40"/>
        <v>156</v>
      </c>
      <c r="T157" t="s">
        <v>2305</v>
      </c>
      <c r="U157" t="s">
        <v>2306</v>
      </c>
      <c r="V157" t="s">
        <v>2307</v>
      </c>
      <c r="W157" t="s">
        <v>2308</v>
      </c>
      <c r="AE157">
        <f t="shared" si="39"/>
        <v>156</v>
      </c>
    </row>
    <row r="158" spans="13:31" ht="12.75">
      <c r="M158">
        <f t="shared" si="38"/>
        <v>157</v>
      </c>
      <c r="N158" t="s">
        <v>688</v>
      </c>
      <c r="O158" s="331" t="s">
        <v>816</v>
      </c>
      <c r="P158" s="331" t="s">
        <v>831</v>
      </c>
      <c r="Q158" s="331" t="s">
        <v>846</v>
      </c>
      <c r="S158">
        <f t="shared" si="40"/>
        <v>157</v>
      </c>
      <c r="T158" t="s">
        <v>2309</v>
      </c>
      <c r="U158" t="s">
        <v>2310</v>
      </c>
      <c r="V158" t="s">
        <v>2311</v>
      </c>
      <c r="W158" t="s">
        <v>2312</v>
      </c>
      <c r="AE158">
        <f t="shared" si="39"/>
        <v>157</v>
      </c>
    </row>
    <row r="159" spans="13:31" ht="12.75">
      <c r="M159">
        <f t="shared" si="38"/>
        <v>158</v>
      </c>
      <c r="N159" t="s">
        <v>689</v>
      </c>
      <c r="O159" s="331" t="s">
        <v>817</v>
      </c>
      <c r="P159" s="331" t="s">
        <v>832</v>
      </c>
      <c r="Q159" s="331" t="s">
        <v>847</v>
      </c>
      <c r="S159">
        <f t="shared" si="40"/>
        <v>158</v>
      </c>
      <c r="T159" t="s">
        <v>2368</v>
      </c>
      <c r="U159" t="s">
        <v>2369</v>
      </c>
      <c r="V159" t="s">
        <v>2370</v>
      </c>
      <c r="W159" t="s">
        <v>2371</v>
      </c>
      <c r="AE159">
        <f t="shared" si="39"/>
        <v>158</v>
      </c>
    </row>
    <row r="160" spans="13:31" ht="12.75">
      <c r="M160">
        <f t="shared" si="38"/>
        <v>159</v>
      </c>
      <c r="N160" t="s">
        <v>690</v>
      </c>
      <c r="O160" s="331" t="s">
        <v>818</v>
      </c>
      <c r="P160" s="331" t="s">
        <v>833</v>
      </c>
      <c r="Q160" s="331" t="s">
        <v>848</v>
      </c>
      <c r="S160">
        <f t="shared" si="40"/>
        <v>159</v>
      </c>
      <c r="T160" t="s">
        <v>2372</v>
      </c>
      <c r="U160" t="s">
        <v>2373</v>
      </c>
      <c r="V160" t="s">
        <v>2374</v>
      </c>
      <c r="W160" t="s">
        <v>2375</v>
      </c>
      <c r="AE160">
        <f t="shared" si="39"/>
        <v>159</v>
      </c>
    </row>
    <row r="161" spans="13:31" ht="12.75">
      <c r="M161">
        <f t="shared" si="38"/>
        <v>160</v>
      </c>
      <c r="N161" t="s">
        <v>513</v>
      </c>
      <c r="O161" s="331" t="s">
        <v>544</v>
      </c>
      <c r="P161" s="331" t="s">
        <v>834</v>
      </c>
      <c r="Q161" s="331" t="s">
        <v>603</v>
      </c>
      <c r="AE161">
        <f t="shared" si="39"/>
        <v>160</v>
      </c>
    </row>
    <row r="162" spans="13:35" ht="12.75">
      <c r="M162">
        <f t="shared" si="38"/>
        <v>161</v>
      </c>
      <c r="N162" t="s">
        <v>691</v>
      </c>
      <c r="O162" s="331" t="s">
        <v>545</v>
      </c>
      <c r="P162" s="331" t="s">
        <v>835</v>
      </c>
      <c r="Q162" s="331" t="s">
        <v>849</v>
      </c>
      <c r="AE162">
        <f t="shared" si="39"/>
        <v>161</v>
      </c>
      <c r="AF162" t="s">
        <v>2257</v>
      </c>
      <c r="AG162" t="s">
        <v>2260</v>
      </c>
      <c r="AH162" t="s">
        <v>2263</v>
      </c>
      <c r="AI162" t="s">
        <v>2267</v>
      </c>
    </row>
    <row r="163" spans="13:35" ht="12.75">
      <c r="M163">
        <f t="shared" si="38"/>
        <v>162</v>
      </c>
      <c r="N163" t="s">
        <v>692</v>
      </c>
      <c r="O163" s="331" t="s">
        <v>331</v>
      </c>
      <c r="P163" s="331" t="s">
        <v>836</v>
      </c>
      <c r="Q163" s="331" t="s">
        <v>333</v>
      </c>
      <c r="AE163">
        <f t="shared" si="39"/>
        <v>162</v>
      </c>
      <c r="AF163" t="s">
        <v>2255</v>
      </c>
      <c r="AG163" t="s">
        <v>2259</v>
      </c>
      <c r="AH163" t="s">
        <v>2264</v>
      </c>
      <c r="AI163" t="s">
        <v>2266</v>
      </c>
    </row>
    <row r="164" spans="13:35" ht="12.75">
      <c r="M164">
        <f t="shared" si="38"/>
        <v>163</v>
      </c>
      <c r="N164" t="s">
        <v>693</v>
      </c>
      <c r="O164" s="331" t="s">
        <v>819</v>
      </c>
      <c r="P164" s="331" t="s">
        <v>837</v>
      </c>
      <c r="Q164" s="331" t="s">
        <v>850</v>
      </c>
      <c r="AE164">
        <f t="shared" si="39"/>
        <v>163</v>
      </c>
      <c r="AF164" t="s">
        <v>2258</v>
      </c>
      <c r="AG164" t="s">
        <v>2261</v>
      </c>
      <c r="AH164" t="s">
        <v>2265</v>
      </c>
      <c r="AI164" t="s">
        <v>2268</v>
      </c>
    </row>
    <row r="165" spans="13:31" ht="12.75">
      <c r="M165">
        <f t="shared" si="38"/>
        <v>164</v>
      </c>
      <c r="N165" t="s">
        <v>694</v>
      </c>
      <c r="O165" s="331" t="s">
        <v>820</v>
      </c>
      <c r="P165" s="331" t="s">
        <v>838</v>
      </c>
      <c r="Q165" s="331" t="s">
        <v>851</v>
      </c>
      <c r="AE165">
        <f t="shared" si="39"/>
        <v>164</v>
      </c>
    </row>
    <row r="166" spans="13:31" ht="12.75">
      <c r="M166">
        <f t="shared" si="38"/>
        <v>165</v>
      </c>
      <c r="N166" t="s">
        <v>692</v>
      </c>
      <c r="O166" s="331" t="s">
        <v>331</v>
      </c>
      <c r="P166" s="331" t="s">
        <v>836</v>
      </c>
      <c r="Q166" s="331" t="s">
        <v>333</v>
      </c>
      <c r="AE166">
        <f t="shared" si="39"/>
        <v>165</v>
      </c>
    </row>
    <row r="167" spans="13:31" ht="12.75">
      <c r="M167">
        <f t="shared" si="38"/>
        <v>166</v>
      </c>
      <c r="N167" t="s">
        <v>695</v>
      </c>
      <c r="O167" s="331" t="s">
        <v>695</v>
      </c>
      <c r="P167" s="331" t="s">
        <v>695</v>
      </c>
      <c r="Q167" s="331" t="s">
        <v>695</v>
      </c>
      <c r="AE167">
        <f t="shared" si="39"/>
        <v>166</v>
      </c>
    </row>
    <row r="168" spans="13:31" ht="12.75">
      <c r="M168">
        <f t="shared" si="38"/>
        <v>167</v>
      </c>
      <c r="N168" t="s">
        <v>696</v>
      </c>
      <c r="O168" s="331" t="s">
        <v>821</v>
      </c>
      <c r="P168" s="331" t="s">
        <v>839</v>
      </c>
      <c r="Q168" s="331" t="s">
        <v>852</v>
      </c>
      <c r="AE168">
        <f t="shared" si="39"/>
        <v>167</v>
      </c>
    </row>
    <row r="169" spans="13:31" ht="12.75">
      <c r="M169">
        <f t="shared" si="38"/>
        <v>168</v>
      </c>
      <c r="N169" t="s">
        <v>861</v>
      </c>
      <c r="O169" s="331" t="s">
        <v>822</v>
      </c>
      <c r="P169" s="331" t="s">
        <v>840</v>
      </c>
      <c r="Q169" s="331" t="s">
        <v>862</v>
      </c>
      <c r="AE169">
        <f t="shared" si="39"/>
        <v>168</v>
      </c>
    </row>
    <row r="170" spans="13:31" ht="12.75">
      <c r="M170">
        <f t="shared" si="38"/>
        <v>169</v>
      </c>
      <c r="N170" t="s">
        <v>697</v>
      </c>
      <c r="O170" s="331" t="s">
        <v>823</v>
      </c>
      <c r="P170" s="331" t="s">
        <v>841</v>
      </c>
      <c r="Q170" s="331" t="s">
        <v>853</v>
      </c>
      <c r="AE170">
        <f t="shared" si="39"/>
        <v>169</v>
      </c>
    </row>
    <row r="171" spans="13:31" ht="12.75">
      <c r="M171">
        <f t="shared" si="38"/>
        <v>170</v>
      </c>
      <c r="N171" t="s">
        <v>692</v>
      </c>
      <c r="O171" s="331" t="s">
        <v>331</v>
      </c>
      <c r="P171" s="331" t="s">
        <v>836</v>
      </c>
      <c r="Q171" s="331" t="s">
        <v>333</v>
      </c>
      <c r="AE171">
        <f t="shared" si="39"/>
        <v>170</v>
      </c>
    </row>
    <row r="172" spans="13:31" ht="12.75">
      <c r="M172">
        <f t="shared" si="38"/>
        <v>171</v>
      </c>
      <c r="N172" t="s">
        <v>698</v>
      </c>
      <c r="O172" s="331" t="s">
        <v>824</v>
      </c>
      <c r="P172" s="331" t="s">
        <v>842</v>
      </c>
      <c r="Q172" s="331" t="s">
        <v>854</v>
      </c>
      <c r="AE172">
        <f t="shared" si="39"/>
        <v>171</v>
      </c>
    </row>
    <row r="173" spans="13:31" ht="12.75">
      <c r="M173">
        <f t="shared" si="38"/>
        <v>172</v>
      </c>
      <c r="N173" t="s">
        <v>699</v>
      </c>
      <c r="O173" s="331" t="s">
        <v>825</v>
      </c>
      <c r="P173" s="331" t="s">
        <v>843</v>
      </c>
      <c r="Q173" s="331" t="s">
        <v>855</v>
      </c>
      <c r="AE173">
        <f t="shared" si="39"/>
        <v>172</v>
      </c>
    </row>
    <row r="174" spans="13:31" ht="12.75">
      <c r="M174">
        <f t="shared" si="38"/>
        <v>173</v>
      </c>
      <c r="O174" s="331"/>
      <c r="P174" s="331"/>
      <c r="Q174" s="331"/>
      <c r="AE174">
        <f t="shared" si="39"/>
        <v>173</v>
      </c>
    </row>
    <row r="175" spans="13:31" ht="12.75">
      <c r="M175">
        <f t="shared" si="38"/>
        <v>174</v>
      </c>
      <c r="O175" s="331"/>
      <c r="P175" s="331"/>
      <c r="Q175" s="331"/>
      <c r="AE175">
        <f t="shared" si="39"/>
        <v>174</v>
      </c>
    </row>
    <row r="176" spans="13:31" ht="12.75">
      <c r="M176">
        <f t="shared" si="38"/>
        <v>175</v>
      </c>
      <c r="O176" s="331"/>
      <c r="P176" s="331"/>
      <c r="Q176" s="331"/>
      <c r="AE176">
        <f t="shared" si="39"/>
        <v>175</v>
      </c>
    </row>
    <row r="177" spans="13:31" ht="12.75">
      <c r="M177">
        <f t="shared" si="38"/>
        <v>176</v>
      </c>
      <c r="O177" s="331"/>
      <c r="P177" s="331"/>
      <c r="Q177" s="331"/>
      <c r="AE177">
        <f t="shared" si="39"/>
        <v>176</v>
      </c>
    </row>
    <row r="178" spans="13:31" ht="12.75">
      <c r="M178">
        <f t="shared" si="38"/>
        <v>177</v>
      </c>
      <c r="O178" s="331"/>
      <c r="P178" s="331"/>
      <c r="Q178" s="331"/>
      <c r="AE178">
        <f t="shared" si="39"/>
        <v>177</v>
      </c>
    </row>
    <row r="179" spans="13:31" ht="12.75">
      <c r="M179">
        <f t="shared" si="38"/>
        <v>178</v>
      </c>
      <c r="O179" s="331"/>
      <c r="P179" s="331"/>
      <c r="Q179" s="331"/>
      <c r="AE179">
        <f t="shared" si="39"/>
        <v>178</v>
      </c>
    </row>
    <row r="180" spans="13:31" ht="12.75">
      <c r="M180">
        <f t="shared" si="38"/>
        <v>179</v>
      </c>
      <c r="O180" s="331"/>
      <c r="P180" s="331"/>
      <c r="Q180" s="331"/>
      <c r="AE180">
        <f t="shared" si="39"/>
        <v>179</v>
      </c>
    </row>
    <row r="181" spans="13:31" ht="12.75">
      <c r="M181">
        <f t="shared" si="38"/>
        <v>180</v>
      </c>
      <c r="O181" s="331"/>
      <c r="P181" s="331"/>
      <c r="Q181" s="331"/>
      <c r="AE181">
        <f t="shared" si="39"/>
        <v>180</v>
      </c>
    </row>
    <row r="182" spans="13:31" ht="12.75">
      <c r="M182">
        <f t="shared" si="38"/>
        <v>181</v>
      </c>
      <c r="N182" t="s">
        <v>782</v>
      </c>
      <c r="O182" s="331" t="s">
        <v>876</v>
      </c>
      <c r="P182" s="331" t="s">
        <v>878</v>
      </c>
      <c r="Q182" s="331" t="s">
        <v>866</v>
      </c>
      <c r="AE182">
        <f t="shared" si="39"/>
        <v>181</v>
      </c>
    </row>
    <row r="183" spans="13:31" ht="12.75">
      <c r="M183">
        <f t="shared" si="38"/>
        <v>182</v>
      </c>
      <c r="N183" t="s">
        <v>783</v>
      </c>
      <c r="O183" s="331" t="s">
        <v>877</v>
      </c>
      <c r="P183" s="331" t="s">
        <v>879</v>
      </c>
      <c r="Q183" s="331" t="s">
        <v>867</v>
      </c>
      <c r="AE183">
        <f t="shared" si="39"/>
        <v>182</v>
      </c>
    </row>
    <row r="184" spans="13:31" ht="12.75">
      <c r="M184">
        <f aca="true" t="shared" si="41" ref="M184:M215">ROW()-1</f>
        <v>183</v>
      </c>
      <c r="O184" s="331"/>
      <c r="P184" s="331"/>
      <c r="Q184" s="331"/>
      <c r="AE184">
        <f aca="true" t="shared" si="42" ref="AE184:AE215">ROW()-1</f>
        <v>183</v>
      </c>
    </row>
    <row r="185" spans="13:31" ht="12.75">
      <c r="M185">
        <f t="shared" si="41"/>
        <v>184</v>
      </c>
      <c r="O185" s="331"/>
      <c r="P185" s="331"/>
      <c r="Q185" s="331"/>
      <c r="AE185">
        <f t="shared" si="42"/>
        <v>184</v>
      </c>
    </row>
    <row r="186" spans="13:31" ht="12.75">
      <c r="M186">
        <f t="shared" si="41"/>
        <v>185</v>
      </c>
      <c r="O186" s="331"/>
      <c r="P186" s="331"/>
      <c r="Q186" s="331"/>
      <c r="AE186">
        <f t="shared" si="42"/>
        <v>185</v>
      </c>
    </row>
    <row r="187" spans="13:31" ht="12.75">
      <c r="M187">
        <f t="shared" si="41"/>
        <v>186</v>
      </c>
      <c r="O187" s="331"/>
      <c r="P187" s="331"/>
      <c r="Q187" s="331"/>
      <c r="AE187">
        <f t="shared" si="42"/>
        <v>186</v>
      </c>
    </row>
    <row r="188" spans="13:31" ht="12.75">
      <c r="M188">
        <f t="shared" si="41"/>
        <v>187</v>
      </c>
      <c r="O188" s="331"/>
      <c r="P188" s="331"/>
      <c r="Q188" s="331"/>
      <c r="AE188">
        <f t="shared" si="42"/>
        <v>187</v>
      </c>
    </row>
    <row r="189" spans="13:31" ht="12.75">
      <c r="M189">
        <f t="shared" si="41"/>
        <v>188</v>
      </c>
      <c r="O189" s="331"/>
      <c r="P189" s="331"/>
      <c r="Q189" s="331"/>
      <c r="AE189">
        <f t="shared" si="42"/>
        <v>188</v>
      </c>
    </row>
    <row r="190" spans="13:31" ht="12.75">
      <c r="M190">
        <f t="shared" si="41"/>
        <v>189</v>
      </c>
      <c r="O190" s="331"/>
      <c r="P190" s="331"/>
      <c r="Q190" s="331"/>
      <c r="AE190">
        <f t="shared" si="42"/>
        <v>189</v>
      </c>
    </row>
    <row r="191" spans="13:31" ht="12.75">
      <c r="M191">
        <f t="shared" si="41"/>
        <v>190</v>
      </c>
      <c r="O191" s="331"/>
      <c r="P191" s="331"/>
      <c r="Q191" s="331"/>
      <c r="AE191">
        <f t="shared" si="42"/>
        <v>190</v>
      </c>
    </row>
    <row r="192" spans="13:31" ht="12.75">
      <c r="M192">
        <f t="shared" si="41"/>
        <v>191</v>
      </c>
      <c r="N192" t="s">
        <v>768</v>
      </c>
      <c r="O192" s="331" t="s">
        <v>897</v>
      </c>
      <c r="P192" s="331" t="s">
        <v>880</v>
      </c>
      <c r="Q192" s="331" t="s">
        <v>916</v>
      </c>
      <c r="AE192">
        <f t="shared" si="42"/>
        <v>191</v>
      </c>
    </row>
    <row r="193" spans="13:31" ht="12.75">
      <c r="M193">
        <f t="shared" si="41"/>
        <v>192</v>
      </c>
      <c r="N193" t="s">
        <v>769</v>
      </c>
      <c r="O193" s="331" t="s">
        <v>898</v>
      </c>
      <c r="P193" s="331" t="s">
        <v>881</v>
      </c>
      <c r="Q193" s="331" t="s">
        <v>917</v>
      </c>
      <c r="AE193">
        <f t="shared" si="42"/>
        <v>192</v>
      </c>
    </row>
    <row r="194" spans="13:31" ht="12.75">
      <c r="M194">
        <f t="shared" si="41"/>
        <v>193</v>
      </c>
      <c r="N194" t="s">
        <v>770</v>
      </c>
      <c r="O194" s="331" t="s">
        <v>899</v>
      </c>
      <c r="P194" s="331" t="s">
        <v>2113</v>
      </c>
      <c r="Q194" s="331" t="s">
        <v>918</v>
      </c>
      <c r="AE194">
        <f t="shared" si="42"/>
        <v>193</v>
      </c>
    </row>
    <row r="195" spans="13:31" ht="12.75">
      <c r="M195">
        <f t="shared" si="41"/>
        <v>194</v>
      </c>
      <c r="N195" t="s">
        <v>771</v>
      </c>
      <c r="O195" s="331" t="s">
        <v>900</v>
      </c>
      <c r="P195" s="331" t="s">
        <v>882</v>
      </c>
      <c r="Q195" s="331" t="s">
        <v>919</v>
      </c>
      <c r="AE195">
        <f t="shared" si="42"/>
        <v>194</v>
      </c>
    </row>
    <row r="196" spans="13:31" ht="12.75">
      <c r="M196">
        <f t="shared" si="41"/>
        <v>195</v>
      </c>
      <c r="N196" t="s">
        <v>772</v>
      </c>
      <c r="O196" s="331" t="s">
        <v>901</v>
      </c>
      <c r="P196" s="331" t="s">
        <v>883</v>
      </c>
      <c r="Q196" s="331" t="s">
        <v>920</v>
      </c>
      <c r="AE196">
        <f t="shared" si="42"/>
        <v>195</v>
      </c>
    </row>
    <row r="197" spans="13:31" ht="12.75">
      <c r="M197">
        <f t="shared" si="41"/>
        <v>196</v>
      </c>
      <c r="N197" t="s">
        <v>773</v>
      </c>
      <c r="O197" s="331" t="s">
        <v>902</v>
      </c>
      <c r="P197" s="331" t="s">
        <v>884</v>
      </c>
      <c r="Q197" s="331" t="s">
        <v>921</v>
      </c>
      <c r="AE197">
        <f t="shared" si="42"/>
        <v>196</v>
      </c>
    </row>
    <row r="198" spans="13:31" ht="12.75">
      <c r="M198">
        <f t="shared" si="41"/>
        <v>197</v>
      </c>
      <c r="N198" t="s">
        <v>774</v>
      </c>
      <c r="O198" s="331" t="s">
        <v>903</v>
      </c>
      <c r="P198" s="331" t="s">
        <v>2114</v>
      </c>
      <c r="Q198" s="331" t="s">
        <v>922</v>
      </c>
      <c r="AE198">
        <f t="shared" si="42"/>
        <v>197</v>
      </c>
    </row>
    <row r="199" spans="13:31" ht="12.75">
      <c r="M199">
        <f t="shared" si="41"/>
        <v>198</v>
      </c>
      <c r="N199" t="s">
        <v>775</v>
      </c>
      <c r="O199" s="331" t="s">
        <v>904</v>
      </c>
      <c r="P199" s="331" t="s">
        <v>885</v>
      </c>
      <c r="Q199" s="331" t="s">
        <v>923</v>
      </c>
      <c r="AE199">
        <f t="shared" si="42"/>
        <v>198</v>
      </c>
    </row>
    <row r="200" spans="13:31" ht="12.75">
      <c r="M200">
        <f t="shared" si="41"/>
        <v>199</v>
      </c>
      <c r="N200" t="s">
        <v>776</v>
      </c>
      <c r="O200" s="331" t="s">
        <v>905</v>
      </c>
      <c r="P200" s="331" t="s">
        <v>886</v>
      </c>
      <c r="Q200" s="331" t="s">
        <v>924</v>
      </c>
      <c r="AE200">
        <f t="shared" si="42"/>
        <v>199</v>
      </c>
    </row>
    <row r="201" spans="13:31" ht="12.75">
      <c r="M201">
        <f t="shared" si="41"/>
        <v>200</v>
      </c>
      <c r="N201" t="s">
        <v>777</v>
      </c>
      <c r="O201" s="331" t="s">
        <v>906</v>
      </c>
      <c r="P201" s="331" t="s">
        <v>887</v>
      </c>
      <c r="Q201" s="331" t="s">
        <v>925</v>
      </c>
      <c r="AE201">
        <f t="shared" si="42"/>
        <v>200</v>
      </c>
    </row>
    <row r="202" spans="13:35" ht="12.75">
      <c r="M202">
        <f t="shared" si="41"/>
        <v>201</v>
      </c>
      <c r="N202" t="s">
        <v>778</v>
      </c>
      <c r="O202" s="331" t="s">
        <v>907</v>
      </c>
      <c r="P202" s="331" t="s">
        <v>2115</v>
      </c>
      <c r="Q202" s="331" t="s">
        <v>926</v>
      </c>
      <c r="AE202">
        <f t="shared" si="42"/>
        <v>201</v>
      </c>
      <c r="AF202" t="s">
        <v>207</v>
      </c>
      <c r="AG202" t="s">
        <v>412</v>
      </c>
      <c r="AH202" t="s">
        <v>2080</v>
      </c>
      <c r="AI202" t="s">
        <v>426</v>
      </c>
    </row>
    <row r="203" spans="13:31" ht="12.75">
      <c r="M203">
        <f t="shared" si="41"/>
        <v>202</v>
      </c>
      <c r="N203" t="s">
        <v>779</v>
      </c>
      <c r="O203" s="331" t="s">
        <v>908</v>
      </c>
      <c r="P203" s="331" t="s">
        <v>888</v>
      </c>
      <c r="Q203" s="331" t="s">
        <v>927</v>
      </c>
      <c r="AE203">
        <f t="shared" si="42"/>
        <v>202</v>
      </c>
    </row>
    <row r="204" spans="13:31" ht="12.75">
      <c r="M204">
        <f t="shared" si="41"/>
        <v>203</v>
      </c>
      <c r="N204" t="s">
        <v>892</v>
      </c>
      <c r="O204" s="331" t="s">
        <v>909</v>
      </c>
      <c r="P204" s="331" t="s">
        <v>889</v>
      </c>
      <c r="Q204" s="331" t="s">
        <v>928</v>
      </c>
      <c r="AE204">
        <f t="shared" si="42"/>
        <v>203</v>
      </c>
    </row>
    <row r="205" spans="13:35" ht="12.75">
      <c r="M205">
        <f t="shared" si="41"/>
        <v>204</v>
      </c>
      <c r="N205" t="s">
        <v>893</v>
      </c>
      <c r="O205" s="331" t="s">
        <v>910</v>
      </c>
      <c r="P205" s="331" t="s">
        <v>890</v>
      </c>
      <c r="Q205" s="331" t="s">
        <v>929</v>
      </c>
      <c r="AE205">
        <f t="shared" si="42"/>
        <v>204</v>
      </c>
      <c r="AF205" t="s">
        <v>2545</v>
      </c>
      <c r="AG205" s="331" t="s">
        <v>2806</v>
      </c>
      <c r="AH205" s="331" t="s">
        <v>2787</v>
      </c>
      <c r="AI205" s="331" t="s">
        <v>2746</v>
      </c>
    </row>
    <row r="206" spans="13:35" ht="12.75">
      <c r="M206">
        <f t="shared" si="41"/>
        <v>205</v>
      </c>
      <c r="N206" t="s">
        <v>894</v>
      </c>
      <c r="O206" s="331" t="s">
        <v>911</v>
      </c>
      <c r="P206" s="331" t="s">
        <v>913</v>
      </c>
      <c r="Q206" s="331" t="s">
        <v>930</v>
      </c>
      <c r="AE206">
        <f t="shared" si="42"/>
        <v>205</v>
      </c>
      <c r="AF206" s="331" t="s">
        <v>2541</v>
      </c>
      <c r="AG206" s="331" t="s">
        <v>2542</v>
      </c>
      <c r="AH206" s="331" t="s">
        <v>2543</v>
      </c>
      <c r="AI206" s="331" t="s">
        <v>2544</v>
      </c>
    </row>
    <row r="207" spans="13:31" ht="12.75">
      <c r="M207">
        <f t="shared" si="41"/>
        <v>206</v>
      </c>
      <c r="N207" t="s">
        <v>895</v>
      </c>
      <c r="O207" s="331" t="s">
        <v>912</v>
      </c>
      <c r="P207" s="331" t="s">
        <v>914</v>
      </c>
      <c r="Q207" s="331" t="s">
        <v>931</v>
      </c>
      <c r="AE207">
        <f t="shared" si="42"/>
        <v>206</v>
      </c>
    </row>
    <row r="208" spans="13:31" ht="12.75">
      <c r="M208">
        <f t="shared" si="41"/>
        <v>207</v>
      </c>
      <c r="O208" s="331"/>
      <c r="P208" s="331"/>
      <c r="Q208" s="331"/>
      <c r="AE208">
        <f t="shared" si="42"/>
        <v>207</v>
      </c>
    </row>
    <row r="209" spans="13:31" ht="12.75">
      <c r="M209">
        <f t="shared" si="41"/>
        <v>208</v>
      </c>
      <c r="O209" s="331"/>
      <c r="P209" s="331"/>
      <c r="Q209" s="331"/>
      <c r="AE209">
        <f t="shared" si="42"/>
        <v>208</v>
      </c>
    </row>
    <row r="210" spans="13:31" ht="12.75">
      <c r="M210">
        <f t="shared" si="41"/>
        <v>209</v>
      </c>
      <c r="N210" t="s">
        <v>2349</v>
      </c>
      <c r="O210" s="331" t="s">
        <v>2356</v>
      </c>
      <c r="P210" s="331" t="s">
        <v>2355</v>
      </c>
      <c r="Q210" s="331" t="s">
        <v>2352</v>
      </c>
      <c r="AE210">
        <f t="shared" si="42"/>
        <v>209</v>
      </c>
    </row>
    <row r="211" spans="13:31" ht="12.75">
      <c r="M211">
        <f t="shared" si="41"/>
        <v>210</v>
      </c>
      <c r="N211" t="s">
        <v>2350</v>
      </c>
      <c r="O211" s="331" t="s">
        <v>2354</v>
      </c>
      <c r="P211" s="331" t="s">
        <v>2354</v>
      </c>
      <c r="Q211" s="331" t="s">
        <v>2353</v>
      </c>
      <c r="AE211">
        <f t="shared" si="42"/>
        <v>210</v>
      </c>
    </row>
    <row r="212" spans="13:35" ht="12.75">
      <c r="M212">
        <f t="shared" si="41"/>
        <v>211</v>
      </c>
      <c r="N212" t="s">
        <v>704</v>
      </c>
      <c r="O212" s="331" t="s">
        <v>945</v>
      </c>
      <c r="P212" s="331" t="s">
        <v>955</v>
      </c>
      <c r="Q212" s="331" t="s">
        <v>933</v>
      </c>
      <c r="AE212">
        <f t="shared" si="42"/>
        <v>211</v>
      </c>
      <c r="AF212" t="s">
        <v>701</v>
      </c>
      <c r="AG212" t="s">
        <v>827</v>
      </c>
      <c r="AH212" t="s">
        <v>1028</v>
      </c>
      <c r="AI212" t="s">
        <v>1583</v>
      </c>
    </row>
    <row r="213" spans="13:35" ht="12.75">
      <c r="M213">
        <f t="shared" si="41"/>
        <v>212</v>
      </c>
      <c r="N213" t="s">
        <v>705</v>
      </c>
      <c r="O213" s="331" t="s">
        <v>946</v>
      </c>
      <c r="P213" s="331" t="s">
        <v>956</v>
      </c>
      <c r="Q213" s="331" t="s">
        <v>934</v>
      </c>
      <c r="AE213">
        <f t="shared" si="42"/>
        <v>212</v>
      </c>
      <c r="AF213" t="s">
        <v>702</v>
      </c>
      <c r="AG213" t="s">
        <v>828</v>
      </c>
      <c r="AH213" t="s">
        <v>2105</v>
      </c>
      <c r="AI213" t="s">
        <v>857</v>
      </c>
    </row>
    <row r="214" spans="13:35" ht="12.75">
      <c r="M214">
        <f t="shared" si="41"/>
        <v>213</v>
      </c>
      <c r="N214" t="s">
        <v>706</v>
      </c>
      <c r="O214" s="331" t="s">
        <v>947</v>
      </c>
      <c r="P214" s="331" t="s">
        <v>957</v>
      </c>
      <c r="Q214" s="331" t="s">
        <v>935</v>
      </c>
      <c r="AE214">
        <f t="shared" si="42"/>
        <v>213</v>
      </c>
      <c r="AF214" t="s">
        <v>1458</v>
      </c>
      <c r="AG214" t="s">
        <v>1576</v>
      </c>
      <c r="AH214" t="s">
        <v>1582</v>
      </c>
      <c r="AI214" t="s">
        <v>1584</v>
      </c>
    </row>
    <row r="215" spans="13:35" ht="12.75">
      <c r="M215">
        <f t="shared" si="41"/>
        <v>214</v>
      </c>
      <c r="N215" t="s">
        <v>707</v>
      </c>
      <c r="O215" s="331" t="s">
        <v>948</v>
      </c>
      <c r="P215" s="331" t="s">
        <v>958</v>
      </c>
      <c r="Q215" s="331" t="s">
        <v>936</v>
      </c>
      <c r="AE215">
        <f t="shared" si="42"/>
        <v>214</v>
      </c>
      <c r="AF215" t="s">
        <v>2594</v>
      </c>
      <c r="AG215" t="s">
        <v>2595</v>
      </c>
      <c r="AH215" t="s">
        <v>2596</v>
      </c>
      <c r="AI215" t="s">
        <v>2597</v>
      </c>
    </row>
    <row r="216" spans="13:35" ht="12.75">
      <c r="M216">
        <f aca="true" t="shared" si="43" ref="M216:M226">ROW()-1</f>
        <v>215</v>
      </c>
      <c r="N216" t="s">
        <v>709</v>
      </c>
      <c r="O216" s="331" t="s">
        <v>949</v>
      </c>
      <c r="P216" s="331" t="s">
        <v>959</v>
      </c>
      <c r="Q216" s="331" t="s">
        <v>937</v>
      </c>
      <c r="AE216">
        <f aca="true" t="shared" si="44" ref="AE216:AE239">ROW()-1</f>
        <v>215</v>
      </c>
      <c r="AF216" t="s">
        <v>1578</v>
      </c>
      <c r="AG216" t="s">
        <v>1579</v>
      </c>
      <c r="AH216" t="s">
        <v>1580</v>
      </c>
      <c r="AI216" t="s">
        <v>1581</v>
      </c>
    </row>
    <row r="217" spans="13:35" ht="12.75">
      <c r="M217">
        <f t="shared" si="43"/>
        <v>216</v>
      </c>
      <c r="N217" t="s">
        <v>710</v>
      </c>
      <c r="O217" s="331" t="s">
        <v>950</v>
      </c>
      <c r="P217" s="331" t="s">
        <v>960</v>
      </c>
      <c r="Q217" s="331" t="s">
        <v>938</v>
      </c>
      <c r="AE217" s="331">
        <f t="shared" si="44"/>
        <v>216</v>
      </c>
      <c r="AF217" t="s">
        <v>2641</v>
      </c>
      <c r="AG217" s="331" t="s">
        <v>2642</v>
      </c>
      <c r="AH217" s="331" t="s">
        <v>2643</v>
      </c>
      <c r="AI217" s="331" t="s">
        <v>2644</v>
      </c>
    </row>
    <row r="218" spans="13:35" ht="12.75">
      <c r="M218">
        <f t="shared" si="43"/>
        <v>217</v>
      </c>
      <c r="N218" t="s">
        <v>711</v>
      </c>
      <c r="O218" s="331" t="s">
        <v>951</v>
      </c>
      <c r="P218" s="331" t="s">
        <v>951</v>
      </c>
      <c r="Q218" s="331" t="s">
        <v>939</v>
      </c>
      <c r="AE218">
        <f t="shared" si="44"/>
        <v>217</v>
      </c>
      <c r="AF218" t="s">
        <v>2598</v>
      </c>
      <c r="AG218" s="331" t="s">
        <v>2799</v>
      </c>
      <c r="AH218" s="331" t="s">
        <v>2788</v>
      </c>
      <c r="AI218" s="331" t="s">
        <v>2747</v>
      </c>
    </row>
    <row r="219" spans="13:31" ht="12.75">
      <c r="M219">
        <f t="shared" si="43"/>
        <v>218</v>
      </c>
      <c r="N219" t="s">
        <v>712</v>
      </c>
      <c r="O219" s="331" t="s">
        <v>952</v>
      </c>
      <c r="P219" s="331" t="s">
        <v>961</v>
      </c>
      <c r="Q219" s="331" t="s">
        <v>940</v>
      </c>
      <c r="AE219">
        <f t="shared" si="44"/>
        <v>218</v>
      </c>
    </row>
    <row r="220" spans="13:31" ht="12.75">
      <c r="M220">
        <f t="shared" si="43"/>
        <v>219</v>
      </c>
      <c r="N220" t="s">
        <v>713</v>
      </c>
      <c r="O220" s="331" t="s">
        <v>953</v>
      </c>
      <c r="P220" s="331" t="s">
        <v>962</v>
      </c>
      <c r="Q220" s="331" t="s">
        <v>941</v>
      </c>
      <c r="AE220">
        <f t="shared" si="44"/>
        <v>219</v>
      </c>
    </row>
    <row r="221" spans="13:31" ht="12.75">
      <c r="M221">
        <f t="shared" si="43"/>
        <v>220</v>
      </c>
      <c r="O221" s="331"/>
      <c r="P221" s="331"/>
      <c r="Q221" s="331"/>
      <c r="AE221">
        <f t="shared" si="44"/>
        <v>220</v>
      </c>
    </row>
    <row r="222" spans="13:35" ht="12.75">
      <c r="M222">
        <f t="shared" si="43"/>
        <v>221</v>
      </c>
      <c r="N222" t="s">
        <v>1314</v>
      </c>
      <c r="O222" s="331" t="s">
        <v>1990</v>
      </c>
      <c r="P222" s="331" t="s">
        <v>1988</v>
      </c>
      <c r="Q222" s="331" t="s">
        <v>1995</v>
      </c>
      <c r="AE222">
        <f t="shared" si="44"/>
        <v>221</v>
      </c>
      <c r="AF222" s="331" t="s">
        <v>2380</v>
      </c>
      <c r="AG222" s="331" t="s">
        <v>2425</v>
      </c>
      <c r="AH222" s="331" t="s">
        <v>2426</v>
      </c>
      <c r="AI222" s="331" t="s">
        <v>2427</v>
      </c>
    </row>
    <row r="223" spans="13:35" ht="12.75">
      <c r="M223">
        <f t="shared" si="43"/>
        <v>222</v>
      </c>
      <c r="N223" t="s">
        <v>1315</v>
      </c>
      <c r="O223" s="331" t="s">
        <v>1991</v>
      </c>
      <c r="P223" s="331" t="s">
        <v>1989</v>
      </c>
      <c r="Q223" s="331" t="s">
        <v>1996</v>
      </c>
      <c r="AE223">
        <f t="shared" si="44"/>
        <v>222</v>
      </c>
      <c r="AF223" s="331" t="s">
        <v>2381</v>
      </c>
      <c r="AG223" s="331" t="s">
        <v>2428</v>
      </c>
      <c r="AH223" s="331" t="s">
        <v>2430</v>
      </c>
      <c r="AI223" s="331" t="s">
        <v>2429</v>
      </c>
    </row>
    <row r="224" spans="13:35" ht="12.75">
      <c r="M224">
        <f t="shared" si="43"/>
        <v>223</v>
      </c>
      <c r="N224" t="s">
        <v>1316</v>
      </c>
      <c r="O224" s="331" t="s">
        <v>1992</v>
      </c>
      <c r="P224" s="331" t="s">
        <v>2116</v>
      </c>
      <c r="Q224" s="331" t="s">
        <v>1997</v>
      </c>
      <c r="AE224">
        <f t="shared" si="44"/>
        <v>223</v>
      </c>
      <c r="AF224" t="s">
        <v>2178</v>
      </c>
      <c r="AG224" s="331" t="s">
        <v>2275</v>
      </c>
      <c r="AH224" s="331" t="s">
        <v>2276</v>
      </c>
      <c r="AI224" s="331" t="s">
        <v>2224</v>
      </c>
    </row>
    <row r="225" spans="13:31" ht="12.75">
      <c r="M225">
        <f t="shared" si="43"/>
        <v>224</v>
      </c>
      <c r="O225" s="331"/>
      <c r="P225" s="331"/>
      <c r="Q225" s="331"/>
      <c r="AE225">
        <f t="shared" si="44"/>
        <v>224</v>
      </c>
    </row>
    <row r="226" spans="13:31" ht="12.75">
      <c r="M226">
        <f t="shared" si="43"/>
        <v>225</v>
      </c>
      <c r="O226" s="331"/>
      <c r="P226" s="331"/>
      <c r="Q226" s="331"/>
      <c r="AE226">
        <f t="shared" si="44"/>
        <v>225</v>
      </c>
    </row>
    <row r="227" spans="13:31" ht="12.75">
      <c r="M227">
        <f aca="true" t="shared" si="45" ref="M227:M258">ROW()-1</f>
        <v>226</v>
      </c>
      <c r="O227" s="331"/>
      <c r="P227" s="331"/>
      <c r="Q227" s="331"/>
      <c r="AE227">
        <f t="shared" si="44"/>
        <v>226</v>
      </c>
    </row>
    <row r="228" spans="13:31" ht="12.75">
      <c r="M228">
        <f t="shared" si="45"/>
        <v>227</v>
      </c>
      <c r="O228" s="331"/>
      <c r="P228" s="331"/>
      <c r="Q228" s="331"/>
      <c r="AE228">
        <f t="shared" si="44"/>
        <v>227</v>
      </c>
    </row>
    <row r="229" spans="13:31" ht="12.75">
      <c r="M229">
        <f t="shared" si="45"/>
        <v>228</v>
      </c>
      <c r="O229" s="331"/>
      <c r="P229" s="331"/>
      <c r="Q229" s="331"/>
      <c r="AE229">
        <f t="shared" si="44"/>
        <v>228</v>
      </c>
    </row>
    <row r="230" spans="13:31" ht="12.75">
      <c r="M230">
        <f t="shared" si="45"/>
        <v>229</v>
      </c>
      <c r="O230" s="331"/>
      <c r="P230" s="331"/>
      <c r="Q230" s="331"/>
      <c r="AE230">
        <f t="shared" si="44"/>
        <v>229</v>
      </c>
    </row>
    <row r="231" spans="13:31" ht="12.75">
      <c r="M231">
        <f t="shared" si="45"/>
        <v>230</v>
      </c>
      <c r="O231" s="331"/>
      <c r="P231" s="331"/>
      <c r="Q231" s="331"/>
      <c r="AE231">
        <f t="shared" si="44"/>
        <v>230</v>
      </c>
    </row>
    <row r="232" spans="13:35" ht="12.75">
      <c r="M232">
        <f t="shared" si="45"/>
        <v>231</v>
      </c>
      <c r="N232" t="s">
        <v>2002</v>
      </c>
      <c r="O232" s="331" t="s">
        <v>2009</v>
      </c>
      <c r="P232" s="331" t="s">
        <v>2000</v>
      </c>
      <c r="Q232" s="331" t="s">
        <v>2014</v>
      </c>
      <c r="AE232">
        <f t="shared" si="44"/>
        <v>231</v>
      </c>
      <c r="AF232" t="s">
        <v>2233</v>
      </c>
      <c r="AG232" t="s">
        <v>2234</v>
      </c>
      <c r="AH232" t="s">
        <v>2277</v>
      </c>
      <c r="AI232" t="s">
        <v>2247</v>
      </c>
    </row>
    <row r="233" spans="13:31" ht="12.75">
      <c r="M233">
        <f t="shared" si="45"/>
        <v>232</v>
      </c>
      <c r="N233" t="s">
        <v>2019</v>
      </c>
      <c r="O233" s="331" t="s">
        <v>2004</v>
      </c>
      <c r="P233" s="331" t="s">
        <v>2005</v>
      </c>
      <c r="Q233" s="331" t="s">
        <v>2015</v>
      </c>
      <c r="AE233">
        <f t="shared" si="44"/>
        <v>232</v>
      </c>
    </row>
    <row r="234" spans="13:31" ht="12.75">
      <c r="M234">
        <f t="shared" si="45"/>
        <v>233</v>
      </c>
      <c r="N234" t="s">
        <v>2003</v>
      </c>
      <c r="O234" s="331" t="s">
        <v>2010</v>
      </c>
      <c r="P234" s="331" t="s">
        <v>2006</v>
      </c>
      <c r="Q234" s="331" t="s">
        <v>2016</v>
      </c>
      <c r="AE234">
        <f t="shared" si="44"/>
        <v>233</v>
      </c>
    </row>
    <row r="235" spans="13:31" ht="12.75">
      <c r="M235">
        <f t="shared" si="45"/>
        <v>234</v>
      </c>
      <c r="N235" t="s">
        <v>2298</v>
      </c>
      <c r="O235" s="331" t="s">
        <v>2011</v>
      </c>
      <c r="P235" s="331" t="s">
        <v>2007</v>
      </c>
      <c r="Q235" s="331" t="s">
        <v>2017</v>
      </c>
      <c r="AE235">
        <f t="shared" si="44"/>
        <v>234</v>
      </c>
    </row>
    <row r="236" spans="13:31" ht="12.75">
      <c r="M236">
        <f t="shared" si="45"/>
        <v>235</v>
      </c>
      <c r="N236" t="s">
        <v>1401</v>
      </c>
      <c r="O236" s="331" t="s">
        <v>2012</v>
      </c>
      <c r="P236" s="331" t="s">
        <v>2001</v>
      </c>
      <c r="Q236" s="331" t="s">
        <v>2018</v>
      </c>
      <c r="AE236">
        <f t="shared" si="44"/>
        <v>235</v>
      </c>
    </row>
    <row r="237" spans="13:31" ht="12.75">
      <c r="M237">
        <f t="shared" si="45"/>
        <v>236</v>
      </c>
      <c r="O237" s="331"/>
      <c r="P237" s="331"/>
      <c r="Q237" s="331"/>
      <c r="AE237">
        <f t="shared" si="44"/>
        <v>236</v>
      </c>
    </row>
    <row r="238" spans="13:31" ht="12.75">
      <c r="M238">
        <f t="shared" si="45"/>
        <v>237</v>
      </c>
      <c r="O238" s="331"/>
      <c r="P238" s="331"/>
      <c r="Q238" s="331"/>
      <c r="AE238">
        <f t="shared" si="44"/>
        <v>237</v>
      </c>
    </row>
    <row r="239" spans="13:31" ht="12.75">
      <c r="M239">
        <f t="shared" si="45"/>
        <v>238</v>
      </c>
      <c r="O239" s="331"/>
      <c r="P239" s="331"/>
      <c r="Q239" s="331"/>
      <c r="AE239">
        <f t="shared" si="44"/>
        <v>238</v>
      </c>
    </row>
    <row r="240" spans="13:31" ht="12.75">
      <c r="M240">
        <f t="shared" si="45"/>
        <v>239</v>
      </c>
      <c r="O240" s="331"/>
      <c r="P240" s="331"/>
      <c r="Q240" s="331"/>
      <c r="AE240">
        <f aca="true" t="shared" si="46" ref="AE240:AE246">ROW()-1</f>
        <v>239</v>
      </c>
    </row>
    <row r="241" spans="13:31" ht="12.75">
      <c r="M241">
        <f t="shared" si="45"/>
        <v>240</v>
      </c>
      <c r="O241" s="331"/>
      <c r="P241" s="331"/>
      <c r="Q241" s="331"/>
      <c r="AE241">
        <f t="shared" si="46"/>
        <v>240</v>
      </c>
    </row>
    <row r="242" spans="13:35" ht="12.75">
      <c r="M242">
        <f t="shared" si="45"/>
        <v>241</v>
      </c>
      <c r="N242" t="s">
        <v>1407</v>
      </c>
      <c r="O242" s="331" t="s">
        <v>1704</v>
      </c>
      <c r="P242" s="331" t="s">
        <v>2117</v>
      </c>
      <c r="Q242" s="331" t="s">
        <v>1688</v>
      </c>
      <c r="AE242">
        <f t="shared" si="46"/>
        <v>241</v>
      </c>
      <c r="AF242" t="s">
        <v>2295</v>
      </c>
      <c r="AG242" s="331" t="s">
        <v>2328</v>
      </c>
      <c r="AH242" s="331" t="s">
        <v>2329</v>
      </c>
      <c r="AI242" s="331" t="s">
        <v>2330</v>
      </c>
    </row>
    <row r="243" spans="13:31" ht="12.75">
      <c r="M243">
        <f t="shared" si="45"/>
        <v>242</v>
      </c>
      <c r="N243" t="s">
        <v>1408</v>
      </c>
      <c r="O243" s="331" t="s">
        <v>2118</v>
      </c>
      <c r="P243" s="331" t="s">
        <v>2119</v>
      </c>
      <c r="Q243" s="331" t="s">
        <v>1689</v>
      </c>
      <c r="AE243">
        <f t="shared" si="46"/>
        <v>242</v>
      </c>
    </row>
    <row r="244" spans="13:31" ht="12.75">
      <c r="M244">
        <f t="shared" si="45"/>
        <v>243</v>
      </c>
      <c r="N244" t="s">
        <v>1409</v>
      </c>
      <c r="O244" s="331" t="s">
        <v>1705</v>
      </c>
      <c r="P244" s="331" t="s">
        <v>2120</v>
      </c>
      <c r="Q244" s="331" t="s">
        <v>1690</v>
      </c>
      <c r="AE244">
        <f t="shared" si="46"/>
        <v>243</v>
      </c>
    </row>
    <row r="245" spans="13:31" ht="12.75">
      <c r="M245">
        <f t="shared" si="45"/>
        <v>244</v>
      </c>
      <c r="N245" t="s">
        <v>1410</v>
      </c>
      <c r="O245" s="331" t="s">
        <v>1706</v>
      </c>
      <c r="P245" s="331" t="s">
        <v>1714</v>
      </c>
      <c r="Q245" s="331" t="s">
        <v>1691</v>
      </c>
      <c r="AE245">
        <f t="shared" si="46"/>
        <v>244</v>
      </c>
    </row>
    <row r="246" spans="13:31" ht="12.75">
      <c r="M246">
        <f t="shared" si="45"/>
        <v>245</v>
      </c>
      <c r="N246" t="s">
        <v>1694</v>
      </c>
      <c r="O246" s="331" t="s">
        <v>2121</v>
      </c>
      <c r="P246" s="331" t="s">
        <v>2122</v>
      </c>
      <c r="Q246" s="331" t="s">
        <v>1695</v>
      </c>
      <c r="AE246">
        <f t="shared" si="46"/>
        <v>245</v>
      </c>
    </row>
    <row r="247" spans="13:31" ht="12.75">
      <c r="M247">
        <f t="shared" si="45"/>
        <v>246</v>
      </c>
      <c r="N247" t="s">
        <v>1442</v>
      </c>
      <c r="O247" s="331" t="s">
        <v>1707</v>
      </c>
      <c r="P247" s="331" t="s">
        <v>1716</v>
      </c>
      <c r="Q247" s="331" t="s">
        <v>1696</v>
      </c>
      <c r="AE247">
        <f aca="true" t="shared" si="47" ref="AE247:AE254">ROW()-1</f>
        <v>246</v>
      </c>
    </row>
    <row r="248" spans="13:31" ht="12.75">
      <c r="M248">
        <f t="shared" si="45"/>
        <v>247</v>
      </c>
      <c r="N248" t="s">
        <v>2317</v>
      </c>
      <c r="O248" s="331" t="s">
        <v>2123</v>
      </c>
      <c r="P248" s="331" t="s">
        <v>2124</v>
      </c>
      <c r="Q248" s="331" t="s">
        <v>1692</v>
      </c>
      <c r="AE248">
        <f t="shared" si="47"/>
        <v>247</v>
      </c>
    </row>
    <row r="249" spans="13:31" ht="12.75">
      <c r="M249">
        <f t="shared" si="45"/>
        <v>248</v>
      </c>
      <c r="N249" t="s">
        <v>1411</v>
      </c>
      <c r="O249" s="331" t="s">
        <v>2125</v>
      </c>
      <c r="P249" s="331" t="s">
        <v>1715</v>
      </c>
      <c r="Q249" s="331" t="s">
        <v>1693</v>
      </c>
      <c r="AE249">
        <f t="shared" si="47"/>
        <v>248</v>
      </c>
    </row>
    <row r="250" spans="13:31" ht="12.75">
      <c r="M250">
        <f t="shared" si="45"/>
        <v>249</v>
      </c>
      <c r="N250" t="s">
        <v>1698</v>
      </c>
      <c r="O250" s="331" t="s">
        <v>1708</v>
      </c>
      <c r="P250" s="331" t="s">
        <v>1717</v>
      </c>
      <c r="Q250" s="331" t="s">
        <v>1697</v>
      </c>
      <c r="AE250">
        <f t="shared" si="47"/>
        <v>249</v>
      </c>
    </row>
    <row r="251" spans="13:31" ht="12.75">
      <c r="M251">
        <f t="shared" si="45"/>
        <v>250</v>
      </c>
      <c r="O251" s="331"/>
      <c r="P251" s="331"/>
      <c r="Q251" s="331"/>
      <c r="AE251">
        <f t="shared" si="47"/>
        <v>250</v>
      </c>
    </row>
    <row r="252" spans="13:35" ht="12.75">
      <c r="M252">
        <f t="shared" si="45"/>
        <v>251</v>
      </c>
      <c r="N252" t="s">
        <v>2364</v>
      </c>
      <c r="O252" s="331" t="s">
        <v>2365</v>
      </c>
      <c r="P252" s="331" t="s">
        <v>2366</v>
      </c>
      <c r="Q252" s="331" t="s">
        <v>2367</v>
      </c>
      <c r="AE252">
        <f t="shared" si="47"/>
        <v>251</v>
      </c>
      <c r="AF252" t="s">
        <v>2256</v>
      </c>
      <c r="AG252" t="s">
        <v>2278</v>
      </c>
      <c r="AH252" t="s">
        <v>2262</v>
      </c>
      <c r="AI252" t="s">
        <v>2279</v>
      </c>
    </row>
    <row r="253" spans="13:35" ht="12.75">
      <c r="M253">
        <f t="shared" si="45"/>
        <v>252</v>
      </c>
      <c r="O253" s="331"/>
      <c r="P253" s="331"/>
      <c r="Q253" s="331"/>
      <c r="AE253">
        <f t="shared" si="47"/>
        <v>252</v>
      </c>
      <c r="AF253" s="331" t="s">
        <v>2382</v>
      </c>
      <c r="AG253" s="331" t="s">
        <v>2520</v>
      </c>
      <c r="AH253" s="331" t="s">
        <v>2521</v>
      </c>
      <c r="AI253" s="331" t="s">
        <v>2522</v>
      </c>
    </row>
    <row r="254" spans="13:31" ht="12.75">
      <c r="M254">
        <f t="shared" si="45"/>
        <v>253</v>
      </c>
      <c r="N254" t="s">
        <v>2536</v>
      </c>
      <c r="O254" s="331" t="s">
        <v>2537</v>
      </c>
      <c r="P254" s="331" t="s">
        <v>2538</v>
      </c>
      <c r="Q254" s="331" t="s">
        <v>2539</v>
      </c>
      <c r="AE254">
        <f t="shared" si="47"/>
        <v>253</v>
      </c>
    </row>
    <row r="255" spans="13:17" ht="12.75">
      <c r="M255">
        <f t="shared" si="45"/>
        <v>254</v>
      </c>
      <c r="O255" s="331"/>
      <c r="P255" s="331"/>
      <c r="Q255" s="331"/>
    </row>
    <row r="256" ht="12.75">
      <c r="M256">
        <f t="shared" si="45"/>
        <v>255</v>
      </c>
    </row>
    <row r="257" ht="12.75">
      <c r="M257">
        <f t="shared" si="45"/>
        <v>256</v>
      </c>
    </row>
    <row r="258" ht="12.75">
      <c r="M258">
        <f t="shared" si="45"/>
        <v>257</v>
      </c>
    </row>
    <row r="259" ht="12.75">
      <c r="M259">
        <f aca="true" t="shared" si="48" ref="M259:M275">ROW()-1</f>
        <v>258</v>
      </c>
    </row>
    <row r="260" ht="12.75">
      <c r="M260">
        <f t="shared" si="48"/>
        <v>259</v>
      </c>
    </row>
    <row r="261" spans="13:17" ht="12.75">
      <c r="M261">
        <f t="shared" si="48"/>
        <v>260</v>
      </c>
      <c r="O261" s="331"/>
      <c r="P261" s="331"/>
      <c r="Q261" s="331"/>
    </row>
    <row r="262" spans="13:17" ht="12.75">
      <c r="M262">
        <f t="shared" si="48"/>
        <v>261</v>
      </c>
      <c r="N262" t="s">
        <v>2694</v>
      </c>
      <c r="O262" s="331" t="s">
        <v>2695</v>
      </c>
      <c r="P262" s="331" t="s">
        <v>2696</v>
      </c>
      <c r="Q262" s="331" t="s">
        <v>2697</v>
      </c>
    </row>
    <row r="263" spans="13:17" ht="12.75">
      <c r="M263">
        <f t="shared" si="48"/>
        <v>262</v>
      </c>
      <c r="N263" t="s">
        <v>2689</v>
      </c>
      <c r="O263" s="331" t="s">
        <v>2758</v>
      </c>
      <c r="P263" s="331" t="s">
        <v>2773</v>
      </c>
      <c r="Q263" s="331" t="s">
        <v>2732</v>
      </c>
    </row>
    <row r="264" spans="13:17" ht="12.75">
      <c r="M264">
        <f t="shared" si="48"/>
        <v>263</v>
      </c>
      <c r="N264" t="s">
        <v>2659</v>
      </c>
      <c r="O264" s="331" t="s">
        <v>2660</v>
      </c>
      <c r="P264" s="331" t="s">
        <v>2661</v>
      </c>
      <c r="Q264" s="331" t="s">
        <v>2662</v>
      </c>
    </row>
    <row r="265" spans="13:17" ht="12.75">
      <c r="M265">
        <f t="shared" si="48"/>
        <v>264</v>
      </c>
      <c r="N265" t="s">
        <v>2663</v>
      </c>
      <c r="O265" s="331" t="s">
        <v>2664</v>
      </c>
      <c r="P265" s="331" t="s">
        <v>2665</v>
      </c>
      <c r="Q265" s="331" t="s">
        <v>2666</v>
      </c>
    </row>
    <row r="266" spans="13:17" ht="12.75">
      <c r="M266">
        <f t="shared" si="48"/>
        <v>265</v>
      </c>
      <c r="N266" t="s">
        <v>56</v>
      </c>
      <c r="O266" s="331" t="s">
        <v>301</v>
      </c>
      <c r="P266" s="331" t="s">
        <v>302</v>
      </c>
      <c r="Q266" s="331" t="s">
        <v>303</v>
      </c>
    </row>
    <row r="267" spans="13:17" ht="12.75">
      <c r="M267">
        <f t="shared" si="48"/>
        <v>266</v>
      </c>
      <c r="N267" t="s">
        <v>2667</v>
      </c>
      <c r="O267" s="331" t="s">
        <v>2668</v>
      </c>
      <c r="P267" s="331" t="s">
        <v>2669</v>
      </c>
      <c r="Q267" s="331" t="s">
        <v>2670</v>
      </c>
    </row>
    <row r="268" spans="13:17" ht="12.75">
      <c r="M268">
        <f t="shared" si="48"/>
        <v>267</v>
      </c>
      <c r="N268" t="s">
        <v>2671</v>
      </c>
      <c r="O268" s="331" t="s">
        <v>2759</v>
      </c>
      <c r="P268" s="331" t="s">
        <v>2774</v>
      </c>
      <c r="Q268" s="331" t="s">
        <v>2733</v>
      </c>
    </row>
    <row r="269" spans="13:17" ht="12.75">
      <c r="M269">
        <f t="shared" si="48"/>
        <v>268</v>
      </c>
      <c r="N269" t="s">
        <v>2672</v>
      </c>
      <c r="O269" s="331" t="s">
        <v>2760</v>
      </c>
      <c r="P269" s="331" t="s">
        <v>2775</v>
      </c>
      <c r="Q269" s="331" t="s">
        <v>2734</v>
      </c>
    </row>
    <row r="270" spans="13:17" ht="12.75">
      <c r="M270">
        <f t="shared" si="48"/>
        <v>269</v>
      </c>
      <c r="N270" t="s">
        <v>2673</v>
      </c>
      <c r="O270" s="331" t="s">
        <v>2761</v>
      </c>
      <c r="P270" s="331" t="s">
        <v>2776</v>
      </c>
      <c r="Q270" s="331" t="s">
        <v>2735</v>
      </c>
    </row>
    <row r="271" spans="13:17" ht="12.75">
      <c r="M271">
        <f t="shared" si="48"/>
        <v>270</v>
      </c>
      <c r="N271" t="s">
        <v>2674</v>
      </c>
      <c r="O271" s="331" t="s">
        <v>2762</v>
      </c>
      <c r="P271" s="331" t="s">
        <v>2777</v>
      </c>
      <c r="Q271" s="331" t="s">
        <v>2736</v>
      </c>
    </row>
    <row r="272" spans="13:17" ht="12.75">
      <c r="M272">
        <f t="shared" si="48"/>
        <v>271</v>
      </c>
      <c r="N272" s="331" t="s">
        <v>2675</v>
      </c>
      <c r="O272" s="331" t="s">
        <v>2676</v>
      </c>
      <c r="P272" s="331" t="s">
        <v>2677</v>
      </c>
      <c r="Q272" s="331" t="s">
        <v>2678</v>
      </c>
    </row>
    <row r="273" spans="13:17" ht="12.75">
      <c r="M273">
        <f t="shared" si="48"/>
        <v>272</v>
      </c>
      <c r="N273" t="s">
        <v>2679</v>
      </c>
      <c r="O273" s="331" t="s">
        <v>2680</v>
      </c>
      <c r="P273" s="331" t="s">
        <v>2681</v>
      </c>
      <c r="Q273" s="331" t="s">
        <v>2682</v>
      </c>
    </row>
    <row r="274" spans="13:17" ht="12.75">
      <c r="M274">
        <f t="shared" si="48"/>
        <v>273</v>
      </c>
      <c r="N274" t="s">
        <v>2683</v>
      </c>
      <c r="O274" s="331" t="s">
        <v>2684</v>
      </c>
      <c r="P274" s="331" t="s">
        <v>2685</v>
      </c>
      <c r="Q274" s="331" t="s">
        <v>2686</v>
      </c>
    </row>
    <row r="275" spans="13:17" ht="12.75">
      <c r="M275">
        <f t="shared" si="48"/>
        <v>274</v>
      </c>
      <c r="N275" t="s">
        <v>2687</v>
      </c>
      <c r="O275" s="331" t="s">
        <v>2763</v>
      </c>
      <c r="P275" s="331" t="s">
        <v>2778</v>
      </c>
      <c r="Q275" s="331" t="s">
        <v>2737</v>
      </c>
    </row>
    <row r="276" spans="13:17" ht="12.75">
      <c r="M276">
        <f aca="true" t="shared" si="49" ref="M276:M287">ROW()-1</f>
        <v>275</v>
      </c>
      <c r="N276" t="s">
        <v>2688</v>
      </c>
      <c r="O276" s="331" t="s">
        <v>2764</v>
      </c>
      <c r="P276" s="331" t="s">
        <v>2779</v>
      </c>
      <c r="Q276" s="331" t="s">
        <v>2738</v>
      </c>
    </row>
    <row r="277" spans="13:17" ht="12.75">
      <c r="M277">
        <f t="shared" si="49"/>
        <v>276</v>
      </c>
      <c r="O277" s="331"/>
      <c r="P277" s="331"/>
      <c r="Q277" s="331"/>
    </row>
    <row r="278" spans="13:17" ht="12.75">
      <c r="M278">
        <f t="shared" si="49"/>
        <v>277</v>
      </c>
      <c r="O278" s="331"/>
      <c r="P278" s="331"/>
      <c r="Q278" s="331"/>
    </row>
    <row r="279" spans="13:17" ht="12.75">
      <c r="M279">
        <f t="shared" si="49"/>
        <v>278</v>
      </c>
      <c r="O279" s="331"/>
      <c r="P279" s="331"/>
      <c r="Q279" s="331"/>
    </row>
    <row r="280" spans="13:17" ht="12.75">
      <c r="M280">
        <f t="shared" si="49"/>
        <v>279</v>
      </c>
      <c r="O280" s="331"/>
      <c r="P280" s="331"/>
      <c r="Q280" s="331"/>
    </row>
    <row r="281" spans="13:17" ht="12.75">
      <c r="M281">
        <f t="shared" si="49"/>
        <v>280</v>
      </c>
      <c r="O281" s="331"/>
      <c r="P281" s="331"/>
      <c r="Q281" s="331"/>
    </row>
    <row r="282" spans="13:17" ht="12.75">
      <c r="M282">
        <f t="shared" si="49"/>
        <v>281</v>
      </c>
      <c r="O282" s="331"/>
      <c r="P282" s="331"/>
      <c r="Q282" s="331"/>
    </row>
    <row r="283" spans="13:17" ht="12.75">
      <c r="M283">
        <f t="shared" si="49"/>
        <v>282</v>
      </c>
      <c r="O283" s="331"/>
      <c r="P283" s="331"/>
      <c r="Q283" s="331"/>
    </row>
    <row r="284" spans="13:17" ht="12.75">
      <c r="M284">
        <f t="shared" si="49"/>
        <v>283</v>
      </c>
      <c r="O284" s="331"/>
      <c r="P284" s="331"/>
      <c r="Q284" s="331"/>
    </row>
    <row r="285" spans="13:17" ht="12.75">
      <c r="M285">
        <f t="shared" si="49"/>
        <v>284</v>
      </c>
      <c r="O285" s="331"/>
      <c r="P285" s="331"/>
      <c r="Q285" s="331"/>
    </row>
    <row r="286" spans="13:17" ht="12.75">
      <c r="M286">
        <f t="shared" si="49"/>
        <v>285</v>
      </c>
      <c r="O286" s="331"/>
      <c r="P286" s="331"/>
      <c r="Q286" s="331"/>
    </row>
    <row r="287" spans="13:17" ht="12.75">
      <c r="M287">
        <f t="shared" si="49"/>
        <v>286</v>
      </c>
      <c r="O287" s="331"/>
      <c r="P287" s="331"/>
      <c r="Q287" s="331"/>
    </row>
    <row r="288" spans="13:17" ht="12.75">
      <c r="M288">
        <f aca="true" t="shared" si="50" ref="M288:M307">ROW()-1</f>
        <v>287</v>
      </c>
      <c r="O288" s="331"/>
      <c r="P288" s="331"/>
      <c r="Q288" s="331"/>
    </row>
    <row r="289" spans="13:17" ht="12.75">
      <c r="M289">
        <f t="shared" si="50"/>
        <v>288</v>
      </c>
      <c r="N289" t="s">
        <v>701</v>
      </c>
      <c r="O289" s="331" t="s">
        <v>827</v>
      </c>
      <c r="P289" s="331" t="s">
        <v>844</v>
      </c>
      <c r="Q289" s="331" t="s">
        <v>856</v>
      </c>
    </row>
    <row r="290" spans="13:17" ht="12.75">
      <c r="M290">
        <f t="shared" si="50"/>
        <v>289</v>
      </c>
      <c r="N290" t="s">
        <v>702</v>
      </c>
      <c r="O290" s="331" t="s">
        <v>828</v>
      </c>
      <c r="P290" s="331" t="s">
        <v>2105</v>
      </c>
      <c r="Q290" s="331" t="s">
        <v>857</v>
      </c>
    </row>
    <row r="291" spans="13:17" ht="12.75">
      <c r="M291">
        <f t="shared" si="50"/>
        <v>290</v>
      </c>
      <c r="N291" t="s">
        <v>1458</v>
      </c>
      <c r="O291" s="331" t="s">
        <v>1576</v>
      </c>
      <c r="P291" s="331" t="s">
        <v>2780</v>
      </c>
      <c r="Q291" s="331" t="s">
        <v>2739</v>
      </c>
    </row>
    <row r="292" spans="13:17" ht="12.75">
      <c r="M292">
        <f t="shared" si="50"/>
        <v>291</v>
      </c>
      <c r="N292" t="s">
        <v>2558</v>
      </c>
      <c r="O292" s="331" t="s">
        <v>2765</v>
      </c>
      <c r="P292" s="331" t="s">
        <v>2781</v>
      </c>
      <c r="Q292" s="331" t="s">
        <v>2740</v>
      </c>
    </row>
    <row r="293" spans="13:17" ht="12.75">
      <c r="M293">
        <f t="shared" si="50"/>
        <v>292</v>
      </c>
      <c r="N293" t="s">
        <v>2648</v>
      </c>
      <c r="O293" s="331" t="s">
        <v>2649</v>
      </c>
      <c r="P293" s="331" t="s">
        <v>2650</v>
      </c>
      <c r="Q293" s="331" t="s">
        <v>2651</v>
      </c>
    </row>
    <row r="294" spans="13:17" ht="12.75">
      <c r="M294">
        <f t="shared" si="50"/>
        <v>293</v>
      </c>
      <c r="N294" t="s">
        <v>2554</v>
      </c>
      <c r="O294" s="331" t="s">
        <v>2555</v>
      </c>
      <c r="P294" s="331" t="s">
        <v>2556</v>
      </c>
      <c r="Q294" s="331" t="s">
        <v>2557</v>
      </c>
    </row>
    <row r="295" spans="13:17" ht="12.75">
      <c r="M295">
        <f t="shared" si="50"/>
        <v>294</v>
      </c>
      <c r="O295" s="331"/>
      <c r="P295" s="331"/>
      <c r="Q295" s="331"/>
    </row>
    <row r="296" spans="13:17" ht="12.75">
      <c r="M296">
        <f t="shared" si="50"/>
        <v>295</v>
      </c>
      <c r="O296" s="331"/>
      <c r="P296" s="331"/>
      <c r="Q296" s="331"/>
    </row>
    <row r="297" spans="13:17" ht="12.75">
      <c r="M297">
        <f t="shared" si="50"/>
        <v>296</v>
      </c>
      <c r="O297" s="331"/>
      <c r="P297" s="331"/>
      <c r="Q297" s="331"/>
    </row>
    <row r="298" spans="13:17" ht="12.75">
      <c r="M298">
        <f t="shared" si="50"/>
        <v>297</v>
      </c>
      <c r="O298" s="331"/>
      <c r="P298" s="331"/>
      <c r="Q298" s="331"/>
    </row>
    <row r="299" spans="13:17" ht="12.75">
      <c r="M299">
        <f t="shared" si="50"/>
        <v>298</v>
      </c>
      <c r="N299" t="s">
        <v>701</v>
      </c>
      <c r="O299" s="331" t="s">
        <v>827</v>
      </c>
      <c r="P299" s="331" t="s">
        <v>844</v>
      </c>
      <c r="Q299" s="331" t="s">
        <v>856</v>
      </c>
    </row>
    <row r="300" spans="13:17" ht="12.75">
      <c r="M300">
        <f t="shared" si="50"/>
        <v>299</v>
      </c>
      <c r="N300" t="s">
        <v>2561</v>
      </c>
      <c r="O300" s="331" t="s">
        <v>2766</v>
      </c>
      <c r="P300" s="331" t="s">
        <v>2782</v>
      </c>
      <c r="Q300" s="331" t="s">
        <v>2741</v>
      </c>
    </row>
    <row r="301" spans="13:17" ht="12.75">
      <c r="M301">
        <f t="shared" si="50"/>
        <v>300</v>
      </c>
      <c r="N301" t="s">
        <v>2562</v>
      </c>
      <c r="O301" s="331" t="s">
        <v>2563</v>
      </c>
      <c r="P301" s="331" t="s">
        <v>2564</v>
      </c>
      <c r="Q301" s="331" t="s">
        <v>2565</v>
      </c>
    </row>
    <row r="302" spans="13:17" ht="12.75">
      <c r="M302">
        <f t="shared" si="50"/>
        <v>301</v>
      </c>
      <c r="O302" s="331"/>
      <c r="P302" s="331"/>
      <c r="Q302" s="331"/>
    </row>
    <row r="303" spans="13:17" ht="12.75">
      <c r="M303">
        <f t="shared" si="50"/>
        <v>302</v>
      </c>
      <c r="O303" s="331"/>
      <c r="P303" s="331"/>
      <c r="Q303" s="331"/>
    </row>
    <row r="304" spans="13:17" ht="12.75">
      <c r="M304">
        <f t="shared" si="50"/>
        <v>303</v>
      </c>
      <c r="O304" s="331"/>
      <c r="P304" s="331"/>
      <c r="Q304" s="331"/>
    </row>
    <row r="305" spans="13:17" ht="12.75">
      <c r="M305">
        <f t="shared" si="50"/>
        <v>304</v>
      </c>
      <c r="O305" s="331"/>
      <c r="P305" s="331"/>
      <c r="Q305" s="331"/>
    </row>
    <row r="306" spans="13:17" ht="12.75">
      <c r="M306">
        <f t="shared" si="50"/>
        <v>305</v>
      </c>
      <c r="O306" s="331"/>
      <c r="P306" s="331"/>
      <c r="Q306" s="331"/>
    </row>
    <row r="307" spans="13:17" ht="12.75">
      <c r="M307">
        <f t="shared" si="50"/>
        <v>306</v>
      </c>
      <c r="O307" s="331"/>
      <c r="P307" s="331"/>
      <c r="Q307" s="331"/>
    </row>
    <row r="308" spans="13:17" ht="12.75">
      <c r="M308">
        <f aca="true" t="shared" si="51" ref="M308:M321">ROW()-1</f>
        <v>307</v>
      </c>
      <c r="O308" s="331"/>
      <c r="P308" s="331"/>
      <c r="Q308" s="331"/>
    </row>
    <row r="309" spans="13:17" ht="12.75">
      <c r="M309">
        <f t="shared" si="51"/>
        <v>308</v>
      </c>
      <c r="N309" t="s">
        <v>701</v>
      </c>
      <c r="O309" s="331" t="s">
        <v>827</v>
      </c>
      <c r="P309" s="331" t="s">
        <v>844</v>
      </c>
      <c r="Q309" s="331" t="s">
        <v>856</v>
      </c>
    </row>
    <row r="310" spans="13:17" ht="12.75">
      <c r="M310">
        <f t="shared" si="51"/>
        <v>309</v>
      </c>
      <c r="N310" t="s">
        <v>2601</v>
      </c>
      <c r="O310" s="331" t="s">
        <v>2630</v>
      </c>
      <c r="P310" s="331" t="s">
        <v>2631</v>
      </c>
      <c r="Q310" s="331" t="s">
        <v>2632</v>
      </c>
    </row>
    <row r="311" spans="13:17" ht="12.75">
      <c r="M311">
        <f t="shared" si="51"/>
        <v>310</v>
      </c>
      <c r="N311" t="s">
        <v>1458</v>
      </c>
      <c r="O311" s="331" t="s">
        <v>1576</v>
      </c>
      <c r="P311" s="331" t="s">
        <v>2780</v>
      </c>
      <c r="Q311" s="331" t="s">
        <v>2739</v>
      </c>
    </row>
    <row r="312" spans="13:17" ht="12.75">
      <c r="M312">
        <f t="shared" si="51"/>
        <v>311</v>
      </c>
      <c r="N312" t="s">
        <v>2567</v>
      </c>
      <c r="O312" s="331" t="s">
        <v>2568</v>
      </c>
      <c r="P312" s="331" t="s">
        <v>2569</v>
      </c>
      <c r="Q312" t="s">
        <v>2570</v>
      </c>
    </row>
    <row r="313" spans="13:16" ht="12.75">
      <c r="M313">
        <f t="shared" si="51"/>
        <v>312</v>
      </c>
      <c r="O313" s="331"/>
      <c r="P313" s="331"/>
    </row>
    <row r="314" spans="13:16" ht="12.75">
      <c r="M314">
        <f t="shared" si="51"/>
        <v>313</v>
      </c>
      <c r="O314" s="331"/>
      <c r="P314" s="331"/>
    </row>
    <row r="315" spans="13:16" ht="12.75">
      <c r="M315">
        <f t="shared" si="51"/>
        <v>314</v>
      </c>
      <c r="O315" s="331"/>
      <c r="P315" s="331"/>
    </row>
    <row r="316" spans="13:16" ht="12.75">
      <c r="M316">
        <f t="shared" si="51"/>
        <v>315</v>
      </c>
      <c r="O316" s="331"/>
      <c r="P316" s="331"/>
    </row>
    <row r="317" spans="13:16" ht="12.75">
      <c r="M317">
        <f t="shared" si="51"/>
        <v>316</v>
      </c>
      <c r="O317" s="331"/>
      <c r="P317" s="331"/>
    </row>
    <row r="318" spans="13:16" ht="12.75">
      <c r="M318">
        <f t="shared" si="51"/>
        <v>317</v>
      </c>
      <c r="O318" s="331"/>
      <c r="P318" s="331"/>
    </row>
    <row r="319" spans="13:17" ht="12.75">
      <c r="M319">
        <f t="shared" si="51"/>
        <v>318</v>
      </c>
      <c r="N319" t="s">
        <v>701</v>
      </c>
      <c r="O319" s="331" t="s">
        <v>827</v>
      </c>
      <c r="P319" s="331" t="s">
        <v>844</v>
      </c>
      <c r="Q319" s="331" t="s">
        <v>856</v>
      </c>
    </row>
    <row r="320" spans="13:17" ht="12.75">
      <c r="M320">
        <f t="shared" si="51"/>
        <v>319</v>
      </c>
      <c r="N320" t="s">
        <v>2561</v>
      </c>
      <c r="O320" s="331" t="s">
        <v>2766</v>
      </c>
      <c r="P320" s="331" t="s">
        <v>2782</v>
      </c>
      <c r="Q320" s="331" t="s">
        <v>2741</v>
      </c>
    </row>
    <row r="321" spans="13:17" ht="12.75">
      <c r="M321">
        <f t="shared" si="51"/>
        <v>320</v>
      </c>
      <c r="N321" t="s">
        <v>2562</v>
      </c>
      <c r="O321" s="331" t="s">
        <v>2563</v>
      </c>
      <c r="P321" s="331" t="s">
        <v>2564</v>
      </c>
      <c r="Q321" t="s">
        <v>2565</v>
      </c>
    </row>
    <row r="322" spans="13:17" ht="12.75">
      <c r="M322">
        <f aca="true" t="shared" si="52" ref="M322:M334">ROW()-1</f>
        <v>321</v>
      </c>
      <c r="N322" s="458" t="s">
        <v>2558</v>
      </c>
      <c r="O322" s="474" t="s">
        <v>2765</v>
      </c>
      <c r="P322" s="474" t="s">
        <v>2781</v>
      </c>
      <c r="Q322" s="473" t="s">
        <v>2740</v>
      </c>
    </row>
    <row r="323" spans="13:17" ht="12.75">
      <c r="M323">
        <f t="shared" si="52"/>
        <v>322</v>
      </c>
      <c r="N323" t="s">
        <v>2575</v>
      </c>
      <c r="O323" s="331" t="s">
        <v>2576</v>
      </c>
      <c r="P323" s="331" t="s">
        <v>2577</v>
      </c>
      <c r="Q323" t="s">
        <v>2578</v>
      </c>
    </row>
    <row r="324" spans="13:17" ht="12.75">
      <c r="M324">
        <f t="shared" si="52"/>
        <v>323</v>
      </c>
      <c r="N324" s="458" t="s">
        <v>2571</v>
      </c>
      <c r="O324" s="474" t="s">
        <v>2572</v>
      </c>
      <c r="P324" s="474" t="s">
        <v>2573</v>
      </c>
      <c r="Q324" s="459" t="s">
        <v>2574</v>
      </c>
    </row>
    <row r="325" spans="13:17" ht="12.75">
      <c r="M325">
        <f t="shared" si="52"/>
        <v>324</v>
      </c>
      <c r="N325" t="s">
        <v>2579</v>
      </c>
      <c r="O325" s="331" t="s">
        <v>2580</v>
      </c>
      <c r="P325" s="331" t="s">
        <v>2581</v>
      </c>
      <c r="Q325" t="s">
        <v>2582</v>
      </c>
    </row>
    <row r="326" spans="13:17" ht="12.75">
      <c r="M326">
        <f t="shared" si="52"/>
        <v>325</v>
      </c>
      <c r="N326" s="458" t="s">
        <v>2583</v>
      </c>
      <c r="O326" s="474" t="s">
        <v>2584</v>
      </c>
      <c r="P326" s="474" t="s">
        <v>2585</v>
      </c>
      <c r="Q326" s="459" t="s">
        <v>2586</v>
      </c>
    </row>
    <row r="327" spans="13:17" ht="12.75">
      <c r="M327">
        <f t="shared" si="52"/>
        <v>326</v>
      </c>
      <c r="N327" t="s">
        <v>2587</v>
      </c>
      <c r="O327" s="331" t="s">
        <v>2645</v>
      </c>
      <c r="P327" s="331" t="s">
        <v>2646</v>
      </c>
      <c r="Q327" s="331" t="s">
        <v>2647</v>
      </c>
    </row>
    <row r="328" spans="13:16" ht="12.75">
      <c r="M328">
        <f t="shared" si="52"/>
        <v>327</v>
      </c>
      <c r="O328" s="331"/>
      <c r="P328" s="331"/>
    </row>
    <row r="329" spans="13:17" ht="12.75">
      <c r="M329">
        <f t="shared" si="52"/>
        <v>328</v>
      </c>
      <c r="N329" t="s">
        <v>2304</v>
      </c>
      <c r="O329" s="331" t="s">
        <v>2324</v>
      </c>
      <c r="P329" s="331" t="s">
        <v>2322</v>
      </c>
      <c r="Q329" s="331" t="s">
        <v>2323</v>
      </c>
    </row>
    <row r="330" spans="13:17" ht="12.75">
      <c r="M330">
        <f t="shared" si="52"/>
        <v>329</v>
      </c>
      <c r="N330" t="s">
        <v>2552</v>
      </c>
      <c r="O330" s="331" t="s">
        <v>2767</v>
      </c>
      <c r="P330" s="331" t="s">
        <v>2783</v>
      </c>
      <c r="Q330" s="472" t="s">
        <v>2742</v>
      </c>
    </row>
    <row r="331" spans="13:15" ht="12.75">
      <c r="M331">
        <f t="shared" si="52"/>
        <v>330</v>
      </c>
      <c r="O331" s="331"/>
    </row>
    <row r="332" spans="13:15" ht="12.75">
      <c r="M332">
        <f t="shared" si="52"/>
        <v>331</v>
      </c>
      <c r="O332" s="331"/>
    </row>
    <row r="333" spans="13:15" ht="12.75">
      <c r="M333">
        <f t="shared" si="52"/>
        <v>332</v>
      </c>
      <c r="O333" s="331"/>
    </row>
    <row r="334" spans="13:15" ht="12.75">
      <c r="M334">
        <f t="shared" si="52"/>
        <v>333</v>
      </c>
      <c r="O334" s="331"/>
    </row>
    <row r="335" spans="13:15" ht="12.75">
      <c r="M335">
        <f aca="true" t="shared" si="53" ref="M335:M340">ROW()-1</f>
        <v>334</v>
      </c>
      <c r="O335" s="331"/>
    </row>
    <row r="336" spans="13:15" ht="12.75">
      <c r="M336">
        <f t="shared" si="53"/>
        <v>335</v>
      </c>
      <c r="O336" s="331"/>
    </row>
    <row r="337" spans="13:15" ht="12.75">
      <c r="M337">
        <f t="shared" si="53"/>
        <v>336</v>
      </c>
      <c r="O337" s="331"/>
    </row>
    <row r="338" spans="13:15" ht="12.75">
      <c r="M338">
        <f t="shared" si="53"/>
        <v>337</v>
      </c>
      <c r="O338" s="331"/>
    </row>
    <row r="339" spans="13:17" ht="12.75">
      <c r="M339">
        <f t="shared" si="53"/>
        <v>338</v>
      </c>
      <c r="N339" t="s">
        <v>2724</v>
      </c>
      <c r="O339" s="331" t="s">
        <v>2768</v>
      </c>
      <c r="P339" s="331" t="s">
        <v>2784</v>
      </c>
      <c r="Q339" s="331" t="s">
        <v>2743</v>
      </c>
    </row>
    <row r="340" spans="13:17" ht="12.75">
      <c r="M340">
        <f t="shared" si="53"/>
        <v>339</v>
      </c>
      <c r="N340" t="s">
        <v>2703</v>
      </c>
      <c r="O340" s="331" t="s">
        <v>2769</v>
      </c>
      <c r="P340" s="331" t="s">
        <v>2785</v>
      </c>
      <c r="Q340" s="331" t="s">
        <v>2744</v>
      </c>
    </row>
    <row r="341" spans="13:17" ht="12.75">
      <c r="M341">
        <f>ROW()-1</f>
        <v>340</v>
      </c>
      <c r="N341" s="331" t="s">
        <v>2704</v>
      </c>
      <c r="O341" s="331" t="s">
        <v>2705</v>
      </c>
      <c r="P341" s="331" t="s">
        <v>2706</v>
      </c>
      <c r="Q341" s="331" t="s">
        <v>2707</v>
      </c>
    </row>
    <row r="342" spans="13:17" ht="12.75">
      <c r="M342">
        <f>ROW()-1</f>
        <v>341</v>
      </c>
      <c r="N342" t="s">
        <v>2708</v>
      </c>
      <c r="O342" t="s">
        <v>2709</v>
      </c>
      <c r="P342" t="s">
        <v>2710</v>
      </c>
      <c r="Q342" t="s">
        <v>2711</v>
      </c>
    </row>
    <row r="343" spans="13:17" ht="12.75">
      <c r="M343">
        <f>ROW()-1</f>
        <v>342</v>
      </c>
      <c r="N343" t="s">
        <v>2712</v>
      </c>
      <c r="O343" t="s">
        <v>2713</v>
      </c>
      <c r="P343" t="s">
        <v>2714</v>
      </c>
      <c r="Q343" t="s">
        <v>2715</v>
      </c>
    </row>
    <row r="344" spans="13:17" ht="12.75">
      <c r="M344">
        <f>ROW()-1</f>
        <v>343</v>
      </c>
      <c r="N344" t="s">
        <v>2716</v>
      </c>
      <c r="O344" t="s">
        <v>2717</v>
      </c>
      <c r="P344" t="s">
        <v>2718</v>
      </c>
      <c r="Q344" t="s">
        <v>2719</v>
      </c>
    </row>
    <row r="345" spans="13:17" ht="12.75">
      <c r="M345">
        <f>ROW()-1</f>
        <v>344</v>
      </c>
      <c r="N345" t="s">
        <v>2720</v>
      </c>
      <c r="O345" t="s">
        <v>2721</v>
      </c>
      <c r="P345" t="s">
        <v>2722</v>
      </c>
      <c r="Q345" t="s">
        <v>2723</v>
      </c>
    </row>
  </sheetData>
  <sheetProtection sheet="1" objects="1" scenarios="1"/>
  <dataValidations count="1">
    <dataValidation allowBlank="1" showInputMessage="1" showErrorMessage="1" sqref="F2"/>
  </dataValidations>
  <printOptions/>
  <pageMargins left="0.7" right="0.7" top="0.787401575" bottom="0.787401575" header="0.3" footer="0.3"/>
  <pageSetup horizontalDpi="600" verticalDpi="600" orientation="portrait" paperSize="9"/>
  <tableParts>
    <tablePart r:id="rId7"/>
    <tablePart r:id="rId12"/>
    <tablePart r:id="rId10"/>
    <tablePart r:id="rId5"/>
    <tablePart r:id="rId6"/>
    <tablePart r:id="rId3"/>
    <tablePart r:id="rId2"/>
    <tablePart r:id="rId9"/>
    <tablePart r:id="rId11"/>
    <tablePart r:id="rId8"/>
    <tablePart r:id="rId4"/>
    <tablePart r:id="rId1"/>
  </tableParts>
</worksheet>
</file>

<file path=xl/worksheets/sheet2.xml><?xml version="1.0" encoding="utf-8"?>
<worksheet xmlns="http://schemas.openxmlformats.org/spreadsheetml/2006/main" xmlns:r="http://schemas.openxmlformats.org/officeDocument/2006/relationships">
  <sheetPr>
    <tabColor rgb="FF004976"/>
  </sheetPr>
  <dimension ref="A2:CI356"/>
  <sheetViews>
    <sheetView showGridLines="0" showRowColHeaders="0" zoomScale="90" zoomScaleNormal="90" zoomScalePageLayoutView="0" workbookViewId="0" topLeftCell="A1">
      <pane xSplit="7" topLeftCell="H1" activePane="topRight" state="frozen"/>
      <selection pane="topLeft" activeCell="C79" sqref="C79"/>
      <selection pane="topRight" activeCell="B3" sqref="B3:C3"/>
    </sheetView>
  </sheetViews>
  <sheetFormatPr defaultColWidth="10.75390625" defaultRowHeight="12" customHeight="1"/>
  <cols>
    <col min="1" max="1" width="2.50390625" style="81" customWidth="1"/>
    <col min="2" max="2" width="2.50390625" style="1" customWidth="1"/>
    <col min="3" max="3" width="52.00390625" style="9" customWidth="1"/>
    <col min="4" max="4" width="23.50390625" style="1" customWidth="1"/>
    <col min="5" max="5" width="9.50390625" style="286" customWidth="1"/>
    <col min="6" max="6" width="14.125" style="37" customWidth="1"/>
    <col min="7" max="7" width="2.50390625" style="47" customWidth="1"/>
    <col min="8" max="19" width="12.00390625" style="100" customWidth="1"/>
    <col min="20" max="22" width="12.00390625" style="20" customWidth="1"/>
    <col min="23" max="23" width="12.00390625" style="112" customWidth="1"/>
    <col min="24" max="87" width="12.00390625" style="37" customWidth="1"/>
    <col min="88" max="16384" width="10.75390625" style="1" customWidth="1"/>
  </cols>
  <sheetData>
    <row r="2" spans="1:87" s="153" customFormat="1" ht="25.5" customHeight="1">
      <c r="A2" s="78"/>
      <c r="B2" s="485" t="str">
        <f>UPPER(RIGHT(Inhaltsverzeichnis!$C$7,LEN(Inhaltsverzeichnis!$C$7)-FIND(" – ",Inhaltsverzeichnis!$C$7,1)-2))</f>
        <v>DIVULGATIONS GÉNÉRAUX</v>
      </c>
      <c r="C2" s="485"/>
      <c r="D2" s="481" t="str">
        <f>VLOOKUP(35,Textbausteine!$A$2:$E$67,Hilfsgrössen!$D$2,FALSE)</f>
        <v>retour à la table des matières</v>
      </c>
      <c r="E2" s="482"/>
      <c r="F2" s="145" t="s">
        <v>86</v>
      </c>
      <c r="G2" s="171"/>
      <c r="H2" s="159"/>
      <c r="I2" s="159"/>
      <c r="J2" s="159"/>
      <c r="K2" s="159"/>
      <c r="L2" s="159"/>
      <c r="M2" s="159"/>
      <c r="N2" s="159"/>
      <c r="O2" s="159"/>
      <c r="P2" s="159"/>
      <c r="Q2" s="159"/>
      <c r="R2" s="159"/>
      <c r="S2" s="159"/>
      <c r="T2" s="296"/>
      <c r="U2" s="296"/>
      <c r="V2" s="296"/>
      <c r="W2" s="109"/>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row>
    <row r="3" spans="1:87" s="154" customFormat="1" ht="25.5" customHeight="1">
      <c r="A3" s="79"/>
      <c r="B3" s="486" t="str">
        <f>UPPER("GRI "&amp;LEFT(Inhaltsverzeichnis!$C$7,3))</f>
        <v>GRI 102</v>
      </c>
      <c r="C3" s="486"/>
      <c r="E3" s="284"/>
      <c r="F3" s="38"/>
      <c r="G3" s="45"/>
      <c r="H3" s="94"/>
      <c r="I3" s="94"/>
      <c r="J3" s="94"/>
      <c r="K3" s="94"/>
      <c r="L3" s="94"/>
      <c r="M3" s="94"/>
      <c r="N3" s="94"/>
      <c r="O3" s="94"/>
      <c r="P3" s="94"/>
      <c r="Q3" s="94"/>
      <c r="R3" s="94"/>
      <c r="S3" s="94"/>
      <c r="T3" s="116"/>
      <c r="U3" s="116"/>
      <c r="V3" s="116"/>
      <c r="W3" s="110"/>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row>
    <row r="6" spans="1:87" s="31" customFormat="1" ht="12" customHeight="1">
      <c r="A6" s="80"/>
      <c r="B6" s="6" t="str">
        <f>VLOOKUP(31,Textbausteine!$A$2:$E$67,Hilfsgrössen!$D$2,FALSE)</f>
        <v>Divulgations</v>
      </c>
      <c r="C6" s="6"/>
      <c r="E6" s="285"/>
      <c r="F6" s="39"/>
      <c r="G6" s="46"/>
      <c r="H6" s="96"/>
      <c r="I6" s="96"/>
      <c r="J6" s="96"/>
      <c r="K6" s="96"/>
      <c r="L6" s="96"/>
      <c r="M6" s="96"/>
      <c r="N6" s="96"/>
      <c r="O6" s="96"/>
      <c r="P6" s="96"/>
      <c r="Q6" s="96"/>
      <c r="R6" s="96"/>
      <c r="S6" s="96"/>
      <c r="T6" s="117"/>
      <c r="U6" s="117"/>
      <c r="V6" s="117"/>
      <c r="W6" s="111"/>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row>
    <row r="7" spans="2:4" ht="12" customHeight="1">
      <c r="B7" s="2"/>
      <c r="C7" s="148" t="str">
        <f>VLOOKUP(1,Textbausteine!$M$2:$Q$345,Hilfsgrössen!$D$2,FALSE)</f>
        <v>Parts de marché</v>
      </c>
      <c r="D7" s="4"/>
    </row>
    <row r="8" spans="2:4" ht="12" customHeight="1">
      <c r="B8" s="2"/>
      <c r="C8" s="148" t="str">
        <f>VLOOKUP(2,Textbausteine!$M$2:$Q$345,Hilfsgrössen!$D$2,FALSE)</f>
        <v>Financement</v>
      </c>
      <c r="D8" s="4"/>
    </row>
    <row r="9" spans="2:4" ht="12" customHeight="1">
      <c r="B9" s="2"/>
      <c r="C9" s="148" t="str">
        <f>VLOOKUP(3,Textbausteine!$M$2:$Q$345,Hilfsgrössen!$D$2,FALSE)</f>
        <v>Cash-flow et investissements</v>
      </c>
      <c r="D9" s="4"/>
    </row>
    <row r="10" spans="2:4" ht="12" customHeight="1">
      <c r="B10" s="2"/>
      <c r="C10" s="148" t="str">
        <f>VLOOKUP(4,Textbausteine!$M$2:$Q$345,Hilfsgrössen!$D$2,FALSE)</f>
        <v>Evolution des volumes</v>
      </c>
      <c r="D10" s="4"/>
    </row>
    <row r="11" spans="2:4" ht="12" customHeight="1">
      <c r="B11" s="2"/>
      <c r="C11" s="148" t="str">
        <f>VLOOKUP(5,Textbausteine!$M$2:$Q$345,Hilfsgrössen!$D$2,FALSE)</f>
        <v>Volume trafic des paiements</v>
      </c>
      <c r="D11" s="4"/>
    </row>
    <row r="12" spans="2:4" ht="12" customHeight="1">
      <c r="B12" s="2"/>
      <c r="C12" s="148" t="str">
        <f>VLOOKUP(6,Textbausteine!$M$2:$Q$345,Hilfsgrössen!$D$2,FALSE)</f>
        <v>Effectif</v>
      </c>
      <c r="D12" s="4"/>
    </row>
    <row r="13" spans="2:4" ht="12" customHeight="1">
      <c r="B13" s="2"/>
      <c r="C13" s="148" t="str">
        <f>VLOOKUP(7,Textbausteine!$M$2:$Q$345,Hilfsgrössen!$D$2,FALSE)</f>
        <v>Répartition des sexes</v>
      </c>
      <c r="D13" s="4"/>
    </row>
    <row r="14" spans="2:4" ht="12" customHeight="1">
      <c r="B14" s="2"/>
      <c r="C14" s="148" t="str">
        <f>VLOOKUP(8,Textbausteine!$M$2:$Q$345,Hilfsgrössen!$D$2,FALSE)</f>
        <v>Temps partiel</v>
      </c>
      <c r="D14" s="4"/>
    </row>
    <row r="15" spans="2:7" ht="12" customHeight="1">
      <c r="B15" s="2"/>
      <c r="C15" s="148" t="str">
        <f>VLOOKUP(9,Textbausteine!$M$2:$Q$345,Hilfsgrössen!$D$2,FALSE)</f>
        <v>Rapports de travail</v>
      </c>
      <c r="D15" s="4"/>
      <c r="E15" s="287"/>
      <c r="F15" s="40"/>
      <c r="G15" s="48"/>
    </row>
    <row r="16" spans="2:7" ht="12" customHeight="1">
      <c r="B16" s="2"/>
      <c r="C16" s="148" t="str">
        <f>VLOOKUP(10,Textbausteine!$M$2:$Q$345,Hilfsgrössen!$D$2,FALSE)</f>
        <v>Chaîne de livraison</v>
      </c>
      <c r="D16" s="4"/>
      <c r="E16" s="287"/>
      <c r="F16" s="40"/>
      <c r="G16" s="48"/>
    </row>
    <row r="17" spans="2:4" ht="12" customHeight="1">
      <c r="B17" s="2"/>
      <c r="C17" s="148" t="str">
        <f>VLOOKUP(11,Textbausteine!$M$2:$Q$345,Hilfsgrössen!$D$2,FALSE)</f>
        <v>Satisfaction des clients</v>
      </c>
      <c r="D17" s="4"/>
    </row>
    <row r="18" spans="2:7" ht="12" customHeight="1">
      <c r="B18" s="2"/>
      <c r="E18" s="288"/>
      <c r="F18" s="11"/>
      <c r="G18" s="49"/>
    </row>
    <row r="19" spans="2:7" ht="12" customHeight="1">
      <c r="B19" s="2"/>
      <c r="E19" s="288"/>
      <c r="F19" s="11"/>
      <c r="G19" s="49"/>
    </row>
    <row r="20" spans="1:87" s="152" customFormat="1" ht="12" customHeight="1">
      <c r="A20" s="62" t="s">
        <v>807</v>
      </c>
      <c r="B20" s="479" t="str">
        <f>$C$7</f>
        <v>Parts de marché</v>
      </c>
      <c r="C20" s="479"/>
      <c r="D20" s="59" t="str">
        <f>VLOOKUP(32,Textbausteine!$A$2:$E$67,Hilfsgrössen!$D$2,FALSE)</f>
        <v>Unité</v>
      </c>
      <c r="E20" s="289" t="str">
        <f>VLOOKUP(33,Textbausteine!$A$2:$E$67,Hilfsgrössen!$D$2,FALSE)</f>
        <v>Notes</v>
      </c>
      <c r="F20" s="40" t="str">
        <f>VLOOKUP(34,Textbausteine!$A$2:$E$67,Hilfsgrössen!$D$2,FALSE)</f>
        <v>GRI</v>
      </c>
      <c r="G20" s="48"/>
      <c r="H20" s="160">
        <v>2004</v>
      </c>
      <c r="I20" s="160">
        <v>2005</v>
      </c>
      <c r="J20" s="160">
        <v>2006</v>
      </c>
      <c r="K20" s="160">
        <v>2007</v>
      </c>
      <c r="L20" s="160">
        <v>2008</v>
      </c>
      <c r="M20" s="160">
        <v>2009</v>
      </c>
      <c r="N20" s="160">
        <v>2010</v>
      </c>
      <c r="O20" s="160">
        <v>2011</v>
      </c>
      <c r="P20" s="160">
        <v>2012</v>
      </c>
      <c r="Q20" s="160">
        <v>2013</v>
      </c>
      <c r="R20" s="160">
        <v>2014</v>
      </c>
      <c r="S20" s="160">
        <v>2015</v>
      </c>
      <c r="T20" s="120">
        <v>2016</v>
      </c>
      <c r="U20" s="120">
        <v>2017</v>
      </c>
      <c r="V20" s="120">
        <v>2018</v>
      </c>
      <c r="W20" s="250">
        <v>2019</v>
      </c>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row>
    <row r="21" spans="1:87" s="61" customFormat="1" ht="12" customHeight="1">
      <c r="A21" s="82"/>
      <c r="B21" s="479"/>
      <c r="C21" s="479"/>
      <c r="D21" s="60"/>
      <c r="E21" s="285"/>
      <c r="F21" s="39"/>
      <c r="G21" s="49"/>
      <c r="H21" s="161"/>
      <c r="I21" s="161"/>
      <c r="J21" s="161"/>
      <c r="K21" s="161"/>
      <c r="L21" s="161"/>
      <c r="M21" s="161"/>
      <c r="N21" s="161"/>
      <c r="O21" s="161"/>
      <c r="P21" s="161"/>
      <c r="Q21" s="161"/>
      <c r="R21" s="161"/>
      <c r="S21" s="161"/>
      <c r="T21" s="119"/>
      <c r="U21" s="119"/>
      <c r="V21" s="119"/>
      <c r="W21" s="251"/>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row>
    <row r="22" spans="2:23" ht="12" customHeight="1">
      <c r="B22" s="8"/>
      <c r="D22" s="9"/>
      <c r="E22" s="290"/>
      <c r="F22" s="11"/>
      <c r="G22" s="46"/>
      <c r="W22" s="252"/>
    </row>
    <row r="23" spans="2:23" ht="12" customHeight="1">
      <c r="B23" s="8" t="str">
        <f>VLOOKUP(45,Textbausteine!$A$2:$E$67,Hilfsgrössen!$D$2,FALSE)</f>
        <v>PostMail</v>
      </c>
      <c r="D23" s="67"/>
      <c r="E23" s="290"/>
      <c r="F23" s="11"/>
      <c r="T23" s="107"/>
      <c r="U23" s="107"/>
      <c r="V23" s="107"/>
      <c r="W23" s="253"/>
    </row>
    <row r="24" spans="2:24" ht="12" customHeight="1">
      <c r="B24" s="8"/>
      <c r="C24" s="67" t="str">
        <f>VLOOKUP(41,Textbausteine!$M$2:$Q$345,Hilfsgrössen!$D$2,FALSE)</f>
        <v>Importation et exportation de courrier</v>
      </c>
      <c r="D24" s="67" t="str">
        <f>VLOOKUP(21,Textbausteine!$M$2:$Q$345,Hilfsgrössen!$D$2,FALSE)</f>
        <v>%</v>
      </c>
      <c r="E24" s="290" t="s">
        <v>1359</v>
      </c>
      <c r="F24" s="11" t="s">
        <v>1405</v>
      </c>
      <c r="G24" s="169"/>
      <c r="H24" s="379" t="s">
        <v>1470</v>
      </c>
      <c r="I24" s="379" t="s">
        <v>1470</v>
      </c>
      <c r="J24" s="357">
        <v>83</v>
      </c>
      <c r="K24" s="339">
        <v>82</v>
      </c>
      <c r="L24" s="339">
        <v>82</v>
      </c>
      <c r="M24" s="339">
        <v>85</v>
      </c>
      <c r="N24" s="339">
        <v>85</v>
      </c>
      <c r="O24" s="339">
        <v>86</v>
      </c>
      <c r="P24" s="339">
        <v>86</v>
      </c>
      <c r="Q24" s="339">
        <v>85</v>
      </c>
      <c r="R24" s="339">
        <v>84</v>
      </c>
      <c r="S24" s="339">
        <v>83</v>
      </c>
      <c r="T24" s="350">
        <v>83</v>
      </c>
      <c r="U24" s="350">
        <v>82</v>
      </c>
      <c r="V24" s="350">
        <v>81</v>
      </c>
      <c r="W24" s="380">
        <v>80</v>
      </c>
      <c r="X24" s="11"/>
    </row>
    <row r="25" spans="3:23" ht="12" customHeight="1">
      <c r="C25" s="77"/>
      <c r="D25" s="67"/>
      <c r="E25" s="290"/>
      <c r="F25" s="11"/>
      <c r="H25" s="20"/>
      <c r="I25" s="20"/>
      <c r="J25" s="20"/>
      <c r="K25" s="20"/>
      <c r="L25" s="20"/>
      <c r="M25" s="20"/>
      <c r="N25" s="20"/>
      <c r="T25" s="107"/>
      <c r="U25" s="107"/>
      <c r="V25" s="107"/>
      <c r="W25" s="253"/>
    </row>
    <row r="26" spans="2:23" ht="12" customHeight="1">
      <c r="B26" s="8" t="str">
        <f>VLOOKUP(48,Textbausteine!$A$2:$E$67,Hilfsgrössen!$D$2,FALSE)</f>
        <v>PostLogistics</v>
      </c>
      <c r="D26" s="67"/>
      <c r="E26" s="290"/>
      <c r="F26" s="11"/>
      <c r="T26" s="107"/>
      <c r="U26" s="107"/>
      <c r="V26" s="107"/>
      <c r="W26" s="253"/>
    </row>
    <row r="27" spans="2:23" ht="12" customHeight="1">
      <c r="B27" s="8"/>
      <c r="C27" s="172" t="str">
        <f>VLOOKUP(42,Textbausteine!$M$2:$Q$345,Hilfsgrössen!$D$2,FALSE)</f>
        <v>Colis</v>
      </c>
      <c r="D27" s="67" t="str">
        <f>VLOOKUP(21,Textbausteine!$M$2:$Q$345,Hilfsgrössen!$D$2,FALSE)</f>
        <v>%</v>
      </c>
      <c r="E27" s="290"/>
      <c r="F27" s="11" t="s">
        <v>1405</v>
      </c>
      <c r="H27" s="168" t="s">
        <v>1470</v>
      </c>
      <c r="I27" s="170">
        <v>74</v>
      </c>
      <c r="J27" s="170">
        <v>74</v>
      </c>
      <c r="K27" s="163">
        <v>74</v>
      </c>
      <c r="L27" s="163">
        <v>74</v>
      </c>
      <c r="M27" s="20">
        <v>74</v>
      </c>
      <c r="N27" s="20">
        <v>75</v>
      </c>
      <c r="O27" s="100">
        <v>75</v>
      </c>
      <c r="P27" s="100">
        <v>76</v>
      </c>
      <c r="Q27" s="100">
        <v>76</v>
      </c>
      <c r="R27" s="100">
        <v>76</v>
      </c>
      <c r="S27" s="100">
        <v>76.9</v>
      </c>
      <c r="T27" s="107">
        <v>77.9</v>
      </c>
      <c r="U27" s="107">
        <v>78.4</v>
      </c>
      <c r="V27" s="107">
        <v>79</v>
      </c>
      <c r="W27" s="253">
        <v>79.2</v>
      </c>
    </row>
    <row r="28" spans="3:23" ht="12" customHeight="1">
      <c r="C28" s="67" t="str">
        <f>VLOOKUP(43,Textbausteine!$M$2:$Q$345,Hilfsgrössen!$D$2,FALSE)</f>
        <v>Importation et exportation de coursier, express et colis</v>
      </c>
      <c r="D28" s="67" t="str">
        <f>VLOOKUP(21,Textbausteine!$M$2:$Q$345,Hilfsgrössen!$D$2,FALSE)</f>
        <v>%</v>
      </c>
      <c r="E28" s="290" t="s">
        <v>1441</v>
      </c>
      <c r="F28" s="11" t="s">
        <v>1405</v>
      </c>
      <c r="G28" s="169"/>
      <c r="H28" s="168" t="s">
        <v>1470</v>
      </c>
      <c r="I28" s="168" t="s">
        <v>1470</v>
      </c>
      <c r="J28" s="20">
        <v>47</v>
      </c>
      <c r="K28" s="20">
        <v>47</v>
      </c>
      <c r="L28" s="20">
        <v>46</v>
      </c>
      <c r="M28" s="20">
        <v>46</v>
      </c>
      <c r="N28" s="20">
        <v>45</v>
      </c>
      <c r="O28" s="100">
        <v>42</v>
      </c>
      <c r="P28" s="100">
        <v>45</v>
      </c>
      <c r="Q28" s="100">
        <v>18</v>
      </c>
      <c r="R28" s="100">
        <v>17</v>
      </c>
      <c r="S28" s="100">
        <v>18.5</v>
      </c>
      <c r="T28" s="107">
        <v>19.4</v>
      </c>
      <c r="U28" s="107">
        <v>18.5</v>
      </c>
      <c r="V28" s="107">
        <v>18</v>
      </c>
      <c r="W28" s="253">
        <v>19</v>
      </c>
    </row>
    <row r="29" spans="2:23" ht="12" customHeight="1">
      <c r="B29" s="8"/>
      <c r="D29" s="9"/>
      <c r="E29" s="290"/>
      <c r="F29" s="11"/>
      <c r="G29" s="46"/>
      <c r="W29" s="252"/>
    </row>
    <row r="30" spans="2:23" ht="12" customHeight="1">
      <c r="B30" s="8" t="str">
        <f>VLOOKUP(49,Textbausteine!$A$2:$E$67,Hilfsgrössen!$D$2,FALSE)</f>
        <v>PostFinance</v>
      </c>
      <c r="D30" s="67"/>
      <c r="E30" s="290"/>
      <c r="F30" s="11"/>
      <c r="T30" s="107"/>
      <c r="U30" s="107"/>
      <c r="V30" s="107"/>
      <c r="W30" s="253"/>
    </row>
    <row r="31" spans="2:23" ht="12" customHeight="1">
      <c r="B31" s="8"/>
      <c r="C31" s="67" t="str">
        <f>VLOOKUP(44,Textbausteine!$M$2:$Q$345,Hilfsgrössen!$D$2,FALSE)</f>
        <v>Opérations passives</v>
      </c>
      <c r="D31" s="67" t="str">
        <f>VLOOKUP(21,Textbausteine!$M$2:$Q$345,Hilfsgrössen!$D$2,FALSE)</f>
        <v>%</v>
      </c>
      <c r="E31" s="290" t="s">
        <v>1443</v>
      </c>
      <c r="F31" s="11" t="s">
        <v>1405</v>
      </c>
      <c r="H31" s="168" t="s">
        <v>1470</v>
      </c>
      <c r="I31" s="163">
        <v>6.3</v>
      </c>
      <c r="J31" s="173">
        <v>6.1</v>
      </c>
      <c r="K31" s="173">
        <v>6.3</v>
      </c>
      <c r="L31" s="174">
        <v>6.9</v>
      </c>
      <c r="M31" s="20">
        <v>9</v>
      </c>
      <c r="N31" s="20">
        <v>9.8</v>
      </c>
      <c r="O31" s="100">
        <v>10.2</v>
      </c>
      <c r="P31" s="100">
        <v>10.6</v>
      </c>
      <c r="Q31" s="100">
        <v>10.9</v>
      </c>
      <c r="R31" s="100">
        <v>10.9</v>
      </c>
      <c r="S31" s="100">
        <v>10.7</v>
      </c>
      <c r="T31" s="181" t="s">
        <v>1470</v>
      </c>
      <c r="U31" s="181" t="s">
        <v>1470</v>
      </c>
      <c r="V31" s="181" t="s">
        <v>1470</v>
      </c>
      <c r="W31" s="254" t="s">
        <v>1470</v>
      </c>
    </row>
    <row r="32" spans="2:23" ht="12" customHeight="1">
      <c r="B32" s="8"/>
      <c r="D32" s="9"/>
      <c r="E32" s="290"/>
      <c r="F32" s="11"/>
      <c r="G32" s="46"/>
      <c r="W32" s="252"/>
    </row>
    <row r="33" spans="2:23" ht="12" customHeight="1">
      <c r="B33" s="8" t="str">
        <f>VLOOKUP(50,Textbausteine!$A$2:$E$67,Hilfsgrössen!$D$2,FALSE)</f>
        <v>CarPostal</v>
      </c>
      <c r="C33" s="8"/>
      <c r="D33" s="9"/>
      <c r="E33" s="290"/>
      <c r="F33" s="11"/>
      <c r="G33" s="46"/>
      <c r="W33" s="252"/>
    </row>
    <row r="34" spans="2:23" ht="12" customHeight="1">
      <c r="B34" s="8"/>
      <c r="C34" s="9" t="str">
        <f>VLOOKUP(45,Textbausteine!$M$2:$Q$345,Hilfsgrössen!$D$2,FALSE)</f>
        <v>Transports régionaux de voyageurs en vertu de la loi sur le transport de voyageurs (LTV)</v>
      </c>
      <c r="D34" s="9" t="str">
        <f>VLOOKUP(21,Textbausteine!$M$2:$Q$345,Hilfsgrössen!$D$2,FALSE)</f>
        <v>%</v>
      </c>
      <c r="E34" s="290" t="s">
        <v>1444</v>
      </c>
      <c r="F34" s="11" t="s">
        <v>1405</v>
      </c>
      <c r="G34" s="46"/>
      <c r="H34" s="168" t="s">
        <v>1470</v>
      </c>
      <c r="I34" s="100">
        <v>15</v>
      </c>
      <c r="J34" s="100">
        <v>15</v>
      </c>
      <c r="K34" s="100">
        <v>15</v>
      </c>
      <c r="L34" s="100">
        <v>15</v>
      </c>
      <c r="M34" s="100">
        <v>15.67</v>
      </c>
      <c r="N34" s="100">
        <v>16</v>
      </c>
      <c r="O34" s="100">
        <v>16</v>
      </c>
      <c r="P34" s="100">
        <v>15.3</v>
      </c>
      <c r="Q34" s="100">
        <v>15.1</v>
      </c>
      <c r="R34" s="100">
        <v>15.2</v>
      </c>
      <c r="S34" s="100">
        <v>15.3</v>
      </c>
      <c r="T34" s="20">
        <v>16.5</v>
      </c>
      <c r="U34" s="20">
        <v>13.9</v>
      </c>
      <c r="V34" s="20">
        <v>13.8</v>
      </c>
      <c r="W34" s="252">
        <v>14</v>
      </c>
    </row>
    <row r="35" spans="2:23" ht="12" customHeight="1">
      <c r="B35" s="8"/>
      <c r="D35" s="9"/>
      <c r="E35" s="290"/>
      <c r="F35" s="11"/>
      <c r="G35" s="46"/>
      <c r="W35" s="20"/>
    </row>
    <row r="36" spans="2:23" ht="12" customHeight="1">
      <c r="B36" s="26" t="str">
        <f>VLOOKUP(241,Textbausteine!$M$2:$Q$345,Hilfsgrössen!$D$2,FALSE)</f>
        <v>1) Depuis 2012, Swiss Post International ne constitue plus un segment autonome. Les valeurs la concernant ont été répercutées sur les unités d'affaires PostMail et PostLogistics à partir du 1er janvier 2012.</v>
      </c>
      <c r="C36" s="15"/>
      <c r="H36" s="162"/>
      <c r="I36" s="162"/>
      <c r="J36" s="162"/>
      <c r="K36" s="162"/>
      <c r="L36" s="162"/>
      <c r="M36" s="162"/>
      <c r="N36" s="20"/>
      <c r="O36" s="20"/>
      <c r="P36" s="107"/>
      <c r="Q36" s="163"/>
      <c r="R36" s="162"/>
      <c r="S36" s="162"/>
      <c r="T36" s="163"/>
      <c r="U36" s="163"/>
      <c r="V36" s="163"/>
      <c r="W36" s="163"/>
    </row>
    <row r="37" spans="2:23" ht="12" customHeight="1">
      <c r="B37" s="26" t="str">
        <f>VLOOKUP(242,Textbausteine!$M$2:$Q$345,Hilfsgrössen!$D$2,FALSE)</f>
        <v>2) Valeurs de l'exercice précédent ajustées.</v>
      </c>
      <c r="C37" s="15"/>
      <c r="H37" s="162"/>
      <c r="I37" s="162"/>
      <c r="J37" s="162"/>
      <c r="K37" s="162"/>
      <c r="L37" s="162"/>
      <c r="M37" s="162"/>
      <c r="N37" s="20"/>
      <c r="O37" s="20"/>
      <c r="P37" s="107"/>
      <c r="Q37" s="163"/>
      <c r="R37" s="162"/>
      <c r="S37" s="162"/>
      <c r="T37" s="163"/>
      <c r="U37" s="163"/>
      <c r="V37" s="163"/>
      <c r="W37" s="163"/>
    </row>
    <row r="38" spans="2:23" ht="12" customHeight="1">
      <c r="B38" s="26" t="str">
        <f>VLOOKUP(243,Textbausteine!$M$2:$Q$345,Hilfsgrössen!$D$2,FALSE)</f>
        <v>3) Les opérations passives comprennent la prise en charge des fonds des clients.</v>
      </c>
      <c r="C38" s="68"/>
      <c r="E38" s="288"/>
      <c r="F38" s="11"/>
      <c r="G38" s="49"/>
      <c r="H38" s="175"/>
      <c r="I38" s="175"/>
      <c r="J38" s="175"/>
      <c r="K38" s="175"/>
      <c r="L38" s="175"/>
      <c r="M38" s="175"/>
      <c r="N38" s="162"/>
      <c r="O38" s="162"/>
      <c r="P38" s="162"/>
      <c r="Q38" s="162"/>
      <c r="R38" s="162"/>
      <c r="S38" s="162"/>
      <c r="T38" s="163"/>
      <c r="U38" s="163"/>
      <c r="V38" s="163"/>
      <c r="W38" s="163"/>
    </row>
    <row r="39" spans="2:23" ht="12" customHeight="1">
      <c r="B39" s="26" t="str">
        <f>VLOOKUP(244,Textbausteine!$M$2:$Q$345,Hilfsgrössen!$D$2,FALSE)</f>
        <v>4) Valeur effective 2013 provisoire (novembre 2013); exercices précédents ajustés après le changement de raison sociale en PostFinance SA fin juin 2013.</v>
      </c>
      <c r="C39" s="68"/>
      <c r="E39" s="290"/>
      <c r="F39" s="11"/>
      <c r="G39" s="49"/>
      <c r="H39" s="175"/>
      <c r="I39" s="175"/>
      <c r="J39" s="175"/>
      <c r="K39" s="175"/>
      <c r="L39" s="175"/>
      <c r="M39" s="175"/>
      <c r="N39" s="162"/>
      <c r="O39" s="162"/>
      <c r="P39" s="162"/>
      <c r="Q39" s="162"/>
      <c r="R39" s="162"/>
      <c r="S39" s="162"/>
      <c r="T39" s="163"/>
      <c r="U39" s="163"/>
      <c r="V39" s="163"/>
      <c r="W39" s="163"/>
    </row>
    <row r="40" spans="2:23" ht="12" customHeight="1">
      <c r="B40" s="26" t="str">
        <f>VLOOKUP(245,Textbausteine!$M$2:$Q$345,Hilfsgrössen!$D$2,FALSE)</f>
        <v>5) Transport régional de voyageurs selon la loi sur les chemins de fer; part de marché absolue: chiffre d'affaires de CarPostal par rapport au chiffre d'affaires du marché.</v>
      </c>
      <c r="C40" s="15"/>
      <c r="D40" s="9"/>
      <c r="E40" s="291"/>
      <c r="F40" s="44"/>
      <c r="G40" s="49"/>
      <c r="H40" s="162"/>
      <c r="I40" s="162"/>
      <c r="J40" s="162"/>
      <c r="K40" s="162"/>
      <c r="L40" s="162"/>
      <c r="M40" s="162"/>
      <c r="N40" s="20"/>
      <c r="O40" s="20"/>
      <c r="P40" s="107"/>
      <c r="Q40" s="163"/>
      <c r="R40" s="162"/>
      <c r="S40" s="162"/>
      <c r="T40" s="163"/>
      <c r="U40" s="163"/>
      <c r="V40" s="163"/>
      <c r="W40" s="163"/>
    </row>
    <row r="41" spans="2:23" ht="12" customHeight="1">
      <c r="B41" s="26" t="str">
        <f>VLOOKUP(246,Textbausteine!$M$2:$Q$345,Hilfsgrössen!$D$2,FALSE)</f>
        <v>6) Entre 2010 à et avec 2013: y compris les clients privés gérés par RéseauPostal.</v>
      </c>
      <c r="C41" s="26"/>
      <c r="D41" s="26"/>
      <c r="E41" s="295"/>
      <c r="F41" s="43"/>
      <c r="G41" s="26"/>
      <c r="H41" s="164"/>
      <c r="I41" s="164"/>
      <c r="J41" s="164"/>
      <c r="K41" s="164"/>
      <c r="L41" s="164"/>
      <c r="M41" s="164"/>
      <c r="N41" s="164"/>
      <c r="O41" s="164"/>
      <c r="P41" s="164"/>
      <c r="Q41" s="164"/>
      <c r="R41" s="162"/>
      <c r="S41" s="162"/>
      <c r="T41" s="163"/>
      <c r="U41" s="163"/>
      <c r="V41" s="163"/>
      <c r="W41" s="163"/>
    </row>
    <row r="42" spans="2:23" ht="12" customHeight="1">
      <c r="B42" s="26" t="str">
        <f>VLOOKUP(247,Textbausteine!$M$2:$Q$345,Hilfsgrössen!$D$2,FALSE)</f>
        <v>7) Depuis 2014, les volumes de TNT ne sont plus intégrés dans le calcul des parts de marché, de manière à assurer la concordance avec les volumes présentés. L'exercice 2013 est présenté en outre comme valeur de comparaison. Les valeurs de 2005 à 2012 ne peuvent pas être comparées.</v>
      </c>
      <c r="C42" s="26"/>
      <c r="D42" s="26"/>
      <c r="E42" s="295"/>
      <c r="F42" s="43"/>
      <c r="G42" s="26"/>
      <c r="H42" s="164"/>
      <c r="I42" s="164"/>
      <c r="J42" s="164"/>
      <c r="K42" s="164"/>
      <c r="L42" s="164"/>
      <c r="M42" s="164"/>
      <c r="N42" s="164"/>
      <c r="O42" s="164"/>
      <c r="P42" s="164"/>
      <c r="Q42" s="164"/>
      <c r="R42" s="162"/>
      <c r="S42" s="162"/>
      <c r="T42" s="163"/>
      <c r="U42" s="163"/>
      <c r="V42" s="163"/>
      <c r="W42" s="163"/>
    </row>
    <row r="43" spans="2:23" ht="12" customHeight="1">
      <c r="B43" s="26" t="str">
        <f>VLOOKUP(248,Textbausteine!$M$2:$Q$345,Hilfsgrössen!$D$2,FALSE)</f>
        <v>8) Depuis le 1er janvier 2016, la part de marché des opérations passives de PostFinance n'est plus relevée.</v>
      </c>
      <c r="C43" s="15"/>
      <c r="H43" s="162"/>
      <c r="I43" s="162"/>
      <c r="J43" s="162"/>
      <c r="K43" s="162"/>
      <c r="L43" s="162"/>
      <c r="M43" s="162"/>
      <c r="N43" s="20"/>
      <c r="O43" s="20"/>
      <c r="P43" s="107"/>
      <c r="Q43" s="163"/>
      <c r="R43" s="162"/>
      <c r="S43" s="162"/>
      <c r="T43" s="163"/>
      <c r="U43" s="163"/>
      <c r="V43" s="163"/>
      <c r="W43" s="163"/>
    </row>
    <row r="44" spans="2:23" ht="12" customHeight="1">
      <c r="B44" s="26" t="str">
        <f>VLOOKUP(249,Textbausteine!$M$2:$Q$345,Hilfsgrössen!$D$2,FALSE)</f>
        <v>9) La valeur de l'année de référence actuelle est provisoire.</v>
      </c>
      <c r="C44" s="15"/>
      <c r="H44" s="162"/>
      <c r="I44" s="162"/>
      <c r="J44" s="162"/>
      <c r="K44" s="162"/>
      <c r="L44" s="162"/>
      <c r="M44" s="162"/>
      <c r="N44" s="20"/>
      <c r="O44" s="20"/>
      <c r="P44" s="107"/>
      <c r="Q44" s="163"/>
      <c r="R44" s="162"/>
      <c r="S44" s="162"/>
      <c r="T44" s="163"/>
      <c r="U44" s="163"/>
      <c r="V44" s="163"/>
      <c r="W44" s="163"/>
    </row>
    <row r="45" spans="2:23" ht="12" customHeight="1">
      <c r="B45" s="8"/>
      <c r="D45" s="9"/>
      <c r="E45" s="290"/>
      <c r="F45" s="11"/>
      <c r="G45" s="46"/>
      <c r="W45" s="20"/>
    </row>
    <row r="46" spans="3:23" ht="12" customHeight="1">
      <c r="C46" s="15"/>
      <c r="H46" s="162"/>
      <c r="I46" s="162"/>
      <c r="J46" s="162"/>
      <c r="K46" s="162"/>
      <c r="L46" s="162"/>
      <c r="M46" s="162"/>
      <c r="N46" s="20"/>
      <c r="O46" s="20"/>
      <c r="P46" s="107"/>
      <c r="Q46" s="163"/>
      <c r="R46" s="162"/>
      <c r="S46" s="162"/>
      <c r="T46" s="163"/>
      <c r="U46" s="163"/>
      <c r="V46" s="163"/>
      <c r="W46" s="163"/>
    </row>
    <row r="47" spans="1:87" s="152" customFormat="1" ht="12" customHeight="1">
      <c r="A47" s="62" t="s">
        <v>807</v>
      </c>
      <c r="B47" s="480" t="str">
        <f>$C$8</f>
        <v>Financement</v>
      </c>
      <c r="C47" s="480"/>
      <c r="D47" s="59" t="str">
        <f>VLOOKUP(32,Textbausteine!$A$2:$E$67,Hilfsgrössen!$D$2,FALSE)</f>
        <v>Unité</v>
      </c>
      <c r="E47" s="289" t="str">
        <f>VLOOKUP(33,Textbausteine!$A$2:$E$67,Hilfsgrössen!$D$2,FALSE)</f>
        <v>Notes</v>
      </c>
      <c r="F47" s="40" t="str">
        <f>VLOOKUP(34,Textbausteine!$A$2:$E$67,Hilfsgrössen!$D$2,FALSE)</f>
        <v>GRI</v>
      </c>
      <c r="G47" s="48"/>
      <c r="H47" s="160">
        <v>2004</v>
      </c>
      <c r="I47" s="160">
        <v>2005</v>
      </c>
      <c r="J47" s="160">
        <v>2006</v>
      </c>
      <c r="K47" s="160">
        <v>2007</v>
      </c>
      <c r="L47" s="160">
        <v>2008</v>
      </c>
      <c r="M47" s="160">
        <v>2009</v>
      </c>
      <c r="N47" s="160">
        <v>2010</v>
      </c>
      <c r="O47" s="160">
        <v>2011</v>
      </c>
      <c r="P47" s="160">
        <v>2012</v>
      </c>
      <c r="Q47" s="160">
        <v>2013</v>
      </c>
      <c r="R47" s="160">
        <v>2014</v>
      </c>
      <c r="S47" s="160">
        <v>2015</v>
      </c>
      <c r="T47" s="120" t="s">
        <v>2379</v>
      </c>
      <c r="U47" s="120" t="s">
        <v>2378</v>
      </c>
      <c r="V47" s="120" t="s">
        <v>2540</v>
      </c>
      <c r="W47" s="250">
        <v>2019</v>
      </c>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3"/>
      <c r="BR47" s="113"/>
      <c r="BS47" s="113"/>
      <c r="BT47" s="113"/>
      <c r="BU47" s="113"/>
      <c r="BV47" s="113"/>
      <c r="BW47" s="113"/>
      <c r="BX47" s="113"/>
      <c r="BY47" s="113"/>
      <c r="BZ47" s="113"/>
      <c r="CA47" s="113"/>
      <c r="CB47" s="113"/>
      <c r="CC47" s="113"/>
      <c r="CD47" s="113"/>
      <c r="CE47" s="113"/>
      <c r="CF47" s="113"/>
      <c r="CG47" s="113"/>
      <c r="CH47" s="113"/>
      <c r="CI47" s="113"/>
    </row>
    <row r="48" spans="1:87" s="61" customFormat="1" ht="12" customHeight="1">
      <c r="A48" s="82"/>
      <c r="B48" s="480"/>
      <c r="C48" s="480"/>
      <c r="D48" s="60"/>
      <c r="E48" s="285"/>
      <c r="F48" s="39"/>
      <c r="G48" s="49"/>
      <c r="H48" s="161"/>
      <c r="I48" s="161"/>
      <c r="J48" s="161"/>
      <c r="K48" s="161"/>
      <c r="L48" s="161"/>
      <c r="M48" s="161"/>
      <c r="N48" s="161"/>
      <c r="O48" s="161"/>
      <c r="P48" s="161"/>
      <c r="Q48" s="161"/>
      <c r="R48" s="161"/>
      <c r="S48" s="161"/>
      <c r="T48" s="119"/>
      <c r="U48" s="119"/>
      <c r="V48" s="119"/>
      <c r="W48" s="251"/>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4"/>
      <c r="BX48" s="114"/>
      <c r="BY48" s="114"/>
      <c r="BZ48" s="114"/>
      <c r="CA48" s="114"/>
      <c r="CB48" s="114"/>
      <c r="CC48" s="114"/>
      <c r="CD48" s="114"/>
      <c r="CE48" s="114"/>
      <c r="CF48" s="114"/>
      <c r="CG48" s="114"/>
      <c r="CH48" s="114"/>
      <c r="CI48" s="114"/>
    </row>
    <row r="49" spans="2:23" ht="12" customHeight="1">
      <c r="B49" s="8"/>
      <c r="D49" s="9"/>
      <c r="E49" s="290"/>
      <c r="F49" s="11"/>
      <c r="G49" s="46"/>
      <c r="W49" s="252"/>
    </row>
    <row r="50" spans="2:23" ht="12" customHeight="1">
      <c r="B50" s="8" t="str">
        <f>VLOOKUP(36,Textbausteine!$A$2:$E$67,Hilfsgrössen!$D$2,FALSE)</f>
        <v>Groupe</v>
      </c>
      <c r="D50" s="67"/>
      <c r="E50" s="290"/>
      <c r="F50" s="11"/>
      <c r="T50" s="107"/>
      <c r="U50" s="107"/>
      <c r="V50" s="107"/>
      <c r="W50" s="253"/>
    </row>
    <row r="51" spans="2:23" ht="12" customHeight="1">
      <c r="B51" s="8"/>
      <c r="C51" s="67" t="str">
        <f>VLOOKUP(51,Textbausteine!$M$2:$Q$345,Hilfsgrössen!$D$2,FALSE)</f>
        <v>Total du bilan</v>
      </c>
      <c r="D51" s="9" t="str">
        <f>VLOOKUP(22,Textbausteine!$M$2:$Q$345,Hilfsgrössen!$D$2,FALSE)</f>
        <v>Millions de CHF</v>
      </c>
      <c r="E51" s="290"/>
      <c r="F51" s="11" t="s">
        <v>1319</v>
      </c>
      <c r="H51" s="138" t="s">
        <v>1470</v>
      </c>
      <c r="I51" s="100">
        <v>50130</v>
      </c>
      <c r="J51" s="100">
        <v>55600</v>
      </c>
      <c r="K51" s="100">
        <v>60085</v>
      </c>
      <c r="L51" s="100">
        <v>71603</v>
      </c>
      <c r="M51" s="100">
        <v>84676</v>
      </c>
      <c r="N51" s="100">
        <v>93310</v>
      </c>
      <c r="O51" s="100">
        <v>108254</v>
      </c>
      <c r="P51" s="100">
        <v>120069</v>
      </c>
      <c r="Q51" s="100">
        <v>120383</v>
      </c>
      <c r="R51" s="100">
        <v>124671</v>
      </c>
      <c r="S51" s="100">
        <v>120327</v>
      </c>
      <c r="T51" s="107">
        <v>126545</v>
      </c>
      <c r="U51" s="107">
        <v>127289</v>
      </c>
      <c r="V51" s="107">
        <v>124196</v>
      </c>
      <c r="W51" s="253">
        <v>132544</v>
      </c>
    </row>
    <row r="52" spans="3:23" ht="12" customHeight="1">
      <c r="C52" s="77" t="str">
        <f>VLOOKUP(52,Textbausteine!$M$2:$Q$345,Hilfsgrössen!$D$2,FALSE)</f>
        <v>Fonds des clients PostFinance</v>
      </c>
      <c r="D52" s="9" t="str">
        <f>VLOOKUP(22,Textbausteine!$M$2:$Q$345,Hilfsgrössen!$D$2,FALSE)</f>
        <v>Millions de CHF</v>
      </c>
      <c r="E52" s="290"/>
      <c r="F52" s="11" t="s">
        <v>1319</v>
      </c>
      <c r="H52" s="138" t="s">
        <v>1470</v>
      </c>
      <c r="I52" s="20">
        <v>43630</v>
      </c>
      <c r="J52" s="20">
        <v>48364</v>
      </c>
      <c r="K52" s="20">
        <v>51462</v>
      </c>
      <c r="L52" s="20">
        <v>64204</v>
      </c>
      <c r="M52" s="20">
        <v>77272</v>
      </c>
      <c r="N52" s="20">
        <v>85725</v>
      </c>
      <c r="O52" s="100">
        <v>100707</v>
      </c>
      <c r="P52" s="100">
        <v>110531</v>
      </c>
      <c r="Q52" s="100">
        <v>109086</v>
      </c>
      <c r="R52" s="100">
        <v>112150</v>
      </c>
      <c r="S52" s="100">
        <v>107380</v>
      </c>
      <c r="T52" s="107">
        <v>110477</v>
      </c>
      <c r="U52" s="107">
        <v>113195</v>
      </c>
      <c r="V52" s="107">
        <v>111141</v>
      </c>
      <c r="W52" s="253">
        <v>108669</v>
      </c>
    </row>
    <row r="53" spans="3:24" ht="12" customHeight="1">
      <c r="C53" s="77" t="str">
        <f>VLOOKUP(53,Textbausteine!$M$2:$Q$345,Hilfsgrössen!$D$2,FALSE)</f>
        <v>Part au total du bilan</v>
      </c>
      <c r="D53" s="9" t="str">
        <f>VLOOKUP(21,Textbausteine!$M$2:$Q$345,Hilfsgrössen!$D$2,FALSE)</f>
        <v>%</v>
      </c>
      <c r="E53" s="290"/>
      <c r="F53" s="11" t="s">
        <v>1319</v>
      </c>
      <c r="H53" s="138" t="s">
        <v>1470</v>
      </c>
      <c r="I53" s="20">
        <v>87</v>
      </c>
      <c r="J53" s="20">
        <v>87</v>
      </c>
      <c r="K53" s="20">
        <v>86</v>
      </c>
      <c r="L53" s="20">
        <v>90</v>
      </c>
      <c r="M53" s="20">
        <v>91</v>
      </c>
      <c r="N53" s="20">
        <v>92</v>
      </c>
      <c r="O53" s="100">
        <v>93</v>
      </c>
      <c r="P53" s="332">
        <v>92</v>
      </c>
      <c r="Q53" s="100">
        <v>91</v>
      </c>
      <c r="R53" s="100">
        <v>90</v>
      </c>
      <c r="S53" s="100">
        <v>89</v>
      </c>
      <c r="T53" s="107">
        <v>87</v>
      </c>
      <c r="U53" s="107">
        <v>89</v>
      </c>
      <c r="V53" s="107">
        <v>89</v>
      </c>
      <c r="W53" s="253">
        <v>82</v>
      </c>
      <c r="X53" s="11"/>
    </row>
    <row r="54" spans="3:23" ht="12" customHeight="1">
      <c r="C54" s="67" t="str">
        <f>VLOOKUP(54,Textbausteine!$M$2:$Q$345,Hilfsgrössen!$D$2,FALSE)</f>
        <v>Fonds propres</v>
      </c>
      <c r="D54" s="9" t="str">
        <f>VLOOKUP(22,Textbausteine!$M$2:$Q$345,Hilfsgrössen!$D$2,FALSE)</f>
        <v>Millions de CHF</v>
      </c>
      <c r="E54" s="290"/>
      <c r="F54" s="11" t="s">
        <v>1319</v>
      </c>
      <c r="H54" s="138" t="s">
        <v>1470</v>
      </c>
      <c r="I54" s="162">
        <v>922</v>
      </c>
      <c r="J54" s="162">
        <v>1605</v>
      </c>
      <c r="K54" s="162">
        <v>2470</v>
      </c>
      <c r="L54" s="162">
        <v>2857</v>
      </c>
      <c r="M54" s="162">
        <v>3534</v>
      </c>
      <c r="N54" s="20">
        <v>4224</v>
      </c>
      <c r="O54" s="20">
        <v>4879</v>
      </c>
      <c r="P54" s="107">
        <v>3145</v>
      </c>
      <c r="Q54" s="163">
        <v>5637</v>
      </c>
      <c r="R54" s="162">
        <v>5010</v>
      </c>
      <c r="S54" s="162">
        <v>4385</v>
      </c>
      <c r="T54" s="107">
        <v>4744</v>
      </c>
      <c r="U54" s="107">
        <v>6583</v>
      </c>
      <c r="V54" s="107">
        <v>6759</v>
      </c>
      <c r="W54" s="253">
        <v>6834</v>
      </c>
    </row>
    <row r="55" spans="3:23" ht="12" customHeight="1">
      <c r="C55" s="15"/>
      <c r="H55" s="162"/>
      <c r="I55" s="162"/>
      <c r="J55" s="162"/>
      <c r="K55" s="162"/>
      <c r="L55" s="162"/>
      <c r="M55" s="162"/>
      <c r="N55" s="20"/>
      <c r="O55" s="20"/>
      <c r="P55" s="107"/>
      <c r="Q55" s="163"/>
      <c r="R55" s="162"/>
      <c r="S55" s="162"/>
      <c r="T55" s="163"/>
      <c r="U55" s="163"/>
      <c r="V55" s="163"/>
      <c r="W55" s="163"/>
    </row>
    <row r="56" spans="2:23" ht="12" customHeight="1">
      <c r="B56" s="21" t="str">
        <f>VLOOKUP(251,Textbausteine!$M$2:$Q$345,Hilfsgrössen!$D$2,FALSE)</f>
        <v>1) Valeurs de l'exercice précédent partiellement adaptées.</v>
      </c>
      <c r="C56" s="378"/>
      <c r="H56" s="162"/>
      <c r="I56" s="162"/>
      <c r="J56" s="162"/>
      <c r="K56" s="162"/>
      <c r="L56" s="162"/>
      <c r="M56" s="162"/>
      <c r="N56" s="20"/>
      <c r="O56" s="20"/>
      <c r="P56" s="107"/>
      <c r="Q56" s="163"/>
      <c r="R56" s="162"/>
      <c r="S56" s="162"/>
      <c r="T56" s="163"/>
      <c r="U56" s="163"/>
      <c r="V56" s="163"/>
      <c r="W56" s="163"/>
    </row>
    <row r="57" spans="3:23" ht="12" customHeight="1">
      <c r="C57" s="15"/>
      <c r="H57" s="162"/>
      <c r="I57" s="162"/>
      <c r="J57" s="162"/>
      <c r="K57" s="162"/>
      <c r="L57" s="162"/>
      <c r="M57" s="162"/>
      <c r="N57" s="20"/>
      <c r="O57" s="20"/>
      <c r="P57" s="107"/>
      <c r="Q57" s="163"/>
      <c r="R57" s="162"/>
      <c r="S57" s="162"/>
      <c r="T57" s="163"/>
      <c r="U57" s="163"/>
      <c r="V57" s="163"/>
      <c r="W57" s="163"/>
    </row>
    <row r="58" spans="3:23" ht="12" customHeight="1">
      <c r="C58" s="15"/>
      <c r="H58" s="162"/>
      <c r="I58" s="162"/>
      <c r="J58" s="162"/>
      <c r="K58" s="162"/>
      <c r="L58" s="162"/>
      <c r="M58" s="162"/>
      <c r="N58" s="20"/>
      <c r="O58" s="20"/>
      <c r="P58" s="107"/>
      <c r="Q58" s="163"/>
      <c r="R58" s="162"/>
      <c r="S58" s="162"/>
      <c r="T58" s="163"/>
      <c r="U58" s="163"/>
      <c r="V58" s="163"/>
      <c r="W58" s="163"/>
    </row>
    <row r="59" spans="1:87" s="152" customFormat="1" ht="12" customHeight="1">
      <c r="A59" s="62" t="s">
        <v>807</v>
      </c>
      <c r="B59" s="480" t="str">
        <f>$C$9</f>
        <v>Cash-flow et investissements</v>
      </c>
      <c r="C59" s="480"/>
      <c r="D59" s="59" t="str">
        <f>VLOOKUP(32,Textbausteine!$A$2:$E$67,Hilfsgrössen!$D$2,FALSE)</f>
        <v>Unité</v>
      </c>
      <c r="E59" s="289" t="str">
        <f>VLOOKUP(33,Textbausteine!$A$2:$E$67,Hilfsgrössen!$D$2,FALSE)</f>
        <v>Notes</v>
      </c>
      <c r="F59" s="40" t="str">
        <f>VLOOKUP(34,Textbausteine!$A$2:$E$67,Hilfsgrössen!$D$2,FALSE)</f>
        <v>GRI</v>
      </c>
      <c r="G59" s="48"/>
      <c r="H59" s="160">
        <v>2004</v>
      </c>
      <c r="I59" s="160">
        <v>2005</v>
      </c>
      <c r="J59" s="160">
        <v>2006</v>
      </c>
      <c r="K59" s="160">
        <v>2007</v>
      </c>
      <c r="L59" s="160">
        <v>2008</v>
      </c>
      <c r="M59" s="160">
        <v>2009</v>
      </c>
      <c r="N59" s="160">
        <v>2010</v>
      </c>
      <c r="O59" s="160">
        <v>2011</v>
      </c>
      <c r="P59" s="160">
        <v>2012</v>
      </c>
      <c r="Q59" s="160">
        <v>2013</v>
      </c>
      <c r="R59" s="160">
        <v>2014</v>
      </c>
      <c r="S59" s="160">
        <v>2015</v>
      </c>
      <c r="T59" s="120">
        <v>2016</v>
      </c>
      <c r="U59" s="120">
        <v>2017</v>
      </c>
      <c r="V59" s="120">
        <v>2018</v>
      </c>
      <c r="W59" s="250">
        <v>2019</v>
      </c>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113"/>
      <c r="BG59" s="113"/>
      <c r="BH59" s="113"/>
      <c r="BI59" s="113"/>
      <c r="BJ59" s="113"/>
      <c r="BK59" s="113"/>
      <c r="BL59" s="113"/>
      <c r="BM59" s="113"/>
      <c r="BN59" s="113"/>
      <c r="BO59" s="113"/>
      <c r="BP59" s="113"/>
      <c r="BQ59" s="113"/>
      <c r="BR59" s="113"/>
      <c r="BS59" s="113"/>
      <c r="BT59" s="113"/>
      <c r="BU59" s="113"/>
      <c r="BV59" s="113"/>
      <c r="BW59" s="113"/>
      <c r="BX59" s="113"/>
      <c r="BY59" s="113"/>
      <c r="BZ59" s="113"/>
      <c r="CA59" s="113"/>
      <c r="CB59" s="113"/>
      <c r="CC59" s="113"/>
      <c r="CD59" s="113"/>
      <c r="CE59" s="113"/>
      <c r="CF59" s="113"/>
      <c r="CG59" s="113"/>
      <c r="CH59" s="113"/>
      <c r="CI59" s="113"/>
    </row>
    <row r="60" spans="1:87" s="61" customFormat="1" ht="12" customHeight="1">
      <c r="A60" s="82"/>
      <c r="B60" s="480"/>
      <c r="C60" s="480"/>
      <c r="D60" s="60"/>
      <c r="E60" s="285"/>
      <c r="F60" s="39"/>
      <c r="G60" s="49"/>
      <c r="H60" s="161"/>
      <c r="I60" s="161"/>
      <c r="J60" s="161"/>
      <c r="K60" s="161"/>
      <c r="L60" s="161"/>
      <c r="M60" s="161"/>
      <c r="N60" s="161"/>
      <c r="O60" s="161"/>
      <c r="P60" s="161"/>
      <c r="Q60" s="161"/>
      <c r="R60" s="161"/>
      <c r="S60" s="161"/>
      <c r="T60" s="119"/>
      <c r="U60" s="119"/>
      <c r="V60" s="119"/>
      <c r="W60" s="251"/>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c r="BA60" s="114"/>
      <c r="BB60" s="114"/>
      <c r="BC60" s="114"/>
      <c r="BD60" s="114"/>
      <c r="BE60" s="114"/>
      <c r="BF60" s="114"/>
      <c r="BG60" s="114"/>
      <c r="BH60" s="114"/>
      <c r="BI60" s="114"/>
      <c r="BJ60" s="114"/>
      <c r="BK60" s="114"/>
      <c r="BL60" s="114"/>
      <c r="BM60" s="114"/>
      <c r="BN60" s="114"/>
      <c r="BO60" s="114"/>
      <c r="BP60" s="114"/>
      <c r="BQ60" s="114"/>
      <c r="BR60" s="114"/>
      <c r="BS60" s="114"/>
      <c r="BT60" s="114"/>
      <c r="BU60" s="114"/>
      <c r="BV60" s="114"/>
      <c r="BW60" s="114"/>
      <c r="BX60" s="114"/>
      <c r="BY60" s="114"/>
      <c r="BZ60" s="114"/>
      <c r="CA60" s="114"/>
      <c r="CB60" s="114"/>
      <c r="CC60" s="114"/>
      <c r="CD60" s="114"/>
      <c r="CE60" s="114"/>
      <c r="CF60" s="114"/>
      <c r="CG60" s="114"/>
      <c r="CH60" s="114"/>
      <c r="CI60" s="114"/>
    </row>
    <row r="61" spans="2:23" ht="12" customHeight="1">
      <c r="B61" s="8"/>
      <c r="D61" s="9"/>
      <c r="E61" s="290"/>
      <c r="F61" s="11"/>
      <c r="G61" s="46"/>
      <c r="W61" s="252"/>
    </row>
    <row r="62" spans="2:23" ht="12" customHeight="1">
      <c r="B62" s="8" t="str">
        <f>VLOOKUP(36,Textbausteine!$A$2:$E$67,Hilfsgrössen!$D$2,FALSE)</f>
        <v>Groupe</v>
      </c>
      <c r="C62" s="8"/>
      <c r="D62" s="67"/>
      <c r="E62" s="290"/>
      <c r="F62" s="11"/>
      <c r="T62" s="107"/>
      <c r="U62" s="107"/>
      <c r="V62" s="107"/>
      <c r="W62" s="253"/>
    </row>
    <row r="63" spans="3:23" ht="12" customHeight="1">
      <c r="C63" s="68" t="str">
        <f>VLOOKUP(61,Textbausteine!$M$2:$Q$345,Hilfsgrössen!$D$2,FALSE)</f>
        <v>Flux de trésorerie des activités opérationnelles</v>
      </c>
      <c r="D63" s="9" t="str">
        <f>VLOOKUP(22,Textbausteine!$M$2:$Q$345,Hilfsgrössen!$D$2,FALSE)</f>
        <v>Millions de CHF</v>
      </c>
      <c r="E63" s="290" t="s">
        <v>1998</v>
      </c>
      <c r="F63" s="11" t="s">
        <v>1319</v>
      </c>
      <c r="H63" s="138" t="s">
        <v>1470</v>
      </c>
      <c r="I63" s="168">
        <v>3603</v>
      </c>
      <c r="J63" s="168">
        <v>3247</v>
      </c>
      <c r="K63" s="100">
        <v>-3312</v>
      </c>
      <c r="L63" s="100">
        <v>8281</v>
      </c>
      <c r="M63" s="100">
        <v>-357</v>
      </c>
      <c r="N63" s="20">
        <v>-2271</v>
      </c>
      <c r="O63" s="100">
        <v>19679</v>
      </c>
      <c r="P63" s="100">
        <v>13424</v>
      </c>
      <c r="Q63" s="100">
        <v>-367</v>
      </c>
      <c r="R63" s="100">
        <v>-1925</v>
      </c>
      <c r="S63" s="100">
        <v>-2990</v>
      </c>
      <c r="T63" s="107">
        <v>-385</v>
      </c>
      <c r="U63" s="107">
        <v>1941</v>
      </c>
      <c r="V63" s="107">
        <v>-1309</v>
      </c>
      <c r="W63" s="253">
        <v>10289</v>
      </c>
    </row>
    <row r="64" spans="3:23" ht="12" customHeight="1">
      <c r="C64" s="73" t="str">
        <f>VLOOKUP(62,Textbausteine!$M$2:$Q$345,Hilfsgrössen!$D$2,FALSE)</f>
        <v>Investissements</v>
      </c>
      <c r="D64" s="9" t="str">
        <f>VLOOKUP(22,Textbausteine!$M$2:$Q$345,Hilfsgrössen!$D$2,FALSE)</f>
        <v>Millions de CHF</v>
      </c>
      <c r="E64" s="290"/>
      <c r="F64" s="11" t="s">
        <v>1319</v>
      </c>
      <c r="H64" s="138" t="s">
        <v>1470</v>
      </c>
      <c r="I64" s="100">
        <v>347</v>
      </c>
      <c r="J64" s="100">
        <v>540</v>
      </c>
      <c r="K64" s="100">
        <v>644</v>
      </c>
      <c r="L64" s="100">
        <v>516</v>
      </c>
      <c r="M64" s="100">
        <v>431</v>
      </c>
      <c r="N64" s="20">
        <v>364</v>
      </c>
      <c r="O64" s="100">
        <v>429</v>
      </c>
      <c r="P64" s="100">
        <v>443</v>
      </c>
      <c r="Q64" s="100">
        <v>453</v>
      </c>
      <c r="R64" s="100">
        <v>443</v>
      </c>
      <c r="S64" s="100">
        <v>437</v>
      </c>
      <c r="T64" s="107">
        <v>450</v>
      </c>
      <c r="U64" s="107">
        <v>394</v>
      </c>
      <c r="V64" s="107">
        <v>412</v>
      </c>
      <c r="W64" s="253">
        <v>471</v>
      </c>
    </row>
    <row r="65" spans="3:23" ht="12" customHeight="1">
      <c r="C65" s="70" t="str">
        <f>VLOOKUP(63,Textbausteine!$M$2:$Q$345,Hilfsgrössen!$D$2,FALSE)</f>
        <v>Autres immobilisations corporelles, immobilisations incorporelles</v>
      </c>
      <c r="D65" s="9" t="str">
        <f>VLOOKUP(22,Textbausteine!$M$2:$Q$345,Hilfsgrössen!$D$2,FALSE)</f>
        <v>Millions de CHF</v>
      </c>
      <c r="E65" s="291"/>
      <c r="F65" s="11" t="s">
        <v>1319</v>
      </c>
      <c r="H65" s="138" t="s">
        <v>1470</v>
      </c>
      <c r="I65" s="100">
        <v>176</v>
      </c>
      <c r="J65" s="100">
        <v>195</v>
      </c>
      <c r="K65" s="100">
        <v>322</v>
      </c>
      <c r="L65" s="100">
        <v>326</v>
      </c>
      <c r="M65" s="100">
        <v>270</v>
      </c>
      <c r="N65" s="20">
        <v>176</v>
      </c>
      <c r="O65" s="100">
        <v>239</v>
      </c>
      <c r="P65" s="100">
        <v>228</v>
      </c>
      <c r="Q65" s="100">
        <v>249</v>
      </c>
      <c r="R65" s="100">
        <v>250</v>
      </c>
      <c r="S65" s="100">
        <v>317</v>
      </c>
      <c r="T65" s="107">
        <v>302</v>
      </c>
      <c r="U65" s="107">
        <v>245</v>
      </c>
      <c r="V65" s="107">
        <v>252</v>
      </c>
      <c r="W65" s="253">
        <v>321</v>
      </c>
    </row>
    <row r="66" spans="3:24" ht="12" customHeight="1">
      <c r="C66" s="70" t="str">
        <f>VLOOKUP(64,Textbausteine!$M$2:$Q$345,Hilfsgrössen!$D$2,FALSE)</f>
        <v>Immeubles d'exploitation</v>
      </c>
      <c r="D66" s="9" t="str">
        <f>VLOOKUP(22,Textbausteine!$M$2:$Q$345,Hilfsgrössen!$D$2,FALSE)</f>
        <v>Millions de CHF</v>
      </c>
      <c r="E66" s="291"/>
      <c r="F66" s="11" t="s">
        <v>1319</v>
      </c>
      <c r="H66" s="138" t="s">
        <v>1470</v>
      </c>
      <c r="I66" s="100">
        <v>153</v>
      </c>
      <c r="J66" s="100">
        <v>310</v>
      </c>
      <c r="K66" s="100">
        <v>281</v>
      </c>
      <c r="L66" s="100">
        <v>147</v>
      </c>
      <c r="M66" s="100">
        <v>109</v>
      </c>
      <c r="N66" s="20">
        <v>163</v>
      </c>
      <c r="O66" s="100">
        <v>168</v>
      </c>
      <c r="P66" s="100">
        <v>162</v>
      </c>
      <c r="Q66" s="100">
        <v>115</v>
      </c>
      <c r="R66" s="100">
        <v>124</v>
      </c>
      <c r="S66" s="100">
        <v>57</v>
      </c>
      <c r="T66" s="107">
        <v>103</v>
      </c>
      <c r="U66" s="107">
        <v>97</v>
      </c>
      <c r="V66" s="107">
        <v>63</v>
      </c>
      <c r="W66" s="253">
        <v>108</v>
      </c>
      <c r="X66" s="11"/>
    </row>
    <row r="67" spans="3:24" ht="12" customHeight="1">
      <c r="C67" s="70" t="str">
        <f>VLOOKUP(65,Textbausteine!$M$2:$Q$345,Hilfsgrössen!$D$2,FALSE)</f>
        <v>Immeubles de placement</v>
      </c>
      <c r="D67" s="9" t="str">
        <f>VLOOKUP(22,Textbausteine!$M$2:$Q$345,Hilfsgrössen!$D$2,FALSE)</f>
        <v>Millions de CHF</v>
      </c>
      <c r="E67" s="291"/>
      <c r="F67" s="11" t="s">
        <v>1319</v>
      </c>
      <c r="H67" s="138" t="s">
        <v>1470</v>
      </c>
      <c r="I67" s="100">
        <v>0</v>
      </c>
      <c r="J67" s="100">
        <v>0</v>
      </c>
      <c r="K67" s="100">
        <v>0</v>
      </c>
      <c r="L67" s="100">
        <v>0</v>
      </c>
      <c r="M67" s="100">
        <v>0</v>
      </c>
      <c r="N67" s="20">
        <v>0</v>
      </c>
      <c r="O67" s="100">
        <v>11</v>
      </c>
      <c r="P67" s="100">
        <v>19</v>
      </c>
      <c r="Q67" s="100">
        <v>48</v>
      </c>
      <c r="R67" s="100">
        <v>64</v>
      </c>
      <c r="S67" s="100">
        <v>47</v>
      </c>
      <c r="T67" s="107">
        <v>31</v>
      </c>
      <c r="U67" s="107">
        <v>29</v>
      </c>
      <c r="V67" s="107">
        <v>24</v>
      </c>
      <c r="W67" s="253">
        <v>38</v>
      </c>
      <c r="X67" s="11"/>
    </row>
    <row r="68" spans="3:24" ht="12" customHeight="1">
      <c r="C68" s="70" t="str">
        <f>VLOOKUP(66,Textbausteine!$M$2:$Q$345,Hilfsgrössen!$D$2,FALSE)</f>
        <v>Participations</v>
      </c>
      <c r="D68" s="9" t="str">
        <f>VLOOKUP(22,Textbausteine!$M$2:$Q$345,Hilfsgrössen!$D$2,FALSE)</f>
        <v>Millions de CHF</v>
      </c>
      <c r="E68" s="291"/>
      <c r="F68" s="11" t="s">
        <v>1319</v>
      </c>
      <c r="H68" s="138" t="s">
        <v>1470</v>
      </c>
      <c r="I68" s="100">
        <v>18</v>
      </c>
      <c r="J68" s="100">
        <v>35</v>
      </c>
      <c r="K68" s="100">
        <v>41</v>
      </c>
      <c r="L68" s="100">
        <v>43</v>
      </c>
      <c r="M68" s="100">
        <v>52</v>
      </c>
      <c r="N68" s="20">
        <v>25</v>
      </c>
      <c r="O68" s="100">
        <v>11</v>
      </c>
      <c r="P68" s="100">
        <v>34</v>
      </c>
      <c r="Q68" s="100">
        <v>41</v>
      </c>
      <c r="R68" s="100">
        <v>5</v>
      </c>
      <c r="S68" s="100">
        <v>16</v>
      </c>
      <c r="T68" s="107">
        <v>14</v>
      </c>
      <c r="U68" s="107">
        <v>23</v>
      </c>
      <c r="V68" s="107">
        <v>73</v>
      </c>
      <c r="W68" s="253">
        <v>4</v>
      </c>
      <c r="X68" s="11"/>
    </row>
    <row r="69" spans="3:23" ht="12" customHeight="1">
      <c r="C69" s="73" t="str">
        <f>VLOOKUP(67,Textbausteine!$M$2:$Q$345,Hilfsgrössen!$D$2,FALSE)</f>
        <v>Ratio des investissements autofinancés</v>
      </c>
      <c r="D69" s="9" t="str">
        <f>VLOOKUP(21,Textbausteine!$M$2:$Q$345,Hilfsgrössen!$D$2,FALSE)</f>
        <v>%</v>
      </c>
      <c r="E69" s="291"/>
      <c r="F69" s="11" t="s">
        <v>1319</v>
      </c>
      <c r="H69" s="138" t="s">
        <v>1470</v>
      </c>
      <c r="I69" s="100">
        <v>100</v>
      </c>
      <c r="J69" s="100">
        <v>100</v>
      </c>
      <c r="K69" s="100">
        <v>100</v>
      </c>
      <c r="L69" s="100">
        <v>100</v>
      </c>
      <c r="M69" s="100">
        <v>100</v>
      </c>
      <c r="N69" s="20">
        <v>100</v>
      </c>
      <c r="O69" s="100">
        <v>100</v>
      </c>
      <c r="P69" s="100">
        <v>100</v>
      </c>
      <c r="Q69" s="100">
        <v>100</v>
      </c>
      <c r="R69" s="100">
        <v>100</v>
      </c>
      <c r="S69" s="100">
        <v>100</v>
      </c>
      <c r="T69" s="107">
        <v>100</v>
      </c>
      <c r="U69" s="107">
        <v>100</v>
      </c>
      <c r="V69" s="107">
        <v>100</v>
      </c>
      <c r="W69" s="253">
        <v>100</v>
      </c>
    </row>
    <row r="70" spans="3:23" ht="12" customHeight="1">
      <c r="C70" s="15"/>
      <c r="E70" s="291"/>
      <c r="F70" s="44"/>
      <c r="H70" s="162"/>
      <c r="I70" s="162"/>
      <c r="J70" s="162"/>
      <c r="K70" s="162"/>
      <c r="L70" s="162"/>
      <c r="M70" s="162"/>
      <c r="N70" s="20"/>
      <c r="O70" s="20"/>
      <c r="P70" s="107"/>
      <c r="Q70" s="163"/>
      <c r="R70" s="162"/>
      <c r="S70" s="162"/>
      <c r="T70" s="163"/>
      <c r="U70" s="163"/>
      <c r="V70" s="163"/>
      <c r="W70" s="163"/>
    </row>
    <row r="71" spans="2:23" ht="12" customHeight="1">
      <c r="B71" s="26" t="str">
        <f>VLOOKUP(253,Textbausteine!$M$2:$Q$345,Hilfsgrössen!$D$2,FALSE)</f>
        <v>1) Les cash-flows 2019 - 2012 tiennent compte des variations de postes des services financiers (PostFinance).</v>
      </c>
      <c r="C71" s="26"/>
      <c r="D71" s="26"/>
      <c r="E71" s="295"/>
      <c r="F71" s="43"/>
      <c r="G71" s="26"/>
      <c r="H71" s="164"/>
      <c r="I71" s="164"/>
      <c r="J71" s="164"/>
      <c r="K71" s="164"/>
      <c r="L71" s="164"/>
      <c r="M71" s="164"/>
      <c r="N71" s="164"/>
      <c r="O71" s="164"/>
      <c r="P71" s="164"/>
      <c r="Q71" s="164"/>
      <c r="R71" s="162"/>
      <c r="S71" s="162"/>
      <c r="T71" s="163"/>
      <c r="U71" s="163"/>
      <c r="V71" s="163"/>
      <c r="W71" s="163"/>
    </row>
    <row r="72" spans="2:23" ht="12" customHeight="1">
      <c r="B72" s="26"/>
      <c r="C72" s="26"/>
      <c r="D72" s="26"/>
      <c r="E72" s="295"/>
      <c r="F72" s="43"/>
      <c r="G72" s="26"/>
      <c r="H72" s="164"/>
      <c r="I72" s="164"/>
      <c r="J72" s="164"/>
      <c r="K72" s="164"/>
      <c r="L72" s="164"/>
      <c r="M72" s="164"/>
      <c r="N72" s="164"/>
      <c r="O72" s="164"/>
      <c r="P72" s="164"/>
      <c r="Q72" s="164"/>
      <c r="R72" s="162"/>
      <c r="S72" s="162"/>
      <c r="T72" s="163"/>
      <c r="U72" s="163"/>
      <c r="V72" s="163"/>
      <c r="W72" s="163"/>
    </row>
    <row r="73" spans="3:23" ht="12" customHeight="1">
      <c r="C73" s="15"/>
      <c r="H73" s="162"/>
      <c r="I73" s="162"/>
      <c r="J73" s="162"/>
      <c r="K73" s="162"/>
      <c r="L73" s="162"/>
      <c r="M73" s="162"/>
      <c r="N73" s="20"/>
      <c r="O73" s="20"/>
      <c r="P73" s="107"/>
      <c r="Q73" s="163"/>
      <c r="R73" s="162"/>
      <c r="S73" s="162"/>
      <c r="T73" s="163"/>
      <c r="U73" s="163"/>
      <c r="V73" s="163"/>
      <c r="W73" s="163"/>
    </row>
    <row r="74" spans="1:87" s="152" customFormat="1" ht="12" customHeight="1">
      <c r="A74" s="62" t="s">
        <v>807</v>
      </c>
      <c r="B74" s="479" t="str">
        <f>$C$10</f>
        <v>Evolution des volumes</v>
      </c>
      <c r="C74" s="479"/>
      <c r="D74" s="59" t="str">
        <f>VLOOKUP(32,Textbausteine!$A$2:$E$67,Hilfsgrössen!$D$2,FALSE)</f>
        <v>Unité</v>
      </c>
      <c r="E74" s="289" t="str">
        <f>VLOOKUP(33,Textbausteine!$A$2:$E$67,Hilfsgrössen!$D$2,FALSE)</f>
        <v>Notes</v>
      </c>
      <c r="F74" s="40" t="str">
        <f>VLOOKUP(34,Textbausteine!$A$2:$E$67,Hilfsgrössen!$D$2,FALSE)</f>
        <v>GRI</v>
      </c>
      <c r="G74" s="48"/>
      <c r="H74" s="127">
        <v>2004</v>
      </c>
      <c r="I74" s="127">
        <v>2005</v>
      </c>
      <c r="J74" s="127">
        <v>2006</v>
      </c>
      <c r="K74" s="127">
        <v>2007</v>
      </c>
      <c r="L74" s="127">
        <v>2008</v>
      </c>
      <c r="M74" s="127">
        <v>2009</v>
      </c>
      <c r="N74" s="127">
        <v>2010</v>
      </c>
      <c r="O74" s="127">
        <v>2011</v>
      </c>
      <c r="P74" s="127">
        <v>2012</v>
      </c>
      <c r="Q74" s="127">
        <v>2013</v>
      </c>
      <c r="R74" s="127">
        <v>2014</v>
      </c>
      <c r="S74" s="127">
        <v>2015</v>
      </c>
      <c r="T74" s="120">
        <v>2016</v>
      </c>
      <c r="U74" s="120">
        <v>2017</v>
      </c>
      <c r="V74" s="120">
        <v>2018</v>
      </c>
      <c r="W74" s="250">
        <v>2019</v>
      </c>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3"/>
      <c r="BR74" s="113"/>
      <c r="BS74" s="113"/>
      <c r="BT74" s="113"/>
      <c r="BU74" s="113"/>
      <c r="BV74" s="113"/>
      <c r="BW74" s="113"/>
      <c r="BX74" s="113"/>
      <c r="BY74" s="113"/>
      <c r="BZ74" s="113"/>
      <c r="CA74" s="113"/>
      <c r="CB74" s="113"/>
      <c r="CC74" s="113"/>
      <c r="CD74" s="113"/>
      <c r="CE74" s="113"/>
      <c r="CF74" s="113"/>
      <c r="CG74" s="113"/>
      <c r="CH74" s="113"/>
      <c r="CI74" s="113"/>
    </row>
    <row r="75" spans="1:87" s="61" customFormat="1" ht="12" customHeight="1">
      <c r="A75" s="82"/>
      <c r="B75" s="479"/>
      <c r="C75" s="479"/>
      <c r="D75" s="60"/>
      <c r="E75" s="287"/>
      <c r="F75" s="40"/>
      <c r="G75" s="49"/>
      <c r="H75" s="143"/>
      <c r="I75" s="143"/>
      <c r="J75" s="143"/>
      <c r="K75" s="143"/>
      <c r="L75" s="143"/>
      <c r="M75" s="143"/>
      <c r="N75" s="143"/>
      <c r="O75" s="143"/>
      <c r="P75" s="143"/>
      <c r="Q75" s="143"/>
      <c r="R75" s="143"/>
      <c r="S75" s="143"/>
      <c r="T75" s="119"/>
      <c r="U75" s="119"/>
      <c r="V75" s="119"/>
      <c r="W75" s="251"/>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14"/>
      <c r="AX75" s="114"/>
      <c r="AY75" s="114"/>
      <c r="AZ75" s="114"/>
      <c r="BA75" s="114"/>
      <c r="BB75" s="114"/>
      <c r="BC75" s="114"/>
      <c r="BD75" s="114"/>
      <c r="BE75" s="114"/>
      <c r="BF75" s="114"/>
      <c r="BG75" s="114"/>
      <c r="BH75" s="114"/>
      <c r="BI75" s="114"/>
      <c r="BJ75" s="114"/>
      <c r="BK75" s="114"/>
      <c r="BL75" s="114"/>
      <c r="BM75" s="114"/>
      <c r="BN75" s="114"/>
      <c r="BO75" s="114"/>
      <c r="BP75" s="114"/>
      <c r="BQ75" s="114"/>
      <c r="BR75" s="114"/>
      <c r="BS75" s="114"/>
      <c r="BT75" s="114"/>
      <c r="BU75" s="114"/>
      <c r="BV75" s="114"/>
      <c r="BW75" s="114"/>
      <c r="BX75" s="114"/>
      <c r="BY75" s="114"/>
      <c r="BZ75" s="114"/>
      <c r="CA75" s="114"/>
      <c r="CB75" s="114"/>
      <c r="CC75" s="114"/>
      <c r="CD75" s="114"/>
      <c r="CE75" s="114"/>
      <c r="CF75" s="114"/>
      <c r="CG75" s="114"/>
      <c r="CH75" s="114"/>
      <c r="CI75" s="114"/>
    </row>
    <row r="76" spans="2:23" ht="12" customHeight="1">
      <c r="B76" s="8"/>
      <c r="D76" s="9"/>
      <c r="E76" s="290"/>
      <c r="F76" s="11"/>
      <c r="G76" s="48"/>
      <c r="H76" s="107"/>
      <c r="I76" s="107"/>
      <c r="J76" s="107"/>
      <c r="K76" s="107"/>
      <c r="L76" s="107"/>
      <c r="M76" s="107"/>
      <c r="N76" s="107"/>
      <c r="O76" s="107"/>
      <c r="P76" s="107"/>
      <c r="Q76" s="107"/>
      <c r="R76" s="107"/>
      <c r="S76" s="107"/>
      <c r="W76" s="252"/>
    </row>
    <row r="77" spans="2:23" ht="12" customHeight="1">
      <c r="B77" s="8" t="str">
        <f>VLOOKUP(45,Textbausteine!$A$2:$E$67,Hilfsgrössen!$D$2,FALSE)</f>
        <v>PostMail</v>
      </c>
      <c r="E77" s="288"/>
      <c r="F77" s="11"/>
      <c r="G77" s="49"/>
      <c r="H77" s="20"/>
      <c r="I77" s="20"/>
      <c r="J77" s="20"/>
      <c r="K77" s="20"/>
      <c r="L77" s="20"/>
      <c r="M77" s="20"/>
      <c r="N77" s="20"/>
      <c r="O77" s="20"/>
      <c r="P77" s="107"/>
      <c r="Q77" s="163"/>
      <c r="R77" s="162"/>
      <c r="S77" s="162"/>
      <c r="T77" s="163"/>
      <c r="U77" s="163"/>
      <c r="V77" s="163"/>
      <c r="W77" s="255"/>
    </row>
    <row r="78" spans="1:87" s="32" customFormat="1" ht="12" customHeight="1">
      <c r="A78" s="81"/>
      <c r="B78" s="1"/>
      <c r="C78" s="68" t="str">
        <f>VLOOKUP(71,Textbausteine!$M$2:$Q$345,Hilfsgrössen!$D$2,FALSE)</f>
        <v>Lettres adressées</v>
      </c>
      <c r="D78" s="1" t="str">
        <f>VLOOKUP(23,Textbausteine!$M$2:$Q$345,Hilfsgrössen!$D$2,FALSE)</f>
        <v>Millions d'unités</v>
      </c>
      <c r="E78" s="107">
        <v>1</v>
      </c>
      <c r="F78" s="11" t="s">
        <v>1319</v>
      </c>
      <c r="G78" s="49"/>
      <c r="H78" s="138" t="s">
        <v>1470</v>
      </c>
      <c r="I78" s="20">
        <v>2813</v>
      </c>
      <c r="J78" s="20">
        <v>2762</v>
      </c>
      <c r="K78" s="20">
        <v>2742</v>
      </c>
      <c r="L78" s="20">
        <v>2682</v>
      </c>
      <c r="M78" s="20">
        <v>2401</v>
      </c>
      <c r="N78" s="20">
        <v>2364</v>
      </c>
      <c r="O78" s="20">
        <v>2334</v>
      </c>
      <c r="P78" s="107">
        <v>2291</v>
      </c>
      <c r="Q78" s="163">
        <v>2259</v>
      </c>
      <c r="R78" s="162">
        <v>2203</v>
      </c>
      <c r="S78" s="162">
        <v>2172</v>
      </c>
      <c r="T78" s="163">
        <v>2089</v>
      </c>
      <c r="U78" s="163">
        <v>2001.9</v>
      </c>
      <c r="V78" s="163">
        <v>1898</v>
      </c>
      <c r="W78" s="255">
        <v>1807</v>
      </c>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row>
    <row r="79" spans="1:87" s="32" customFormat="1" ht="12" customHeight="1">
      <c r="A79" s="81"/>
      <c r="B79" s="1"/>
      <c r="C79" s="70" t="str">
        <f>VLOOKUP(72,Textbausteine!$M$2:$Q$345,Hilfsgrössen!$D$2,FALSE)</f>
        <v>Envois prioritaires</v>
      </c>
      <c r="D79" s="1" t="str">
        <f>VLOOKUP(23,Textbausteine!$M$2:$Q$345,Hilfsgrössen!$D$2,FALSE)</f>
        <v>Millions d'unités</v>
      </c>
      <c r="E79" s="288"/>
      <c r="F79" s="11" t="s">
        <v>1319</v>
      </c>
      <c r="G79" s="49"/>
      <c r="H79" s="138" t="s">
        <v>1470</v>
      </c>
      <c r="I79" s="140">
        <v>751</v>
      </c>
      <c r="J79" s="140">
        <v>742</v>
      </c>
      <c r="K79" s="140">
        <v>758</v>
      </c>
      <c r="L79" s="140">
        <v>768</v>
      </c>
      <c r="M79" s="140">
        <v>627</v>
      </c>
      <c r="N79" s="140">
        <v>629</v>
      </c>
      <c r="O79" s="140">
        <v>633</v>
      </c>
      <c r="P79" s="162">
        <v>639</v>
      </c>
      <c r="Q79" s="162">
        <v>636</v>
      </c>
      <c r="R79" s="162">
        <v>622</v>
      </c>
      <c r="S79" s="162">
        <v>611</v>
      </c>
      <c r="T79" s="163">
        <v>593</v>
      </c>
      <c r="U79" s="163">
        <v>566</v>
      </c>
      <c r="V79" s="163">
        <v>528</v>
      </c>
      <c r="W79" s="255">
        <v>507</v>
      </c>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row>
    <row r="80" spans="1:87" s="32" customFormat="1" ht="12" customHeight="1">
      <c r="A80" s="81"/>
      <c r="B80" s="1"/>
      <c r="C80" s="70" t="str">
        <f>VLOOKUP(73,Textbausteine!$M$2:$Q$345,Hilfsgrössen!$D$2,FALSE)</f>
        <v>Envois non prioritaires</v>
      </c>
      <c r="D80" s="1" t="str">
        <f>VLOOKUP(23,Textbausteine!$M$2:$Q$345,Hilfsgrössen!$D$2,FALSE)</f>
        <v>Millions d'unités</v>
      </c>
      <c r="E80" s="288"/>
      <c r="F80" s="11" t="s">
        <v>1319</v>
      </c>
      <c r="G80" s="49"/>
      <c r="H80" s="138" t="s">
        <v>1470</v>
      </c>
      <c r="I80" s="140">
        <v>2022</v>
      </c>
      <c r="J80" s="140">
        <v>1984</v>
      </c>
      <c r="K80" s="140">
        <v>1949</v>
      </c>
      <c r="L80" s="140">
        <v>1881</v>
      </c>
      <c r="M80" s="140">
        <v>1740</v>
      </c>
      <c r="N80" s="140">
        <v>1706</v>
      </c>
      <c r="O80" s="140">
        <v>1681</v>
      </c>
      <c r="P80" s="162">
        <v>1630</v>
      </c>
      <c r="Q80" s="162">
        <v>1601</v>
      </c>
      <c r="R80" s="162">
        <v>1559</v>
      </c>
      <c r="S80" s="162">
        <v>1538</v>
      </c>
      <c r="T80" s="163">
        <v>1474</v>
      </c>
      <c r="U80" s="163">
        <v>1408</v>
      </c>
      <c r="V80" s="163">
        <v>1343</v>
      </c>
      <c r="W80" s="255">
        <v>1274</v>
      </c>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row>
    <row r="81" spans="1:87" s="32" customFormat="1" ht="12" customHeight="1">
      <c r="A81" s="81"/>
      <c r="B81" s="1"/>
      <c r="C81" s="68" t="str">
        <f>VLOOKUP(74,Textbausteine!$M$2:$Q$345,Hilfsgrössen!$D$2,FALSE)</f>
        <v>Envois non adressés</v>
      </c>
      <c r="D81" s="1" t="str">
        <f>VLOOKUP(23,Textbausteine!$M$2:$Q$345,Hilfsgrössen!$D$2,FALSE)</f>
        <v>Millions d'unités</v>
      </c>
      <c r="E81" s="288" t="s">
        <v>2551</v>
      </c>
      <c r="F81" s="11" t="s">
        <v>1319</v>
      </c>
      <c r="G81" s="49"/>
      <c r="H81" s="138" t="s">
        <v>1470</v>
      </c>
      <c r="I81" s="140">
        <v>1211</v>
      </c>
      <c r="J81" s="140">
        <v>1159</v>
      </c>
      <c r="K81" s="140">
        <v>1216</v>
      </c>
      <c r="L81" s="140">
        <v>1203</v>
      </c>
      <c r="M81" s="140">
        <v>1232</v>
      </c>
      <c r="N81" s="162">
        <v>1300</v>
      </c>
      <c r="O81" s="162">
        <v>1257</v>
      </c>
      <c r="P81" s="162">
        <v>1902</v>
      </c>
      <c r="Q81" s="162">
        <v>1939</v>
      </c>
      <c r="R81" s="162">
        <v>1990</v>
      </c>
      <c r="S81" s="162">
        <v>1982</v>
      </c>
      <c r="T81" s="163">
        <v>1915</v>
      </c>
      <c r="U81" s="163">
        <v>1771</v>
      </c>
      <c r="V81" s="163">
        <v>1676</v>
      </c>
      <c r="W81" s="255">
        <v>1681</v>
      </c>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row>
    <row r="82" spans="1:87" s="32" customFormat="1" ht="12" customHeight="1">
      <c r="A82" s="81"/>
      <c r="B82" s="1"/>
      <c r="C82" s="68" t="str">
        <f>VLOOKUP(75,Textbausteine!$M$2:$Q$345,Hilfsgrössen!$D$2,FALSE)</f>
        <v>Journaux</v>
      </c>
      <c r="D82" s="1" t="str">
        <f>VLOOKUP(23,Textbausteine!$M$2:$Q$345,Hilfsgrössen!$D$2,FALSE)</f>
        <v>Millions d'unités</v>
      </c>
      <c r="E82" s="288"/>
      <c r="F82" s="11" t="s">
        <v>1319</v>
      </c>
      <c r="G82" s="49"/>
      <c r="H82" s="138" t="s">
        <v>1470</v>
      </c>
      <c r="I82" s="140">
        <v>1201</v>
      </c>
      <c r="J82" s="140">
        <v>1196</v>
      </c>
      <c r="K82" s="140">
        <v>1214</v>
      </c>
      <c r="L82" s="140">
        <v>1196</v>
      </c>
      <c r="M82" s="140">
        <v>1249</v>
      </c>
      <c r="N82" s="100">
        <v>1372</v>
      </c>
      <c r="O82" s="100">
        <v>1342</v>
      </c>
      <c r="P82" s="100">
        <v>1318</v>
      </c>
      <c r="Q82" s="100">
        <v>1256</v>
      </c>
      <c r="R82" s="100">
        <v>1223</v>
      </c>
      <c r="S82" s="100">
        <v>1177</v>
      </c>
      <c r="T82" s="163">
        <v>1149</v>
      </c>
      <c r="U82" s="163">
        <v>1116</v>
      </c>
      <c r="V82" s="163">
        <v>1075</v>
      </c>
      <c r="W82" s="255">
        <v>1009</v>
      </c>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row>
    <row r="83" spans="1:87" s="32" customFormat="1" ht="12" customHeight="1">
      <c r="A83" s="57"/>
      <c r="B83" s="8"/>
      <c r="C83" s="68" t="str">
        <f>VLOOKUP(76,Textbausteine!$M$2:$Q$345,Hilfsgrössen!$D$2,FALSE)</f>
        <v>Lettres, exportation</v>
      </c>
      <c r="D83" s="1" t="str">
        <f>VLOOKUP(23,Textbausteine!$M$2:$Q$345,Hilfsgrössen!$D$2,FALSE)</f>
        <v>Millions d'unités</v>
      </c>
      <c r="E83" s="107">
        <v>1</v>
      </c>
      <c r="F83" s="11" t="s">
        <v>1319</v>
      </c>
      <c r="G83" s="49"/>
      <c r="H83" s="138" t="s">
        <v>1470</v>
      </c>
      <c r="I83" s="100">
        <v>191.7</v>
      </c>
      <c r="J83" s="100">
        <v>199.7</v>
      </c>
      <c r="K83" s="100">
        <v>194</v>
      </c>
      <c r="L83" s="100">
        <v>184</v>
      </c>
      <c r="M83" s="100">
        <v>170</v>
      </c>
      <c r="N83" s="100">
        <v>103.7</v>
      </c>
      <c r="O83" s="100">
        <v>98.2</v>
      </c>
      <c r="P83" s="100">
        <v>82.4</v>
      </c>
      <c r="Q83" s="100">
        <v>80.7</v>
      </c>
      <c r="R83" s="100">
        <v>84.1</v>
      </c>
      <c r="S83" s="100">
        <v>83.8</v>
      </c>
      <c r="T83" s="163">
        <v>82.7</v>
      </c>
      <c r="U83" s="163">
        <v>73.8</v>
      </c>
      <c r="V83" s="163">
        <v>69.5</v>
      </c>
      <c r="W83" s="255">
        <v>64.3</v>
      </c>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row>
    <row r="84" spans="1:87" s="32" customFormat="1" ht="12" customHeight="1">
      <c r="A84" s="81"/>
      <c r="B84" s="1"/>
      <c r="C84" s="68" t="str">
        <f>VLOOKUP(77,Textbausteine!$M$2:$Q$345,Hilfsgrössen!$D$2,FALSE)</f>
        <v>Lettres, importation</v>
      </c>
      <c r="D84" s="1" t="str">
        <f>VLOOKUP(23,Textbausteine!$M$2:$Q$345,Hilfsgrössen!$D$2,FALSE)</f>
        <v>Millions d'unités</v>
      </c>
      <c r="E84" s="107">
        <v>3</v>
      </c>
      <c r="F84" s="11" t="s">
        <v>1319</v>
      </c>
      <c r="G84" s="49"/>
      <c r="H84" s="138" t="s">
        <v>1470</v>
      </c>
      <c r="I84" s="140">
        <v>220.4</v>
      </c>
      <c r="J84" s="140">
        <v>230.6</v>
      </c>
      <c r="K84" s="140">
        <v>234.6</v>
      </c>
      <c r="L84" s="140">
        <v>235.8</v>
      </c>
      <c r="M84" s="140">
        <v>220.3</v>
      </c>
      <c r="N84" s="162">
        <v>198.2</v>
      </c>
      <c r="O84" s="162">
        <v>197.5</v>
      </c>
      <c r="P84" s="162">
        <v>179.6</v>
      </c>
      <c r="Q84" s="162">
        <v>164.2</v>
      </c>
      <c r="R84" s="162">
        <v>159.4</v>
      </c>
      <c r="S84" s="162">
        <v>151.4</v>
      </c>
      <c r="T84" s="163">
        <v>150.7</v>
      </c>
      <c r="U84" s="163">
        <v>146.8</v>
      </c>
      <c r="V84" s="163">
        <v>145.6</v>
      </c>
      <c r="W84" s="255">
        <v>132.1</v>
      </c>
      <c r="X84" s="11"/>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row>
    <row r="85" spans="1:87" s="32" customFormat="1" ht="12" customHeight="1">
      <c r="A85" s="452"/>
      <c r="B85" s="1"/>
      <c r="C85" s="68" t="str">
        <f>VLOOKUP(78,Textbausteine!$M$2:$Q$345,Hilfsgrössen!$D$2,FALSE)</f>
        <v>Journaux, exportation</v>
      </c>
      <c r="D85" s="1" t="str">
        <f>VLOOKUP(23,Textbausteine!$M$2:$Q$345,Hilfsgrössen!$D$2,FALSE)</f>
        <v>Millions d'unités</v>
      </c>
      <c r="E85" s="288"/>
      <c r="F85" s="11" t="s">
        <v>1319</v>
      </c>
      <c r="G85" s="50"/>
      <c r="H85" s="138" t="s">
        <v>1470</v>
      </c>
      <c r="I85" s="176" t="s">
        <v>1470</v>
      </c>
      <c r="J85" s="176" t="s">
        <v>1470</v>
      </c>
      <c r="K85" s="176" t="s">
        <v>1470</v>
      </c>
      <c r="L85" s="176" t="s">
        <v>1470</v>
      </c>
      <c r="M85" s="176" t="s">
        <v>1470</v>
      </c>
      <c r="N85" s="162">
        <v>11.8</v>
      </c>
      <c r="O85" s="162">
        <v>10.6</v>
      </c>
      <c r="P85" s="162">
        <v>9.5</v>
      </c>
      <c r="Q85" s="162">
        <v>8.5</v>
      </c>
      <c r="R85" s="162">
        <v>6.5</v>
      </c>
      <c r="S85" s="162">
        <v>6.2</v>
      </c>
      <c r="T85" s="163">
        <v>5.8</v>
      </c>
      <c r="U85" s="163">
        <v>5.4</v>
      </c>
      <c r="V85" s="163">
        <v>5.1</v>
      </c>
      <c r="W85" s="255">
        <v>4.9</v>
      </c>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row>
    <row r="86" spans="1:87" s="32" customFormat="1" ht="12" customHeight="1">
      <c r="A86" s="452"/>
      <c r="B86" s="1"/>
      <c r="C86" s="68" t="str">
        <f>VLOOKUP(79,Textbausteine!$M$2:$Q$345,Hilfsgrössen!$D$2,FALSE)</f>
        <v>Journaux, importation</v>
      </c>
      <c r="D86" s="1" t="str">
        <f>VLOOKUP(23,Textbausteine!$M$2:$Q$345,Hilfsgrössen!$D$2,FALSE)</f>
        <v>Millions d'unités</v>
      </c>
      <c r="E86" s="288"/>
      <c r="F86" s="11" t="s">
        <v>1319</v>
      </c>
      <c r="G86" s="49"/>
      <c r="H86" s="138" t="s">
        <v>1470</v>
      </c>
      <c r="I86" s="176" t="s">
        <v>1470</v>
      </c>
      <c r="J86" s="176" t="s">
        <v>1470</v>
      </c>
      <c r="K86" s="176" t="s">
        <v>1470</v>
      </c>
      <c r="L86" s="176" t="s">
        <v>1470</v>
      </c>
      <c r="M86" s="176" t="s">
        <v>1470</v>
      </c>
      <c r="N86" s="162">
        <v>24.1</v>
      </c>
      <c r="O86" s="162">
        <v>25.7</v>
      </c>
      <c r="P86" s="162">
        <v>23.5</v>
      </c>
      <c r="Q86" s="162">
        <v>22.9</v>
      </c>
      <c r="R86" s="162">
        <v>21.6</v>
      </c>
      <c r="S86" s="162">
        <v>21.5</v>
      </c>
      <c r="T86" s="163">
        <v>21.7</v>
      </c>
      <c r="U86" s="163">
        <v>20.8</v>
      </c>
      <c r="V86" s="163">
        <v>20.5</v>
      </c>
      <c r="W86" s="255">
        <v>19.8</v>
      </c>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row>
    <row r="87" spans="1:87" s="32" customFormat="1" ht="12" customHeight="1">
      <c r="A87" s="452"/>
      <c r="B87" s="1"/>
      <c r="C87" s="68"/>
      <c r="D87" s="1"/>
      <c r="E87" s="288"/>
      <c r="F87" s="11"/>
      <c r="G87" s="49"/>
      <c r="H87" s="140"/>
      <c r="I87" s="140"/>
      <c r="J87" s="140"/>
      <c r="K87" s="140"/>
      <c r="L87" s="140"/>
      <c r="M87" s="140"/>
      <c r="N87" s="162"/>
      <c r="O87" s="162"/>
      <c r="P87" s="162"/>
      <c r="Q87" s="162"/>
      <c r="R87" s="162"/>
      <c r="S87" s="162"/>
      <c r="T87" s="163"/>
      <c r="U87" s="163"/>
      <c r="V87" s="163"/>
      <c r="W87" s="255"/>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row>
    <row r="88" spans="1:87" s="32" customFormat="1" ht="12" customHeight="1">
      <c r="A88" s="452"/>
      <c r="B88" s="8" t="str">
        <f>VLOOKUP(48,Textbausteine!$A$2:$E$67,Hilfsgrössen!$D$2,FALSE)</f>
        <v>PostLogistics</v>
      </c>
      <c r="C88" s="68"/>
      <c r="D88" s="1"/>
      <c r="E88" s="288"/>
      <c r="F88" s="11"/>
      <c r="G88" s="49"/>
      <c r="H88" s="140"/>
      <c r="I88" s="140"/>
      <c r="J88" s="140"/>
      <c r="K88" s="140"/>
      <c r="L88" s="140"/>
      <c r="M88" s="140"/>
      <c r="N88" s="162"/>
      <c r="O88" s="162"/>
      <c r="P88" s="162"/>
      <c r="Q88" s="162"/>
      <c r="R88" s="162"/>
      <c r="S88" s="162"/>
      <c r="T88" s="163"/>
      <c r="U88" s="163"/>
      <c r="V88" s="163"/>
      <c r="W88" s="255"/>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row>
    <row r="89" spans="1:87" s="32" customFormat="1" ht="12" customHeight="1">
      <c r="A89" s="452"/>
      <c r="B89" s="1"/>
      <c r="C89" s="68" t="str">
        <f>VLOOKUP(80,Textbausteine!$M$2:$Q$345,Hilfsgrössen!$D$2,FALSE)</f>
        <v>Colis</v>
      </c>
      <c r="D89" s="1" t="str">
        <f>VLOOKUP(23,Textbausteine!$M$2:$Q$345,Hilfsgrössen!$D$2,FALSE)</f>
        <v>Millions d'unités</v>
      </c>
      <c r="E89" s="107">
        <v>1</v>
      </c>
      <c r="F89" s="11" t="s">
        <v>1319</v>
      </c>
      <c r="G89" s="50"/>
      <c r="H89" s="274" t="s">
        <v>1470</v>
      </c>
      <c r="I89" s="336">
        <v>107.3</v>
      </c>
      <c r="J89" s="336">
        <v>106.6</v>
      </c>
      <c r="K89" s="336">
        <v>106.8</v>
      </c>
      <c r="L89" s="336">
        <v>110.1</v>
      </c>
      <c r="M89" s="336">
        <v>108.6</v>
      </c>
      <c r="N89" s="337">
        <v>113.4</v>
      </c>
      <c r="O89" s="337">
        <v>111.5</v>
      </c>
      <c r="P89" s="337">
        <v>114</v>
      </c>
      <c r="Q89" s="337">
        <v>110</v>
      </c>
      <c r="R89" s="337">
        <v>112</v>
      </c>
      <c r="S89" s="337">
        <v>115.2</v>
      </c>
      <c r="T89" s="224">
        <v>121.8</v>
      </c>
      <c r="U89" s="224">
        <v>129.4</v>
      </c>
      <c r="V89" s="224">
        <v>138.1</v>
      </c>
      <c r="W89" s="338">
        <v>148.2</v>
      </c>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row>
    <row r="90" spans="1:87" s="32" customFormat="1" ht="12" customHeight="1">
      <c r="A90" s="452"/>
      <c r="B90" s="1"/>
      <c r="C90" s="70" t="str">
        <f>VLOOKUP(81,Textbausteine!$M$2:$Q$345,Hilfsgrössen!$D$2,FALSE)</f>
        <v>domestiques Economy</v>
      </c>
      <c r="D90" s="1" t="str">
        <f>VLOOKUP(23,Textbausteine!$M$2:$Q$345,Hilfsgrössen!$D$2,FALSE)</f>
        <v>Millions d'unités</v>
      </c>
      <c r="E90" s="20">
        <v>1</v>
      </c>
      <c r="F90" s="11" t="s">
        <v>1319</v>
      </c>
      <c r="G90" s="50"/>
      <c r="H90" s="274" t="s">
        <v>1470</v>
      </c>
      <c r="I90" s="336">
        <v>27.4</v>
      </c>
      <c r="J90" s="336">
        <v>30.3</v>
      </c>
      <c r="K90" s="336">
        <v>34.6</v>
      </c>
      <c r="L90" s="336">
        <v>38</v>
      </c>
      <c r="M90" s="336">
        <v>39.8</v>
      </c>
      <c r="N90" s="337">
        <v>43.7</v>
      </c>
      <c r="O90" s="337">
        <v>45.9</v>
      </c>
      <c r="P90" s="337">
        <v>50.1</v>
      </c>
      <c r="Q90" s="337">
        <v>45.8</v>
      </c>
      <c r="R90" s="337">
        <v>49.1</v>
      </c>
      <c r="S90" s="337">
        <v>53.2</v>
      </c>
      <c r="T90" s="224">
        <v>59.4</v>
      </c>
      <c r="U90" s="224">
        <v>65.1</v>
      </c>
      <c r="V90" s="224">
        <v>70.8</v>
      </c>
      <c r="W90" s="338">
        <v>76.8</v>
      </c>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row>
    <row r="91" spans="1:87" s="32" customFormat="1" ht="12" customHeight="1">
      <c r="A91" s="452"/>
      <c r="B91" s="1"/>
      <c r="C91" s="70" t="str">
        <f>VLOOKUP(82,Textbausteine!$M$2:$Q$345,Hilfsgrössen!$D$2,FALSE)</f>
        <v>domestiques Priority</v>
      </c>
      <c r="D91" s="1" t="str">
        <f>VLOOKUP(23,Textbausteine!$M$2:$Q$345,Hilfsgrössen!$D$2,FALSE)</f>
        <v>Millions d'unités</v>
      </c>
      <c r="E91" s="20">
        <v>1</v>
      </c>
      <c r="F91" s="11" t="s">
        <v>1319</v>
      </c>
      <c r="G91" s="49"/>
      <c r="H91" s="274" t="s">
        <v>1470</v>
      </c>
      <c r="I91" s="336">
        <v>75.3</v>
      </c>
      <c r="J91" s="336">
        <v>71.4</v>
      </c>
      <c r="K91" s="336">
        <v>68.5</v>
      </c>
      <c r="L91" s="336">
        <v>66.4</v>
      </c>
      <c r="M91" s="336">
        <v>64.6</v>
      </c>
      <c r="N91" s="337">
        <v>64.6</v>
      </c>
      <c r="O91" s="337">
        <v>61</v>
      </c>
      <c r="P91" s="337">
        <v>61.1</v>
      </c>
      <c r="Q91" s="337">
        <v>57.8</v>
      </c>
      <c r="R91" s="337">
        <v>56.3</v>
      </c>
      <c r="S91" s="337">
        <v>55.3</v>
      </c>
      <c r="T91" s="224">
        <v>55.2</v>
      </c>
      <c r="U91" s="224">
        <v>56.9</v>
      </c>
      <c r="V91" s="224">
        <v>59.9</v>
      </c>
      <c r="W91" s="338">
        <v>63</v>
      </c>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row>
    <row r="92" spans="1:87" s="32" customFormat="1" ht="12" customHeight="1">
      <c r="A92" s="452"/>
      <c r="B92" s="1"/>
      <c r="C92" s="70" t="str">
        <f>VLOOKUP(83,Textbausteine!$M$2:$Q$345,Hilfsgrössen!$D$2,FALSE)</f>
        <v>Exportation</v>
      </c>
      <c r="D92" s="1" t="str">
        <f>VLOOKUP(23,Textbausteine!$M$2:$Q$345,Hilfsgrössen!$D$2,FALSE)</f>
        <v>Millions d'unités</v>
      </c>
      <c r="E92" s="20">
        <v>1</v>
      </c>
      <c r="F92" s="11" t="s">
        <v>1319</v>
      </c>
      <c r="G92" s="49"/>
      <c r="H92" s="274" t="s">
        <v>1470</v>
      </c>
      <c r="I92" s="336">
        <v>1.4</v>
      </c>
      <c r="J92" s="336">
        <v>1.4</v>
      </c>
      <c r="K92" s="336">
        <v>0.8</v>
      </c>
      <c r="L92" s="336">
        <v>1.4</v>
      </c>
      <c r="M92" s="336">
        <v>1.1</v>
      </c>
      <c r="N92" s="337">
        <v>1.3</v>
      </c>
      <c r="O92" s="337">
        <v>1.2</v>
      </c>
      <c r="P92" s="337">
        <v>1.4</v>
      </c>
      <c r="Q92" s="337">
        <v>1.6</v>
      </c>
      <c r="R92" s="337">
        <v>1.3</v>
      </c>
      <c r="S92" s="337">
        <v>1.1</v>
      </c>
      <c r="T92" s="224">
        <v>1.3</v>
      </c>
      <c r="U92" s="224">
        <v>1.2</v>
      </c>
      <c r="V92" s="224">
        <v>1.3</v>
      </c>
      <c r="W92" s="338">
        <v>1.5</v>
      </c>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row>
    <row r="93" spans="1:87" s="32" customFormat="1" ht="12" customHeight="1">
      <c r="A93" s="452"/>
      <c r="B93" s="1"/>
      <c r="C93" s="70" t="str">
        <f>VLOOKUP(84,Textbausteine!$M$2:$Q$345,Hilfsgrössen!$D$2,FALSE)</f>
        <v>Importation</v>
      </c>
      <c r="D93" s="1" t="str">
        <f>VLOOKUP(23,Textbausteine!$M$2:$Q$345,Hilfsgrössen!$D$2,FALSE)</f>
        <v>Millions d'unités</v>
      </c>
      <c r="E93" s="107">
        <v>3</v>
      </c>
      <c r="F93" s="11" t="s">
        <v>1319</v>
      </c>
      <c r="G93" s="50"/>
      <c r="H93" s="274" t="s">
        <v>1470</v>
      </c>
      <c r="I93" s="336">
        <v>3.2</v>
      </c>
      <c r="J93" s="336">
        <v>3.5</v>
      </c>
      <c r="K93" s="336">
        <v>2.9</v>
      </c>
      <c r="L93" s="336">
        <v>4.3</v>
      </c>
      <c r="M93" s="336">
        <v>3.1</v>
      </c>
      <c r="N93" s="337">
        <v>3.8</v>
      </c>
      <c r="O93" s="337">
        <v>3.4</v>
      </c>
      <c r="P93" s="337">
        <v>1.4</v>
      </c>
      <c r="Q93" s="337">
        <v>4.8</v>
      </c>
      <c r="R93" s="337">
        <v>5.1</v>
      </c>
      <c r="S93" s="337">
        <v>5.6</v>
      </c>
      <c r="T93" s="224">
        <v>5.9</v>
      </c>
      <c r="U93" s="224">
        <v>6.2</v>
      </c>
      <c r="V93" s="224">
        <v>6.1</v>
      </c>
      <c r="W93" s="338">
        <v>6.8</v>
      </c>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row>
    <row r="94" spans="1:87" s="32" customFormat="1" ht="12" customHeight="1">
      <c r="A94" s="452"/>
      <c r="B94" s="1"/>
      <c r="C94" s="68" t="str">
        <f>VLOOKUP(85,Textbausteine!$M$2:$Q$345,Hilfsgrössen!$D$2,FALSE)</f>
        <v>Swiss-Express clients commerciaux</v>
      </c>
      <c r="D94" s="1" t="str">
        <f>VLOOKUP(23,Textbausteine!$M$2:$Q$345,Hilfsgrössen!$D$2,FALSE)</f>
        <v>Millions d'unités</v>
      </c>
      <c r="E94" s="20">
        <v>4</v>
      </c>
      <c r="F94" s="11" t="s">
        <v>1319</v>
      </c>
      <c r="G94" s="50"/>
      <c r="H94" s="274" t="s">
        <v>1470</v>
      </c>
      <c r="I94" s="336">
        <v>3.2</v>
      </c>
      <c r="J94" s="336">
        <v>3.2</v>
      </c>
      <c r="K94" s="336">
        <v>3</v>
      </c>
      <c r="L94" s="336">
        <v>3</v>
      </c>
      <c r="M94" s="336">
        <v>2.9</v>
      </c>
      <c r="N94" s="337">
        <v>2.4</v>
      </c>
      <c r="O94" s="337">
        <v>2.1</v>
      </c>
      <c r="P94" s="337">
        <v>2.1</v>
      </c>
      <c r="Q94" s="337">
        <v>2</v>
      </c>
      <c r="R94" s="337">
        <v>1.8</v>
      </c>
      <c r="S94" s="337">
        <v>1.8</v>
      </c>
      <c r="T94" s="224">
        <v>1.7</v>
      </c>
      <c r="U94" s="224">
        <v>1.6</v>
      </c>
      <c r="V94" s="224">
        <v>1.5</v>
      </c>
      <c r="W94" s="338">
        <v>1.5</v>
      </c>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row>
    <row r="95" spans="1:87" s="32" customFormat="1" ht="12" customHeight="1">
      <c r="A95" s="452"/>
      <c r="B95" s="1"/>
      <c r="C95" s="68" t="str">
        <f>VLOOKUP(86,Textbausteine!$M$2:$Q$345,Hilfsgrössen!$D$2,FALSE)</f>
        <v>Courrier rapide, exportation (via TNT Swiss Post SA)</v>
      </c>
      <c r="D95" s="1" t="str">
        <f>VLOOKUP(23,Textbausteine!$M$2:$Q$345,Hilfsgrössen!$D$2,FALSE)</f>
        <v>Millions d'unités</v>
      </c>
      <c r="E95" s="20">
        <v>3</v>
      </c>
      <c r="F95" s="11" t="s">
        <v>1319</v>
      </c>
      <c r="G95" s="49"/>
      <c r="H95" s="274" t="s">
        <v>1470</v>
      </c>
      <c r="I95" s="336">
        <v>1.4</v>
      </c>
      <c r="J95" s="336">
        <v>1.6</v>
      </c>
      <c r="K95" s="336">
        <v>1.9</v>
      </c>
      <c r="L95" s="336">
        <v>1.5</v>
      </c>
      <c r="M95" s="336">
        <v>1.5</v>
      </c>
      <c r="N95" s="337">
        <v>1.5</v>
      </c>
      <c r="O95" s="337">
        <v>1.5</v>
      </c>
      <c r="P95" s="337">
        <v>1.4</v>
      </c>
      <c r="Q95" s="337">
        <v>1.4</v>
      </c>
      <c r="R95" s="337">
        <v>1.5</v>
      </c>
      <c r="S95" s="337">
        <v>1.6</v>
      </c>
      <c r="T95" s="224">
        <v>1.6</v>
      </c>
      <c r="U95" s="224">
        <v>1.5</v>
      </c>
      <c r="V95" s="224">
        <v>1.6</v>
      </c>
      <c r="W95" s="338">
        <v>1.6</v>
      </c>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row>
    <row r="96" spans="1:87" s="32" customFormat="1" ht="12" customHeight="1">
      <c r="A96" s="452"/>
      <c r="B96" s="1"/>
      <c r="C96" s="10"/>
      <c r="D96" s="1"/>
      <c r="E96" s="290"/>
      <c r="F96" s="11"/>
      <c r="G96" s="49"/>
      <c r="H96" s="140"/>
      <c r="I96" s="140"/>
      <c r="J96" s="140"/>
      <c r="K96" s="140"/>
      <c r="L96" s="140"/>
      <c r="M96" s="140"/>
      <c r="N96" s="162"/>
      <c r="O96" s="162"/>
      <c r="P96" s="162"/>
      <c r="Q96" s="162"/>
      <c r="R96" s="162"/>
      <c r="S96" s="162"/>
      <c r="T96" s="163"/>
      <c r="U96" s="163"/>
      <c r="V96" s="163"/>
      <c r="W96" s="255"/>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row>
    <row r="97" spans="1:87" s="32" customFormat="1" ht="12" customHeight="1">
      <c r="A97" s="452"/>
      <c r="B97" s="8" t="str">
        <f>VLOOKUP(46,Textbausteine!$A$2:$E$67,Hilfsgrössen!$D$2,FALSE)</f>
        <v>Swiss Post Solutions</v>
      </c>
      <c r="C97" s="10"/>
      <c r="D97" s="1"/>
      <c r="E97" s="290"/>
      <c r="F97" s="11"/>
      <c r="G97" s="49"/>
      <c r="H97" s="140"/>
      <c r="I97" s="140"/>
      <c r="J97" s="140"/>
      <c r="K97" s="140"/>
      <c r="L97" s="140"/>
      <c r="M97" s="140"/>
      <c r="N97" s="162"/>
      <c r="O97" s="162"/>
      <c r="P97" s="162"/>
      <c r="Q97" s="162"/>
      <c r="R97" s="162"/>
      <c r="S97" s="162"/>
      <c r="T97" s="163"/>
      <c r="U97" s="163"/>
      <c r="V97" s="163"/>
      <c r="W97" s="255"/>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row>
    <row r="98" spans="1:87" s="32" customFormat="1" ht="12" customHeight="1">
      <c r="A98" s="452"/>
      <c r="B98" s="1"/>
      <c r="C98" s="68" t="str">
        <f>VLOOKUP(87,Textbausteine!$M$2:$Q$345,Hilfsgrössen!$D$2,FALSE)</f>
        <v>Cas traités</v>
      </c>
      <c r="D98" s="1" t="str">
        <f>VLOOKUP(24,Textbausteine!$M$2:$Q$345,Hilfsgrössen!$D$2,FALSE)</f>
        <v>Millions</v>
      </c>
      <c r="E98" s="290" t="s">
        <v>2130</v>
      </c>
      <c r="F98" s="11" t="s">
        <v>1319</v>
      </c>
      <c r="G98" s="49"/>
      <c r="H98" s="381" t="s">
        <v>1470</v>
      </c>
      <c r="I98" s="382" t="s">
        <v>1470</v>
      </c>
      <c r="J98" s="383">
        <v>4.3</v>
      </c>
      <c r="K98" s="383">
        <v>4.3</v>
      </c>
      <c r="L98" s="383">
        <v>3.2</v>
      </c>
      <c r="M98" s="383">
        <v>3.9</v>
      </c>
      <c r="N98" s="384">
        <v>5.9</v>
      </c>
      <c r="O98" s="384">
        <v>5.270598</v>
      </c>
      <c r="P98" s="384">
        <v>5.286138</v>
      </c>
      <c r="Q98" s="384">
        <v>6.324854</v>
      </c>
      <c r="R98" s="384">
        <v>7.1</v>
      </c>
      <c r="S98" s="384">
        <v>5.9</v>
      </c>
      <c r="T98" s="385">
        <v>4.8</v>
      </c>
      <c r="U98" s="385">
        <v>5.1</v>
      </c>
      <c r="V98" s="385">
        <v>5.697021</v>
      </c>
      <c r="W98" s="386">
        <v>5.4</v>
      </c>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row>
    <row r="99" spans="1:87" s="32" customFormat="1" ht="12" customHeight="1">
      <c r="A99" s="452"/>
      <c r="B99" s="1"/>
      <c r="C99" s="68" t="str">
        <f>VLOOKUP(88,Textbausteine!$M$2:$Q$345,Hilfsgrössen!$D$2,FALSE)</f>
        <v>Pages scannées (Document Solutions)</v>
      </c>
      <c r="D99" s="1" t="str">
        <f>VLOOKUP(24,Textbausteine!$M$2:$Q$345,Hilfsgrössen!$D$2,FALSE)</f>
        <v>Millions</v>
      </c>
      <c r="E99" s="107">
        <v>5</v>
      </c>
      <c r="F99" s="11" t="s">
        <v>1319</v>
      </c>
      <c r="G99" s="49"/>
      <c r="H99" s="381" t="s">
        <v>1470</v>
      </c>
      <c r="I99" s="382" t="s">
        <v>1470</v>
      </c>
      <c r="J99" s="383">
        <v>15.7</v>
      </c>
      <c r="K99" s="383">
        <v>15.7</v>
      </c>
      <c r="L99" s="383">
        <v>23.7</v>
      </c>
      <c r="M99" s="383">
        <v>33</v>
      </c>
      <c r="N99" s="384">
        <v>35</v>
      </c>
      <c r="O99" s="384">
        <v>38.65</v>
      </c>
      <c r="P99" s="384">
        <v>33</v>
      </c>
      <c r="Q99" s="384">
        <v>153.834</v>
      </c>
      <c r="R99" s="384">
        <v>160</v>
      </c>
      <c r="S99" s="384">
        <v>186.9</v>
      </c>
      <c r="T99" s="385">
        <v>182.8</v>
      </c>
      <c r="U99" s="385">
        <v>201</v>
      </c>
      <c r="V99" s="385">
        <v>220.526238</v>
      </c>
      <c r="W99" s="386">
        <v>178.7</v>
      </c>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row>
    <row r="100" spans="1:87" s="32" customFormat="1" ht="12" customHeight="1">
      <c r="A100" s="452"/>
      <c r="B100" s="1"/>
      <c r="C100" s="68" t="str">
        <f>VLOOKUP(89,Textbausteine!$M$2:$Q$345,Hilfsgrössen!$D$2,FALSE)</f>
        <v>Cartes personnalisées (Cards)</v>
      </c>
      <c r="D100" s="1" t="str">
        <f>VLOOKUP(24,Textbausteine!$M$2:$Q$345,Hilfsgrössen!$D$2,FALSE)</f>
        <v>Millions</v>
      </c>
      <c r="E100" s="107">
        <v>5</v>
      </c>
      <c r="F100" s="11" t="s">
        <v>1319</v>
      </c>
      <c r="G100" s="50"/>
      <c r="H100" s="381" t="s">
        <v>1470</v>
      </c>
      <c r="I100" s="382" t="s">
        <v>1470</v>
      </c>
      <c r="J100" s="383">
        <v>256</v>
      </c>
      <c r="K100" s="383">
        <v>256</v>
      </c>
      <c r="L100" s="383">
        <v>254</v>
      </c>
      <c r="M100" s="383">
        <v>125</v>
      </c>
      <c r="N100" s="384">
        <v>165.5</v>
      </c>
      <c r="O100" s="384">
        <v>189.50945299999998</v>
      </c>
      <c r="P100" s="384">
        <v>171.5</v>
      </c>
      <c r="Q100" s="384">
        <v>140</v>
      </c>
      <c r="R100" s="384">
        <v>119.1</v>
      </c>
      <c r="S100" s="384">
        <v>153</v>
      </c>
      <c r="T100" s="387" t="s">
        <v>1470</v>
      </c>
      <c r="U100" s="387" t="s">
        <v>1470</v>
      </c>
      <c r="V100" s="387" t="s">
        <v>1470</v>
      </c>
      <c r="W100" s="388" t="s">
        <v>1470</v>
      </c>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row>
    <row r="101" spans="1:87" s="32" customFormat="1" ht="12" customHeight="1">
      <c r="A101" s="452"/>
      <c r="B101" s="1"/>
      <c r="C101" s="68" t="str">
        <f>VLOOKUP(90,Textbausteine!$M$2:$Q$345,Hilfsgrössen!$D$2,FALSE)</f>
        <v>Cartes non personnalisées (Cards)</v>
      </c>
      <c r="D101" s="1" t="str">
        <f>VLOOKUP(24,Textbausteine!$M$2:$Q$345,Hilfsgrössen!$D$2,FALSE)</f>
        <v>Millions</v>
      </c>
      <c r="E101" s="107">
        <v>5</v>
      </c>
      <c r="F101" s="11" t="s">
        <v>1319</v>
      </c>
      <c r="G101" s="49"/>
      <c r="H101" s="381" t="s">
        <v>1470</v>
      </c>
      <c r="I101" s="381" t="s">
        <v>1470</v>
      </c>
      <c r="J101" s="389">
        <v>21</v>
      </c>
      <c r="K101" s="389">
        <v>21</v>
      </c>
      <c r="L101" s="389">
        <v>22</v>
      </c>
      <c r="M101" s="389">
        <v>20</v>
      </c>
      <c r="N101" s="390">
        <v>20</v>
      </c>
      <c r="O101" s="390">
        <v>9</v>
      </c>
      <c r="P101" s="390">
        <v>8.3</v>
      </c>
      <c r="Q101" s="390">
        <v>5</v>
      </c>
      <c r="R101" s="390">
        <v>1.2</v>
      </c>
      <c r="S101" s="390">
        <v>2</v>
      </c>
      <c r="T101" s="387" t="s">
        <v>1470</v>
      </c>
      <c r="U101" s="387" t="s">
        <v>1470</v>
      </c>
      <c r="V101" s="387" t="s">
        <v>1470</v>
      </c>
      <c r="W101" s="388" t="s">
        <v>1470</v>
      </c>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row>
    <row r="102" spans="1:87" s="32" customFormat="1" ht="12" customHeight="1">
      <c r="A102" s="455"/>
      <c r="B102" s="8"/>
      <c r="C102" s="68" t="str">
        <f>VLOOKUP(91,Textbausteine!$M$2:$Q$345,Hilfsgrössen!$D$2,FALSE)</f>
        <v>Envois produits (Document Output)</v>
      </c>
      <c r="D102" s="1" t="str">
        <f>VLOOKUP(24,Textbausteine!$M$2:$Q$345,Hilfsgrössen!$D$2,FALSE)</f>
        <v>Millions</v>
      </c>
      <c r="E102" s="107">
        <v>5</v>
      </c>
      <c r="F102" s="11" t="s">
        <v>1319</v>
      </c>
      <c r="G102" s="49"/>
      <c r="H102" s="381" t="s">
        <v>1470</v>
      </c>
      <c r="I102" s="381" t="s">
        <v>1470</v>
      </c>
      <c r="J102" s="389">
        <v>169.2</v>
      </c>
      <c r="K102" s="389">
        <v>169.2</v>
      </c>
      <c r="L102" s="389">
        <v>204.2</v>
      </c>
      <c r="M102" s="389">
        <v>208.9</v>
      </c>
      <c r="N102" s="390">
        <v>204.2</v>
      </c>
      <c r="O102" s="390">
        <v>203.632</v>
      </c>
      <c r="P102" s="390">
        <v>204.121</v>
      </c>
      <c r="Q102" s="390">
        <v>360</v>
      </c>
      <c r="R102" s="390">
        <v>335.8</v>
      </c>
      <c r="S102" s="390">
        <v>403.1</v>
      </c>
      <c r="T102" s="385">
        <v>428.8</v>
      </c>
      <c r="U102" s="385">
        <v>463.4</v>
      </c>
      <c r="V102" s="385">
        <v>480.636</v>
      </c>
      <c r="W102" s="386">
        <v>426.1</v>
      </c>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row>
    <row r="103" spans="1:87" s="32" customFormat="1" ht="12" customHeight="1">
      <c r="A103" s="452"/>
      <c r="B103" s="1"/>
      <c r="C103" s="68" t="str">
        <f>VLOOKUP(92,Textbausteine!$M$2:$Q$345,Hilfsgrössen!$D$2,FALSE)</f>
        <v>Volume des mandats clôturés</v>
      </c>
      <c r="D103" s="1" t="str">
        <f>VLOOKUP(22,Textbausteine!$M$2:$Q$345,Hilfsgrössen!$D$2,FALSE)</f>
        <v>Millions de CHF</v>
      </c>
      <c r="E103" s="107">
        <v>5</v>
      </c>
      <c r="F103" s="11" t="s">
        <v>1319</v>
      </c>
      <c r="G103" s="50"/>
      <c r="H103" s="381" t="s">
        <v>1470</v>
      </c>
      <c r="I103" s="391" t="s">
        <v>1470</v>
      </c>
      <c r="J103" s="392">
        <v>261.7</v>
      </c>
      <c r="K103" s="392">
        <v>261.7</v>
      </c>
      <c r="L103" s="392">
        <v>568.5</v>
      </c>
      <c r="M103" s="392">
        <v>456.9</v>
      </c>
      <c r="N103" s="384">
        <v>662.4</v>
      </c>
      <c r="O103" s="384">
        <v>498.4</v>
      </c>
      <c r="P103" s="384">
        <v>503.887</v>
      </c>
      <c r="Q103" s="384">
        <v>620.9</v>
      </c>
      <c r="R103" s="384">
        <v>677.3</v>
      </c>
      <c r="S103" s="384">
        <v>667.9</v>
      </c>
      <c r="T103" s="385">
        <v>646.1</v>
      </c>
      <c r="U103" s="385">
        <v>594.8</v>
      </c>
      <c r="V103" s="385">
        <v>672.775</v>
      </c>
      <c r="W103" s="386">
        <v>755</v>
      </c>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row>
    <row r="104" spans="1:87" s="32" customFormat="1" ht="12" customHeight="1">
      <c r="A104" s="452"/>
      <c r="B104" s="1"/>
      <c r="C104" s="68"/>
      <c r="D104" s="1"/>
      <c r="E104" s="288"/>
      <c r="F104" s="11"/>
      <c r="G104" s="49"/>
      <c r="H104" s="175"/>
      <c r="I104" s="175"/>
      <c r="J104" s="175"/>
      <c r="K104" s="175"/>
      <c r="L104" s="175"/>
      <c r="M104" s="175"/>
      <c r="N104" s="162"/>
      <c r="O104" s="162"/>
      <c r="P104" s="162"/>
      <c r="Q104" s="162"/>
      <c r="R104" s="162"/>
      <c r="S104" s="162"/>
      <c r="T104" s="163"/>
      <c r="U104" s="163"/>
      <c r="V104" s="163"/>
      <c r="W104" s="255"/>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row>
    <row r="105" spans="1:23" ht="12" customHeight="1">
      <c r="A105" s="452"/>
      <c r="B105" s="8" t="str">
        <f>VLOOKUP(47,Textbausteine!$A$2:$E$67,Hilfsgrössen!$D$2,FALSE)</f>
        <v>RéseauPostal</v>
      </c>
      <c r="E105" s="288"/>
      <c r="F105" s="11"/>
      <c r="G105" s="49"/>
      <c r="H105" s="20"/>
      <c r="I105" s="20"/>
      <c r="J105" s="20"/>
      <c r="K105" s="20"/>
      <c r="L105" s="20"/>
      <c r="M105" s="20"/>
      <c r="N105" s="20"/>
      <c r="O105" s="20"/>
      <c r="P105" s="107"/>
      <c r="Q105" s="163"/>
      <c r="R105" s="162"/>
      <c r="S105" s="162"/>
      <c r="T105" s="163"/>
      <c r="U105" s="163"/>
      <c r="V105" s="163"/>
      <c r="W105" s="255"/>
    </row>
    <row r="106" spans="1:87" s="32" customFormat="1" ht="12" customHeight="1">
      <c r="A106" s="452"/>
      <c r="B106" s="1"/>
      <c r="C106" s="18" t="str">
        <f>VLOOKUP(93,Textbausteine!$M$2:$Q$345,Hilfsgrössen!$D$2,FALSE)</f>
        <v>Chiffre d'affaires net autres articles de marque</v>
      </c>
      <c r="D106" s="1" t="str">
        <f>VLOOKUP(22,Textbausteine!$M$2:$Q$345,Hilfsgrössen!$D$2,FALSE)</f>
        <v>Millions de CHF</v>
      </c>
      <c r="E106" s="288" t="s">
        <v>2546</v>
      </c>
      <c r="F106" s="11" t="s">
        <v>1319</v>
      </c>
      <c r="G106" s="49"/>
      <c r="H106" s="138" t="s">
        <v>1470</v>
      </c>
      <c r="I106" s="138" t="s">
        <v>1470</v>
      </c>
      <c r="J106" s="138" t="s">
        <v>1470</v>
      </c>
      <c r="K106" s="138" t="s">
        <v>1470</v>
      </c>
      <c r="L106" s="138" t="s">
        <v>1470</v>
      </c>
      <c r="M106" s="138" t="s">
        <v>1470</v>
      </c>
      <c r="N106" s="20">
        <v>482</v>
      </c>
      <c r="O106" s="20">
        <v>495</v>
      </c>
      <c r="P106" s="107">
        <v>498</v>
      </c>
      <c r="Q106" s="163">
        <v>497</v>
      </c>
      <c r="R106" s="162">
        <v>509</v>
      </c>
      <c r="S106" s="162">
        <v>480</v>
      </c>
      <c r="T106" s="163">
        <v>473</v>
      </c>
      <c r="U106" s="163">
        <v>425</v>
      </c>
      <c r="V106" s="163">
        <v>97.1</v>
      </c>
      <c r="W106" s="255">
        <v>78.2</v>
      </c>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row>
    <row r="107" spans="1:87" s="32" customFormat="1" ht="12" customHeight="1">
      <c r="A107" s="452"/>
      <c r="B107" s="1"/>
      <c r="C107" s="4" t="str">
        <f>VLOOKUP(94,Textbausteine!$M$2:$Q$345,Hilfsgrössen!$D$2,FALSE)</f>
        <v>Versements</v>
      </c>
      <c r="D107" s="1" t="str">
        <f>VLOOKUP(24,Textbausteine!$M$2:$Q$345,Hilfsgrössen!$D$2,FALSE)</f>
        <v>Millions</v>
      </c>
      <c r="E107" s="288"/>
      <c r="F107" s="11" t="s">
        <v>1319</v>
      </c>
      <c r="G107" s="49"/>
      <c r="H107" s="138" t="s">
        <v>1470</v>
      </c>
      <c r="I107" s="140">
        <v>230</v>
      </c>
      <c r="J107" s="140">
        <v>222</v>
      </c>
      <c r="K107" s="140">
        <v>216</v>
      </c>
      <c r="L107" s="140">
        <v>212</v>
      </c>
      <c r="M107" s="140">
        <v>207</v>
      </c>
      <c r="N107" s="140">
        <v>201</v>
      </c>
      <c r="O107" s="140">
        <v>189</v>
      </c>
      <c r="P107" s="162">
        <v>183</v>
      </c>
      <c r="Q107" s="162">
        <v>178</v>
      </c>
      <c r="R107" s="162">
        <v>171</v>
      </c>
      <c r="S107" s="162">
        <v>164</v>
      </c>
      <c r="T107" s="163">
        <v>155</v>
      </c>
      <c r="U107" s="163">
        <v>145</v>
      </c>
      <c r="V107" s="163">
        <v>137</v>
      </c>
      <c r="W107" s="255">
        <v>129</v>
      </c>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row>
    <row r="108" spans="1:87" s="32" customFormat="1" ht="12" customHeight="1">
      <c r="A108" s="452"/>
      <c r="B108" s="1"/>
      <c r="C108" s="10"/>
      <c r="D108" s="1"/>
      <c r="E108" s="288"/>
      <c r="F108" s="11"/>
      <c r="G108" s="49"/>
      <c r="H108" s="140"/>
      <c r="I108" s="140"/>
      <c r="J108" s="140"/>
      <c r="K108" s="140"/>
      <c r="L108" s="140"/>
      <c r="M108" s="140"/>
      <c r="N108" s="140"/>
      <c r="O108" s="140"/>
      <c r="P108" s="162"/>
      <c r="Q108" s="162"/>
      <c r="R108" s="162"/>
      <c r="S108" s="162"/>
      <c r="T108" s="163"/>
      <c r="U108" s="163"/>
      <c r="V108" s="163"/>
      <c r="W108" s="255"/>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row>
    <row r="109" spans="1:87" s="32" customFormat="1" ht="12" customHeight="1">
      <c r="A109" s="452"/>
      <c r="B109" s="8" t="str">
        <f>VLOOKUP(49,Textbausteine!$A$2:$E$67,Hilfsgrössen!$D$2,FALSE)</f>
        <v>PostFinance</v>
      </c>
      <c r="C109" s="10"/>
      <c r="D109" s="1"/>
      <c r="E109" s="288"/>
      <c r="F109" s="11"/>
      <c r="G109" s="49"/>
      <c r="H109" s="140"/>
      <c r="I109" s="140"/>
      <c r="J109" s="140"/>
      <c r="K109" s="140"/>
      <c r="L109" s="140"/>
      <c r="M109" s="140"/>
      <c r="N109" s="162"/>
      <c r="O109" s="162"/>
      <c r="P109" s="162"/>
      <c r="Q109" s="162"/>
      <c r="R109" s="162"/>
      <c r="S109" s="162"/>
      <c r="T109" s="163"/>
      <c r="U109" s="163"/>
      <c r="V109" s="163"/>
      <c r="W109" s="255"/>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row>
    <row r="110" spans="1:87" s="32" customFormat="1" ht="12" customHeight="1">
      <c r="A110" s="452"/>
      <c r="B110" s="1"/>
      <c r="C110" s="67" t="str">
        <f>VLOOKUP(95,Textbausteine!$M$2:$Q$345,Hilfsgrössen!$D$2,FALSE)</f>
        <v>Évolution du patrimoine des clients</v>
      </c>
      <c r="D110" s="1" t="str">
        <f>VLOOKUP(22,Textbausteine!$M$2:$Q$345,Hilfsgrössen!$D$2,FALSE)</f>
        <v>Millions de CHF</v>
      </c>
      <c r="E110" s="288" t="s">
        <v>2547</v>
      </c>
      <c r="F110" s="11" t="s">
        <v>1319</v>
      </c>
      <c r="G110" s="49"/>
      <c r="H110" s="138" t="s">
        <v>1470</v>
      </c>
      <c r="I110" s="176" t="s">
        <v>1470</v>
      </c>
      <c r="J110" s="176" t="s">
        <v>1470</v>
      </c>
      <c r="K110" s="176" t="s">
        <v>1470</v>
      </c>
      <c r="L110" s="176" t="s">
        <v>1470</v>
      </c>
      <c r="M110" s="176" t="s">
        <v>1470</v>
      </c>
      <c r="N110" s="168" t="s">
        <v>1470</v>
      </c>
      <c r="O110" s="100">
        <v>10835</v>
      </c>
      <c r="P110" s="100">
        <v>9681</v>
      </c>
      <c r="Q110" s="100">
        <v>5072</v>
      </c>
      <c r="R110" s="100">
        <v>3606</v>
      </c>
      <c r="S110" s="100">
        <v>-2320</v>
      </c>
      <c r="T110" s="163">
        <v>4570</v>
      </c>
      <c r="U110" s="163">
        <v>361</v>
      </c>
      <c r="V110" s="163">
        <v>-854</v>
      </c>
      <c r="W110" s="255">
        <v>220</v>
      </c>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row>
    <row r="111" spans="1:87" s="32" customFormat="1" ht="12" customHeight="1">
      <c r="A111" s="455"/>
      <c r="B111" s="8"/>
      <c r="C111" s="178" t="str">
        <f>VLOOKUP(96,Textbausteine!$M$2:$Q$345,Hilfsgrössen!$D$2,FALSE)</f>
        <v>Nombres de comptes clients</v>
      </c>
      <c r="D111" s="67" t="str">
        <f>VLOOKUP(25,Textbausteine!$M$2:$Q$345,Hilfsgrössen!$D$2,FALSE)</f>
        <v>Milliers</v>
      </c>
      <c r="E111" s="288"/>
      <c r="F111" s="11" t="s">
        <v>1319</v>
      </c>
      <c r="G111" s="49"/>
      <c r="H111" s="138" t="s">
        <v>1470</v>
      </c>
      <c r="I111" s="100">
        <v>3008</v>
      </c>
      <c r="J111" s="100">
        <v>3154</v>
      </c>
      <c r="K111" s="100">
        <v>3335.012</v>
      </c>
      <c r="L111" s="100">
        <v>3646</v>
      </c>
      <c r="M111" s="100">
        <v>3881</v>
      </c>
      <c r="N111" s="100">
        <v>4079</v>
      </c>
      <c r="O111" s="100">
        <v>4212</v>
      </c>
      <c r="P111" s="100">
        <v>4549.236</v>
      </c>
      <c r="Q111" s="100">
        <v>4628</v>
      </c>
      <c r="R111" s="100">
        <v>4752</v>
      </c>
      <c r="S111" s="100">
        <v>4835</v>
      </c>
      <c r="T111" s="163">
        <v>4845</v>
      </c>
      <c r="U111" s="163">
        <v>4809</v>
      </c>
      <c r="V111" s="163">
        <v>4503</v>
      </c>
      <c r="W111" s="255">
        <v>4401</v>
      </c>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row>
    <row r="112" spans="1:87" s="32" customFormat="1" ht="12" customHeight="1">
      <c r="A112" s="452"/>
      <c r="B112" s="1"/>
      <c r="C112" s="4" t="str">
        <f>VLOOKUP(97,Textbausteine!$M$2:$Q$345,Hilfsgrössen!$D$2,FALSE)</f>
        <v>Moyenne du patrimoine des clients (Ø mensuelle)</v>
      </c>
      <c r="D112" s="1" t="str">
        <f>VLOOKUP(22,Textbausteine!$M$2:$Q$345,Hilfsgrössen!$D$2,FALSE)</f>
        <v>Millions de CHF</v>
      </c>
      <c r="E112" s="288"/>
      <c r="F112" s="11" t="s">
        <v>1319</v>
      </c>
      <c r="G112" s="49"/>
      <c r="H112" s="138" t="s">
        <v>1470</v>
      </c>
      <c r="I112" s="176" t="s">
        <v>1470</v>
      </c>
      <c r="J112" s="176" t="s">
        <v>1470</v>
      </c>
      <c r="K112" s="176" t="s">
        <v>1470</v>
      </c>
      <c r="L112" s="176" t="s">
        <v>1470</v>
      </c>
      <c r="M112" s="176" t="s">
        <v>1470</v>
      </c>
      <c r="N112" s="162">
        <v>87992.309228</v>
      </c>
      <c r="O112" s="162">
        <v>98827.6851844013</v>
      </c>
      <c r="P112" s="162">
        <v>108508.296278</v>
      </c>
      <c r="Q112" s="162">
        <v>113580</v>
      </c>
      <c r="R112" s="162">
        <v>117186</v>
      </c>
      <c r="S112" s="162">
        <v>114865.813994121</v>
      </c>
      <c r="T112" s="163">
        <v>119436</v>
      </c>
      <c r="U112" s="163">
        <v>119797</v>
      </c>
      <c r="V112" s="163">
        <v>118943</v>
      </c>
      <c r="W112" s="255">
        <v>119163</v>
      </c>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row>
    <row r="113" spans="1:87" s="32" customFormat="1" ht="12" customHeight="1">
      <c r="A113" s="452"/>
      <c r="B113" s="1"/>
      <c r="C113" s="4" t="str">
        <f>VLOOKUP(98,Textbausteine!$M$2:$Q$345,Hilfsgrössen!$D$2,FALSE)</f>
        <v>Moyenne des fonds des clients (Ø mensuelle)</v>
      </c>
      <c r="D113" s="1" t="str">
        <f>VLOOKUP(22,Textbausteine!$M$2:$Q$345,Hilfsgrössen!$D$2,FALSE)</f>
        <v>Millions de CHF</v>
      </c>
      <c r="E113" s="288"/>
      <c r="F113" s="11" t="s">
        <v>1319</v>
      </c>
      <c r="G113" s="50"/>
      <c r="H113" s="138" t="s">
        <v>1470</v>
      </c>
      <c r="I113" s="176" t="s">
        <v>1470</v>
      </c>
      <c r="J113" s="176" t="s">
        <v>1470</v>
      </c>
      <c r="K113" s="176" t="s">
        <v>1470</v>
      </c>
      <c r="L113" s="176" t="s">
        <v>1470</v>
      </c>
      <c r="M113" s="176" t="s">
        <v>1470</v>
      </c>
      <c r="N113" s="162">
        <v>83974.0262763875</v>
      </c>
      <c r="O113" s="162">
        <v>94642.0662116513</v>
      </c>
      <c r="P113" s="162">
        <v>103484.821056774</v>
      </c>
      <c r="Q113" s="162">
        <v>107538.199818</v>
      </c>
      <c r="R113" s="162">
        <v>110062</v>
      </c>
      <c r="S113" s="162">
        <v>107093.693319121</v>
      </c>
      <c r="T113" s="163">
        <v>111190</v>
      </c>
      <c r="U113" s="163">
        <v>109829</v>
      </c>
      <c r="V113" s="163">
        <v>108869</v>
      </c>
      <c r="W113" s="255">
        <v>106852</v>
      </c>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row>
    <row r="114" spans="1:87" s="32" customFormat="1" ht="12" customHeight="1">
      <c r="A114" s="452"/>
      <c r="B114" s="1"/>
      <c r="C114" s="178" t="str">
        <f>VLOOKUP(99,Textbausteine!$M$2:$Q$345,Hilfsgrössen!$D$2,FALSE)</f>
        <v>Nombre de transactions</v>
      </c>
      <c r="D114" s="1" t="str">
        <f>VLOOKUP(24,Textbausteine!$M$2:$Q$345,Hilfsgrössen!$D$2,FALSE)</f>
        <v>Millions</v>
      </c>
      <c r="E114" s="288"/>
      <c r="F114" s="11" t="s">
        <v>1319</v>
      </c>
      <c r="G114" s="49"/>
      <c r="H114" s="138" t="s">
        <v>1470</v>
      </c>
      <c r="I114" s="140">
        <v>801</v>
      </c>
      <c r="J114" s="140">
        <v>803</v>
      </c>
      <c r="K114" s="140">
        <v>823</v>
      </c>
      <c r="L114" s="140">
        <v>843</v>
      </c>
      <c r="M114" s="140">
        <v>865</v>
      </c>
      <c r="N114" s="162">
        <v>894</v>
      </c>
      <c r="O114" s="162">
        <v>907</v>
      </c>
      <c r="P114" s="162">
        <v>932.123723</v>
      </c>
      <c r="Q114" s="162">
        <v>965</v>
      </c>
      <c r="R114" s="162">
        <v>996</v>
      </c>
      <c r="S114" s="162">
        <v>1020</v>
      </c>
      <c r="T114" s="163">
        <v>1044</v>
      </c>
      <c r="U114" s="163">
        <v>1072</v>
      </c>
      <c r="V114" s="163">
        <v>1145</v>
      </c>
      <c r="W114" s="255">
        <v>1180</v>
      </c>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row>
    <row r="115" spans="1:87" s="32" customFormat="1" ht="12" customHeight="1">
      <c r="A115" s="452"/>
      <c r="B115" s="1"/>
      <c r="C115" s="18" t="str">
        <f>VLOOKUP(100,Textbausteine!$M$2:$Q$345,Hilfsgrössen!$D$2,FALSE)</f>
        <v>Adhérents e-finance</v>
      </c>
      <c r="D115" s="67" t="str">
        <f>VLOOKUP(26,Textbausteine!$M$2:$Q$345,Hilfsgrössen!$D$2,FALSE)</f>
        <v>clients</v>
      </c>
      <c r="E115" s="288"/>
      <c r="F115" s="11" t="s">
        <v>1319</v>
      </c>
      <c r="G115" s="49"/>
      <c r="H115" s="138" t="s">
        <v>1470</v>
      </c>
      <c r="I115" s="140">
        <v>671728</v>
      </c>
      <c r="J115" s="140">
        <v>760585</v>
      </c>
      <c r="K115" s="140">
        <v>858587</v>
      </c>
      <c r="L115" s="140">
        <v>984592</v>
      </c>
      <c r="M115" s="140">
        <v>1101593</v>
      </c>
      <c r="N115" s="162">
        <v>1219539</v>
      </c>
      <c r="O115" s="162">
        <v>1349747</v>
      </c>
      <c r="P115" s="162">
        <v>1463325</v>
      </c>
      <c r="Q115" s="162">
        <v>1546000</v>
      </c>
      <c r="R115" s="162">
        <v>1624443</v>
      </c>
      <c r="S115" s="162">
        <v>1682956</v>
      </c>
      <c r="T115" s="163">
        <v>1742751</v>
      </c>
      <c r="U115" s="163">
        <v>1755823</v>
      </c>
      <c r="V115" s="163">
        <v>1775343</v>
      </c>
      <c r="W115" s="255">
        <v>1796571</v>
      </c>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row>
    <row r="116" spans="1:87" s="32" customFormat="1" ht="12" customHeight="1">
      <c r="A116" s="452"/>
      <c r="C116" s="18" t="str">
        <f>VLOOKUP(101,Textbausteine!$M$2:$Q$345,Hilfsgrössen!$D$2,FALSE)</f>
        <v>Volume des fonds (fonds PostFinance sans fonds émis par des tiers)</v>
      </c>
      <c r="D116" s="1" t="str">
        <f>VLOOKUP(22,Textbausteine!$M$2:$Q$345,Hilfsgrössen!$D$2,FALSE)</f>
        <v>Millions de CHF</v>
      </c>
      <c r="E116" s="288" t="s">
        <v>2591</v>
      </c>
      <c r="F116" s="11" t="s">
        <v>1319</v>
      </c>
      <c r="G116" s="49"/>
      <c r="H116" s="138" t="s">
        <v>1470</v>
      </c>
      <c r="I116" s="140">
        <v>1524</v>
      </c>
      <c r="J116" s="140">
        <v>1560</v>
      </c>
      <c r="K116" s="140">
        <v>1475</v>
      </c>
      <c r="L116" s="140">
        <v>1160</v>
      </c>
      <c r="M116" s="140">
        <v>1464</v>
      </c>
      <c r="N116" s="162">
        <v>1673</v>
      </c>
      <c r="O116" s="162">
        <v>1764</v>
      </c>
      <c r="P116" s="162">
        <v>2131.570503</v>
      </c>
      <c r="Q116" s="162">
        <v>2352</v>
      </c>
      <c r="R116" s="162">
        <v>2701</v>
      </c>
      <c r="S116" s="162">
        <v>2972</v>
      </c>
      <c r="T116" s="163">
        <v>3428</v>
      </c>
      <c r="U116" s="163">
        <v>4243</v>
      </c>
      <c r="V116" s="163">
        <v>4212</v>
      </c>
      <c r="W116" s="255">
        <v>5424</v>
      </c>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row>
    <row r="117" spans="1:87" s="32" customFormat="1" ht="12" customHeight="1">
      <c r="A117" s="452"/>
      <c r="B117" s="1"/>
      <c r="C117" s="18" t="str">
        <f>VLOOKUP(102,Textbausteine!$M$2:$Q$345,Hilfsgrössen!$D$2,FALSE)</f>
        <v>Volume des fonds (émis par PostFinance et par des tiers)</v>
      </c>
      <c r="D117" s="1" t="str">
        <f>VLOOKUP(22,Textbausteine!$M$2:$Q$345,Hilfsgrössen!$D$2,FALSE)</f>
        <v>Millions de CHF</v>
      </c>
      <c r="E117" s="288"/>
      <c r="F117" s="11" t="s">
        <v>1319</v>
      </c>
      <c r="G117" s="50"/>
      <c r="H117" s="138" t="s">
        <v>1470</v>
      </c>
      <c r="I117" s="140">
        <v>1552.2</v>
      </c>
      <c r="J117" s="140">
        <v>1708</v>
      </c>
      <c r="K117" s="140">
        <v>1728.9</v>
      </c>
      <c r="L117" s="140">
        <v>1380.2</v>
      </c>
      <c r="M117" s="140">
        <v>1723</v>
      </c>
      <c r="N117" s="162">
        <v>1940</v>
      </c>
      <c r="O117" s="162">
        <v>1990</v>
      </c>
      <c r="P117" s="162">
        <v>2390.224564</v>
      </c>
      <c r="Q117" s="162">
        <v>2634</v>
      </c>
      <c r="R117" s="162">
        <v>3005</v>
      </c>
      <c r="S117" s="162">
        <v>3284</v>
      </c>
      <c r="T117" s="163">
        <v>3788</v>
      </c>
      <c r="U117" s="163">
        <v>4757</v>
      </c>
      <c r="V117" s="163">
        <v>5095.856</v>
      </c>
      <c r="W117" s="255">
        <v>6071</v>
      </c>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row>
    <row r="118" spans="1:87" s="32" customFormat="1" ht="12" customHeight="1">
      <c r="A118" s="452"/>
      <c r="B118" s="1"/>
      <c r="C118" s="178" t="str">
        <f>VLOOKUP(103,Textbausteine!$M$2:$Q$345,Hilfsgrössen!$D$2,FALSE)</f>
        <v>Volume des prêts clients commerciaux</v>
      </c>
      <c r="D118" s="1" t="str">
        <f>VLOOKUP(22,Textbausteine!$M$2:$Q$345,Hilfsgrössen!$D$2,FALSE)</f>
        <v>Millions de CHF</v>
      </c>
      <c r="E118" s="290" t="s">
        <v>2591</v>
      </c>
      <c r="F118" s="11" t="s">
        <v>1319</v>
      </c>
      <c r="G118" s="50"/>
      <c r="H118" s="138" t="s">
        <v>1470</v>
      </c>
      <c r="I118" s="140">
        <v>2106</v>
      </c>
      <c r="J118" s="140">
        <v>2649</v>
      </c>
      <c r="K118" s="140">
        <v>3160</v>
      </c>
      <c r="L118" s="140">
        <v>4313</v>
      </c>
      <c r="M118" s="140">
        <v>5423</v>
      </c>
      <c r="N118" s="162">
        <v>6134</v>
      </c>
      <c r="O118" s="162">
        <v>6842</v>
      </c>
      <c r="P118" s="162">
        <v>6514.235933000001</v>
      </c>
      <c r="Q118" s="162">
        <v>7271</v>
      </c>
      <c r="R118" s="162">
        <v>8165</v>
      </c>
      <c r="S118" s="162">
        <v>9063</v>
      </c>
      <c r="T118" s="163">
        <v>9894</v>
      </c>
      <c r="U118" s="163">
        <v>10185</v>
      </c>
      <c r="V118" s="163">
        <v>9880</v>
      </c>
      <c r="W118" s="255">
        <v>10123</v>
      </c>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row>
    <row r="119" spans="1:87" s="32" customFormat="1" ht="12" customHeight="1">
      <c r="A119" s="452"/>
      <c r="B119" s="1"/>
      <c r="C119" s="178" t="str">
        <f>VLOOKUP(104,Textbausteine!$M$2:$Q$345,Hilfsgrössen!$D$2,FALSE)</f>
        <v>Volume des hypothèques clients privés</v>
      </c>
      <c r="D119" s="1" t="str">
        <f>VLOOKUP(22,Textbausteine!$M$2:$Q$345,Hilfsgrössen!$D$2,FALSE)</f>
        <v>Millions de CHF</v>
      </c>
      <c r="E119" s="290"/>
      <c r="F119" s="11" t="s">
        <v>1319</v>
      </c>
      <c r="G119" s="49"/>
      <c r="H119" s="138" t="s">
        <v>1470</v>
      </c>
      <c r="I119" s="140">
        <v>1440</v>
      </c>
      <c r="J119" s="140">
        <v>1819</v>
      </c>
      <c r="K119" s="140">
        <v>1943.5</v>
      </c>
      <c r="L119" s="140">
        <v>2040</v>
      </c>
      <c r="M119" s="140">
        <v>2673</v>
      </c>
      <c r="N119" s="162">
        <v>3197</v>
      </c>
      <c r="O119" s="162">
        <v>3684</v>
      </c>
      <c r="P119" s="162">
        <v>4166.7325167</v>
      </c>
      <c r="Q119" s="162">
        <v>4424</v>
      </c>
      <c r="R119" s="162">
        <v>4713</v>
      </c>
      <c r="S119" s="162">
        <v>5089</v>
      </c>
      <c r="T119" s="163">
        <v>5361</v>
      </c>
      <c r="U119" s="163">
        <v>5650</v>
      </c>
      <c r="V119" s="163">
        <v>5816</v>
      </c>
      <c r="W119" s="255">
        <v>5965</v>
      </c>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row>
    <row r="120" spans="1:87" s="32" customFormat="1" ht="12" customHeight="1">
      <c r="A120" s="452"/>
      <c r="B120" s="1"/>
      <c r="C120" s="68"/>
      <c r="D120" s="1"/>
      <c r="E120" s="290"/>
      <c r="F120" s="11"/>
      <c r="G120" s="49"/>
      <c r="H120" s="140"/>
      <c r="I120" s="140"/>
      <c r="J120" s="140"/>
      <c r="K120" s="140"/>
      <c r="L120" s="140"/>
      <c r="M120" s="140"/>
      <c r="N120" s="162"/>
      <c r="O120" s="162"/>
      <c r="P120" s="162"/>
      <c r="Q120" s="162"/>
      <c r="R120" s="162"/>
      <c r="S120" s="162"/>
      <c r="T120" s="163"/>
      <c r="U120" s="163"/>
      <c r="V120" s="163"/>
      <c r="W120" s="255"/>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row>
    <row r="121" spans="1:87" s="32" customFormat="1" ht="12" customHeight="1">
      <c r="A121" s="452"/>
      <c r="B121" s="8" t="str">
        <f>VLOOKUP(50,Textbausteine!$A$2:$E$67,Hilfsgrössen!$D$2,FALSE)</f>
        <v>CarPostal</v>
      </c>
      <c r="C121" s="10"/>
      <c r="D121" s="67"/>
      <c r="E121" s="292"/>
      <c r="F121" s="13"/>
      <c r="G121" s="50"/>
      <c r="H121" s="140"/>
      <c r="I121" s="140"/>
      <c r="J121" s="140"/>
      <c r="K121" s="140"/>
      <c r="L121" s="140"/>
      <c r="M121" s="140"/>
      <c r="N121" s="162"/>
      <c r="O121" s="162"/>
      <c r="P121" s="162"/>
      <c r="Q121" s="162"/>
      <c r="R121" s="162"/>
      <c r="S121" s="162"/>
      <c r="T121" s="163"/>
      <c r="U121" s="163"/>
      <c r="V121" s="163"/>
      <c r="W121" s="255"/>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row>
    <row r="122" spans="1:87" s="32" customFormat="1" ht="12" customHeight="1">
      <c r="A122" s="452"/>
      <c r="B122" s="1"/>
      <c r="C122" s="67" t="str">
        <f>VLOOKUP(105,Textbausteine!$M$2:$Q$345,Hilfsgrössen!$D$2,FALSE)</f>
        <v>Nombre de voyageurs</v>
      </c>
      <c r="D122" s="67" t="str">
        <f>VLOOKUP(24,Textbausteine!$M$2:$Q$345,Hilfsgrössen!$D$2,FALSE)</f>
        <v>Millions</v>
      </c>
      <c r="E122" s="107" t="s">
        <v>2807</v>
      </c>
      <c r="F122" s="11" t="s">
        <v>1319</v>
      </c>
      <c r="G122" s="50"/>
      <c r="H122" s="138" t="s">
        <v>1470</v>
      </c>
      <c r="I122" s="140">
        <v>105</v>
      </c>
      <c r="J122" s="140">
        <v>106</v>
      </c>
      <c r="K122" s="140">
        <v>111</v>
      </c>
      <c r="L122" s="140">
        <v>115</v>
      </c>
      <c r="M122" s="140">
        <v>118</v>
      </c>
      <c r="N122" s="162">
        <v>121</v>
      </c>
      <c r="O122" s="162">
        <v>124</v>
      </c>
      <c r="P122" s="162">
        <v>133</v>
      </c>
      <c r="Q122" s="162">
        <v>139</v>
      </c>
      <c r="R122" s="162">
        <v>141</v>
      </c>
      <c r="S122" s="162">
        <v>145</v>
      </c>
      <c r="T122" s="163">
        <v>152</v>
      </c>
      <c r="U122" s="163">
        <v>154.6</v>
      </c>
      <c r="V122" s="163">
        <v>155.5</v>
      </c>
      <c r="W122" s="255">
        <v>167</v>
      </c>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row>
    <row r="123" spans="1:87" s="32" customFormat="1" ht="12" customHeight="1">
      <c r="A123" s="452"/>
      <c r="B123" s="1"/>
      <c r="C123" s="178" t="str">
        <f>VLOOKUP(106,Textbausteine!$M$2:$Q$345,Hilfsgrössen!$D$2,FALSE)</f>
        <v>Prestation annuelle</v>
      </c>
      <c r="D123" s="67" t="str">
        <f>VLOOKUP(27,Textbausteine!$M$2:$Q$345,Hilfsgrössen!$D$2,FALSE)</f>
        <v>Millions de kilomètres</v>
      </c>
      <c r="E123" s="107">
        <v>11</v>
      </c>
      <c r="F123" s="11" t="s">
        <v>1319</v>
      </c>
      <c r="G123" s="49"/>
      <c r="H123" s="138" t="s">
        <v>1470</v>
      </c>
      <c r="I123" s="140">
        <v>94</v>
      </c>
      <c r="J123" s="140">
        <v>91</v>
      </c>
      <c r="K123" s="140">
        <v>89</v>
      </c>
      <c r="L123" s="140">
        <v>94</v>
      </c>
      <c r="M123" s="140">
        <v>98</v>
      </c>
      <c r="N123" s="162">
        <v>103</v>
      </c>
      <c r="O123" s="162">
        <v>104</v>
      </c>
      <c r="P123" s="162">
        <v>107</v>
      </c>
      <c r="Q123" s="162">
        <v>108</v>
      </c>
      <c r="R123" s="162">
        <v>110</v>
      </c>
      <c r="S123" s="162">
        <v>113</v>
      </c>
      <c r="T123" s="163">
        <v>117</v>
      </c>
      <c r="U123" s="163">
        <v>119</v>
      </c>
      <c r="V123" s="163">
        <v>119.957698</v>
      </c>
      <c r="W123" s="255">
        <v>124</v>
      </c>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row>
    <row r="124" spans="1:87" s="32" customFormat="1" ht="12" customHeight="1">
      <c r="A124" s="452"/>
      <c r="B124" s="1"/>
      <c r="C124" s="178" t="str">
        <f>VLOOKUP(107,Textbausteine!$M$2:$Q$345,Hilfsgrössen!$D$2,FALSE)</f>
        <v>Véhicules</v>
      </c>
      <c r="D124" s="67" t="str">
        <f>VLOOKUP(33,Textbausteine!$M$2:$Q$345,Hilfsgrössen!$D$2,FALSE)</f>
        <v>Nombre par an</v>
      </c>
      <c r="E124" s="288" t="s">
        <v>2808</v>
      </c>
      <c r="F124" s="11" t="s">
        <v>1319</v>
      </c>
      <c r="G124" s="49"/>
      <c r="H124" s="138" t="s">
        <v>1470</v>
      </c>
      <c r="I124" s="140">
        <v>2029</v>
      </c>
      <c r="J124" s="140">
        <v>1953</v>
      </c>
      <c r="K124" s="140">
        <v>1909</v>
      </c>
      <c r="L124" s="140">
        <v>1989</v>
      </c>
      <c r="M124" s="140">
        <v>2066</v>
      </c>
      <c r="N124" s="162">
        <v>2103</v>
      </c>
      <c r="O124" s="162">
        <v>2145</v>
      </c>
      <c r="P124" s="162">
        <v>2157</v>
      </c>
      <c r="Q124" s="162">
        <v>2219</v>
      </c>
      <c r="R124" s="162">
        <v>2193</v>
      </c>
      <c r="S124" s="162">
        <v>2238</v>
      </c>
      <c r="T124" s="163">
        <v>2242</v>
      </c>
      <c r="U124" s="163">
        <v>2311</v>
      </c>
      <c r="V124" s="163">
        <v>2412</v>
      </c>
      <c r="W124" s="255">
        <v>2403</v>
      </c>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row>
    <row r="125" spans="1:87" s="32" customFormat="1" ht="12" customHeight="1">
      <c r="A125" s="452"/>
      <c r="B125" s="1"/>
      <c r="C125" s="178" t="str">
        <f>VLOOKUP(108,Textbausteine!$M$2:$Q$345,Hilfsgrössen!$D$2,FALSE)</f>
        <v>Réseau CarPostal</v>
      </c>
      <c r="D125" s="67" t="str">
        <f>VLOOKUP(29,Textbausteine!$M$2:$Q$345,Hilfsgrössen!$D$2,FALSE)</f>
        <v>Kilomètres</v>
      </c>
      <c r="E125" s="288" t="s">
        <v>2809</v>
      </c>
      <c r="F125" s="11" t="s">
        <v>1319</v>
      </c>
      <c r="G125" s="49"/>
      <c r="H125" s="138" t="s">
        <v>1470</v>
      </c>
      <c r="I125" s="175">
        <v>10450</v>
      </c>
      <c r="J125" s="175">
        <v>9805</v>
      </c>
      <c r="K125" s="175">
        <v>9827</v>
      </c>
      <c r="L125" s="175">
        <v>10345</v>
      </c>
      <c r="M125" s="175">
        <v>10429</v>
      </c>
      <c r="N125" s="162">
        <v>11007</v>
      </c>
      <c r="O125" s="162">
        <v>11102</v>
      </c>
      <c r="P125" s="162">
        <v>11350</v>
      </c>
      <c r="Q125" s="162">
        <v>11674</v>
      </c>
      <c r="R125" s="162">
        <v>11869</v>
      </c>
      <c r="S125" s="162">
        <v>11982</v>
      </c>
      <c r="T125" s="163">
        <v>12076</v>
      </c>
      <c r="U125" s="163">
        <v>12159</v>
      </c>
      <c r="V125" s="163">
        <v>12718.925</v>
      </c>
      <c r="W125" s="255">
        <v>16055</v>
      </c>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row>
    <row r="126" spans="1:87" s="32" customFormat="1" ht="12" customHeight="1">
      <c r="A126" s="452"/>
      <c r="B126" s="1"/>
      <c r="C126" s="68"/>
      <c r="D126" s="1"/>
      <c r="E126" s="288"/>
      <c r="F126" s="11"/>
      <c r="G126" s="49"/>
      <c r="H126" s="175"/>
      <c r="I126" s="175"/>
      <c r="J126" s="175"/>
      <c r="K126" s="175"/>
      <c r="L126" s="175"/>
      <c r="M126" s="175"/>
      <c r="N126" s="162"/>
      <c r="O126" s="162"/>
      <c r="P126" s="162"/>
      <c r="Q126" s="162"/>
      <c r="R126" s="162"/>
      <c r="S126" s="162"/>
      <c r="T126" s="163"/>
      <c r="U126" s="163"/>
      <c r="V126" s="163"/>
      <c r="W126" s="255"/>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row>
    <row r="127" spans="1:87" s="32" customFormat="1" ht="12" customHeight="1">
      <c r="A127" s="452"/>
      <c r="B127" s="8" t="str">
        <f>VLOOKUP(53,Textbausteine!$A$2:$E$67,Hilfsgrössen!$D$2,FALSE)</f>
        <v>Immobilier</v>
      </c>
      <c r="C127" s="10"/>
      <c r="D127" s="67"/>
      <c r="E127" s="292"/>
      <c r="F127" s="13"/>
      <c r="G127" s="50"/>
      <c r="H127" s="140"/>
      <c r="I127" s="140"/>
      <c r="J127" s="140"/>
      <c r="K127" s="140"/>
      <c r="L127" s="140"/>
      <c r="M127" s="140"/>
      <c r="N127" s="162"/>
      <c r="O127" s="162"/>
      <c r="P127" s="162"/>
      <c r="Q127" s="162"/>
      <c r="R127" s="162"/>
      <c r="S127" s="162"/>
      <c r="T127" s="163"/>
      <c r="U127" s="163"/>
      <c r="V127" s="163"/>
      <c r="W127" s="255"/>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row>
    <row r="128" spans="1:23" ht="12" customHeight="1">
      <c r="A128" s="452"/>
      <c r="C128" s="67" t="str">
        <f>VLOOKUP(109,Textbausteine!$M$2:$Q$345,Hilfsgrössen!$D$2,FALSE)</f>
        <v>Immeubles</v>
      </c>
      <c r="D128" s="18" t="str">
        <f>VLOOKUP(28,Textbausteine!$M$2:$Q$345,Hilfsgrössen!$D$2,FALSE)</f>
        <v>Nombre</v>
      </c>
      <c r="E128" s="288"/>
      <c r="F128" s="11" t="s">
        <v>1319</v>
      </c>
      <c r="G128" s="49"/>
      <c r="H128" s="138" t="s">
        <v>1470</v>
      </c>
      <c r="I128" s="177" t="s">
        <v>1470</v>
      </c>
      <c r="J128" s="177" t="s">
        <v>1470</v>
      </c>
      <c r="K128" s="175">
        <v>2923</v>
      </c>
      <c r="L128" s="175">
        <v>2997</v>
      </c>
      <c r="M128" s="175">
        <v>2773</v>
      </c>
      <c r="N128" s="162">
        <v>2687</v>
      </c>
      <c r="O128" s="162">
        <v>2733</v>
      </c>
      <c r="P128" s="162">
        <v>2545</v>
      </c>
      <c r="Q128" s="162">
        <v>2484</v>
      </c>
      <c r="R128" s="162">
        <v>2471</v>
      </c>
      <c r="S128" s="162">
        <v>2467</v>
      </c>
      <c r="T128" s="163">
        <v>2415</v>
      </c>
      <c r="U128" s="163">
        <v>2407</v>
      </c>
      <c r="V128" s="163">
        <v>2345</v>
      </c>
      <c r="W128" s="255">
        <v>2296</v>
      </c>
    </row>
    <row r="129" spans="1:23" ht="12" customHeight="1">
      <c r="A129" s="452"/>
      <c r="C129" s="19" t="str">
        <f>VLOOKUP(110,Textbausteine!$M$2:$Q$345,Hilfsgrössen!$D$2,FALSE)</f>
        <v>propres</v>
      </c>
      <c r="D129" s="18" t="str">
        <f>VLOOKUP(28,Textbausteine!$M$2:$Q$345,Hilfsgrössen!$D$2,FALSE)</f>
        <v>Nombre</v>
      </c>
      <c r="E129" s="288"/>
      <c r="F129" s="11" t="s">
        <v>1319</v>
      </c>
      <c r="G129" s="49"/>
      <c r="H129" s="138" t="s">
        <v>1470</v>
      </c>
      <c r="I129" s="177" t="s">
        <v>1470</v>
      </c>
      <c r="J129" s="177" t="s">
        <v>1470</v>
      </c>
      <c r="K129" s="175">
        <v>1346</v>
      </c>
      <c r="L129" s="175">
        <v>1304</v>
      </c>
      <c r="M129" s="175">
        <v>1216</v>
      </c>
      <c r="N129" s="162">
        <v>1180</v>
      </c>
      <c r="O129" s="162">
        <v>1154</v>
      </c>
      <c r="P129" s="162">
        <v>1120</v>
      </c>
      <c r="Q129" s="162">
        <v>1086</v>
      </c>
      <c r="R129" s="162">
        <v>1051</v>
      </c>
      <c r="S129" s="162">
        <v>1009</v>
      </c>
      <c r="T129" s="163">
        <v>947</v>
      </c>
      <c r="U129" s="163">
        <v>901</v>
      </c>
      <c r="V129" s="163">
        <v>833</v>
      </c>
      <c r="W129" s="255">
        <v>775</v>
      </c>
    </row>
    <row r="130" spans="1:23" ht="12" customHeight="1">
      <c r="A130" s="452"/>
      <c r="C130" s="77" t="str">
        <f>VLOOKUP(111,Textbausteine!$M$2:$Q$345,Hilfsgrössen!$D$2,FALSE)</f>
        <v>loués</v>
      </c>
      <c r="D130" s="18" t="str">
        <f>VLOOKUP(28,Textbausteine!$M$2:$Q$345,Hilfsgrössen!$D$2,FALSE)</f>
        <v>Nombre</v>
      </c>
      <c r="E130" s="288"/>
      <c r="F130" s="11" t="s">
        <v>1319</v>
      </c>
      <c r="G130" s="49"/>
      <c r="H130" s="138" t="s">
        <v>1470</v>
      </c>
      <c r="I130" s="177" t="s">
        <v>1470</v>
      </c>
      <c r="J130" s="177" t="s">
        <v>1470</v>
      </c>
      <c r="K130" s="175">
        <v>1577</v>
      </c>
      <c r="L130" s="175">
        <v>1693</v>
      </c>
      <c r="M130" s="175">
        <v>1557</v>
      </c>
      <c r="N130" s="162">
        <v>1507</v>
      </c>
      <c r="O130" s="162">
        <v>1579</v>
      </c>
      <c r="P130" s="162">
        <v>1425</v>
      </c>
      <c r="Q130" s="162">
        <v>1398</v>
      </c>
      <c r="R130" s="162">
        <v>1420</v>
      </c>
      <c r="S130" s="162">
        <v>1458</v>
      </c>
      <c r="T130" s="163">
        <v>1468</v>
      </c>
      <c r="U130" s="163">
        <v>1506</v>
      </c>
      <c r="V130" s="163">
        <v>1512</v>
      </c>
      <c r="W130" s="255">
        <v>1521</v>
      </c>
    </row>
    <row r="131" spans="1:23" ht="12" customHeight="1">
      <c r="A131" s="452"/>
      <c r="C131" s="67" t="str">
        <f>VLOOKUP(112,Textbausteine!$M$2:$Q$345,Hilfsgrössen!$D$2,FALSE)</f>
        <v>Surface gérée</v>
      </c>
      <c r="D131" s="18" t="str">
        <f>VLOOKUP(30,Textbausteine!$M$2:$Q$345,Hilfsgrössen!$D$2,FALSE)</f>
        <v>Millions de m2</v>
      </c>
      <c r="E131" s="288"/>
      <c r="F131" s="11" t="s">
        <v>1319</v>
      </c>
      <c r="G131" s="49"/>
      <c r="H131" s="274" t="s">
        <v>1470</v>
      </c>
      <c r="I131" s="393" t="s">
        <v>1470</v>
      </c>
      <c r="J131" s="393" t="s">
        <v>1470</v>
      </c>
      <c r="K131" s="222">
        <v>2.6</v>
      </c>
      <c r="L131" s="222">
        <v>2.8</v>
      </c>
      <c r="M131" s="222">
        <v>2.6</v>
      </c>
      <c r="N131" s="337">
        <v>2.673</v>
      </c>
      <c r="O131" s="337">
        <v>2.6</v>
      </c>
      <c r="P131" s="337">
        <v>2.554</v>
      </c>
      <c r="Q131" s="337">
        <v>2.6</v>
      </c>
      <c r="R131" s="337">
        <v>2.4</v>
      </c>
      <c r="S131" s="337">
        <v>2.5</v>
      </c>
      <c r="T131" s="224">
        <v>2.5</v>
      </c>
      <c r="U131" s="224">
        <v>2.54</v>
      </c>
      <c r="V131" s="224">
        <v>2.51</v>
      </c>
      <c r="W131" s="338">
        <v>2.5</v>
      </c>
    </row>
    <row r="132" spans="1:23" ht="12" customHeight="1">
      <c r="A132" s="452"/>
      <c r="C132" s="77" t="str">
        <f>VLOOKUP(113,Textbausteine!$M$2:$Q$345,Hilfsgrössen!$D$2,FALSE)</f>
        <v>Surface louée</v>
      </c>
      <c r="D132" s="18" t="str">
        <f>VLOOKUP(30,Textbausteine!$M$2:$Q$345,Hilfsgrössen!$D$2,FALSE)</f>
        <v>Millions de m2</v>
      </c>
      <c r="E132" s="290"/>
      <c r="F132" s="11" t="s">
        <v>1319</v>
      </c>
      <c r="G132" s="49"/>
      <c r="H132" s="274" t="s">
        <v>1470</v>
      </c>
      <c r="I132" s="393" t="s">
        <v>1470</v>
      </c>
      <c r="J132" s="393" t="s">
        <v>1470</v>
      </c>
      <c r="K132" s="222">
        <v>0.5</v>
      </c>
      <c r="L132" s="222">
        <v>0.7</v>
      </c>
      <c r="M132" s="222">
        <v>0.8</v>
      </c>
      <c r="N132" s="337">
        <v>0.775</v>
      </c>
      <c r="O132" s="337">
        <v>0.8</v>
      </c>
      <c r="P132" s="337">
        <v>0.724</v>
      </c>
      <c r="Q132" s="337">
        <v>0.8</v>
      </c>
      <c r="R132" s="337">
        <v>0.8</v>
      </c>
      <c r="S132" s="337">
        <v>0.8</v>
      </c>
      <c r="T132" s="224">
        <v>0.7</v>
      </c>
      <c r="U132" s="224">
        <v>0.71</v>
      </c>
      <c r="V132" s="224">
        <v>0.7</v>
      </c>
      <c r="W132" s="338">
        <v>0.7</v>
      </c>
    </row>
    <row r="133" spans="1:23" ht="12" customHeight="1">
      <c r="A133" s="452"/>
      <c r="B133" s="9"/>
      <c r="C133" s="77" t="str">
        <f>VLOOKUP(114,Textbausteine!$M$2:$Q$345,Hilfsgrössen!$D$2,FALSE)</f>
        <v>Surface louée</v>
      </c>
      <c r="D133" s="1" t="str">
        <f>VLOOKUP(22,Textbausteine!$M$2:$Q$345,Hilfsgrössen!$D$2,FALSE)</f>
        <v>Millions de CHF</v>
      </c>
      <c r="E133" s="291"/>
      <c r="F133" s="11" t="s">
        <v>1319</v>
      </c>
      <c r="G133" s="49"/>
      <c r="H133" s="138" t="s">
        <v>1470</v>
      </c>
      <c r="I133" s="167" t="s">
        <v>1470</v>
      </c>
      <c r="J133" s="167" t="s">
        <v>1470</v>
      </c>
      <c r="K133" s="162">
        <v>111</v>
      </c>
      <c r="L133" s="162">
        <v>116</v>
      </c>
      <c r="M133" s="162">
        <v>129</v>
      </c>
      <c r="N133" s="20">
        <v>138</v>
      </c>
      <c r="O133" s="20">
        <v>137</v>
      </c>
      <c r="P133" s="107">
        <v>137</v>
      </c>
      <c r="Q133" s="163">
        <v>157</v>
      </c>
      <c r="R133" s="162">
        <v>143</v>
      </c>
      <c r="S133" s="162">
        <v>152.36232099999998</v>
      </c>
      <c r="T133" s="163">
        <v>153</v>
      </c>
      <c r="U133" s="163">
        <v>147</v>
      </c>
      <c r="V133" s="163">
        <v>143</v>
      </c>
      <c r="W133" s="255">
        <v>141</v>
      </c>
    </row>
    <row r="134" spans="1:23" ht="12" customHeight="1">
      <c r="A134" s="452"/>
      <c r="C134" s="67" t="str">
        <f>VLOOKUP(115,Textbausteine!$M$2:$Q$345,Hilfsgrössen!$D$2,FALSE)</f>
        <v>Valeur d'investissement</v>
      </c>
      <c r="D134" s="1" t="str">
        <f>VLOOKUP(22,Textbausteine!$M$2:$Q$345,Hilfsgrössen!$D$2,FALSE)</f>
        <v>Millions de CHF</v>
      </c>
      <c r="E134" s="288"/>
      <c r="F134" s="11" t="s">
        <v>1319</v>
      </c>
      <c r="G134" s="49"/>
      <c r="H134" s="138" t="s">
        <v>1470</v>
      </c>
      <c r="I134" s="177" t="s">
        <v>1470</v>
      </c>
      <c r="J134" s="177" t="s">
        <v>1470</v>
      </c>
      <c r="K134" s="175">
        <v>6057</v>
      </c>
      <c r="L134" s="175">
        <v>5732</v>
      </c>
      <c r="M134" s="175">
        <v>5208</v>
      </c>
      <c r="N134" s="162">
        <v>5237</v>
      </c>
      <c r="O134" s="162">
        <v>5277</v>
      </c>
      <c r="P134" s="162">
        <v>5357</v>
      </c>
      <c r="Q134" s="162">
        <v>5496</v>
      </c>
      <c r="R134" s="162">
        <v>5594</v>
      </c>
      <c r="S134" s="162">
        <v>5500.283693</v>
      </c>
      <c r="T134" s="163">
        <v>5464</v>
      </c>
      <c r="U134" s="163">
        <v>5309</v>
      </c>
      <c r="V134" s="163">
        <v>5251</v>
      </c>
      <c r="W134" s="255">
        <v>5185</v>
      </c>
    </row>
    <row r="135" spans="1:23" ht="12" customHeight="1">
      <c r="A135" s="452"/>
      <c r="C135" s="67" t="str">
        <f>VLOOKUP(116,Textbausteine!$M$2:$Q$345,Hilfsgrössen!$D$2,FALSE)</f>
        <v>Produits locatifs internes</v>
      </c>
      <c r="D135" s="1" t="str">
        <f>VLOOKUP(22,Textbausteine!$M$2:$Q$345,Hilfsgrössen!$D$2,FALSE)</f>
        <v>Millions de CHF</v>
      </c>
      <c r="E135" s="288"/>
      <c r="F135" s="11" t="s">
        <v>1319</v>
      </c>
      <c r="G135" s="49"/>
      <c r="H135" s="138" t="s">
        <v>1470</v>
      </c>
      <c r="I135" s="177" t="s">
        <v>1470</v>
      </c>
      <c r="J135" s="177" t="s">
        <v>1470</v>
      </c>
      <c r="K135" s="175">
        <v>399</v>
      </c>
      <c r="L135" s="175">
        <v>415</v>
      </c>
      <c r="M135" s="175">
        <v>402</v>
      </c>
      <c r="N135" s="162">
        <v>398</v>
      </c>
      <c r="O135" s="162">
        <v>394</v>
      </c>
      <c r="P135" s="162">
        <v>392</v>
      </c>
      <c r="Q135" s="162">
        <v>370</v>
      </c>
      <c r="R135" s="162">
        <v>371</v>
      </c>
      <c r="S135" s="162">
        <v>367.85900000000004</v>
      </c>
      <c r="T135" s="163">
        <v>358</v>
      </c>
      <c r="U135" s="163">
        <v>344</v>
      </c>
      <c r="V135" s="163">
        <v>296.2</v>
      </c>
      <c r="W135" s="255">
        <v>289</v>
      </c>
    </row>
    <row r="136" spans="1:24" ht="12" customHeight="1">
      <c r="A136" s="452"/>
      <c r="C136" s="67" t="str">
        <f>VLOOKUP(117,Textbausteine!$M$2:$Q$345,Hilfsgrössen!$D$2,FALSE)</f>
        <v>Produits locatifs externes</v>
      </c>
      <c r="D136" s="1" t="str">
        <f>VLOOKUP(22,Textbausteine!$M$2:$Q$345,Hilfsgrössen!$D$2,FALSE)</f>
        <v>Millions de CHF</v>
      </c>
      <c r="E136" s="288"/>
      <c r="F136" s="11" t="s">
        <v>1319</v>
      </c>
      <c r="G136" s="49"/>
      <c r="H136" s="394" t="s">
        <v>1470</v>
      </c>
      <c r="I136" s="395" t="s">
        <v>1470</v>
      </c>
      <c r="J136" s="395" t="s">
        <v>1470</v>
      </c>
      <c r="K136" s="225">
        <v>55</v>
      </c>
      <c r="L136" s="225">
        <v>59</v>
      </c>
      <c r="M136" s="225">
        <v>57</v>
      </c>
      <c r="N136" s="333">
        <v>56</v>
      </c>
      <c r="O136" s="333">
        <v>56</v>
      </c>
      <c r="P136" s="333">
        <v>63</v>
      </c>
      <c r="Q136" s="333">
        <v>64</v>
      </c>
      <c r="R136" s="333">
        <v>61</v>
      </c>
      <c r="S136" s="333">
        <v>63.567</v>
      </c>
      <c r="T136" s="334">
        <v>61</v>
      </c>
      <c r="U136" s="334">
        <v>62</v>
      </c>
      <c r="V136" s="334">
        <v>84</v>
      </c>
      <c r="W136" s="335">
        <v>86</v>
      </c>
      <c r="X136" s="11"/>
    </row>
    <row r="137" spans="1:23" ht="12" customHeight="1">
      <c r="A137" s="452"/>
      <c r="C137" s="67" t="str">
        <f>VLOOKUP(118,Textbausteine!$M$2:$Q$345,Hilfsgrössen!$D$2,FALSE)</f>
        <v>Volume d'investissements</v>
      </c>
      <c r="D137" s="1" t="str">
        <f>VLOOKUP(22,Textbausteine!$M$2:$Q$345,Hilfsgrössen!$D$2,FALSE)</f>
        <v>Millions de CHF</v>
      </c>
      <c r="E137" s="288"/>
      <c r="F137" s="11" t="s">
        <v>1319</v>
      </c>
      <c r="G137" s="49"/>
      <c r="H137" s="394" t="s">
        <v>1470</v>
      </c>
      <c r="I137" s="395" t="s">
        <v>1470</v>
      </c>
      <c r="J137" s="395" t="s">
        <v>1470</v>
      </c>
      <c r="K137" s="225">
        <v>140</v>
      </c>
      <c r="L137" s="225">
        <v>160</v>
      </c>
      <c r="M137" s="225">
        <v>121</v>
      </c>
      <c r="N137" s="333">
        <v>167</v>
      </c>
      <c r="O137" s="333">
        <v>183</v>
      </c>
      <c r="P137" s="333">
        <v>177</v>
      </c>
      <c r="Q137" s="333">
        <v>157</v>
      </c>
      <c r="R137" s="333">
        <v>189</v>
      </c>
      <c r="S137" s="333">
        <v>101.937</v>
      </c>
      <c r="T137" s="334">
        <v>141</v>
      </c>
      <c r="U137" s="334">
        <v>127</v>
      </c>
      <c r="V137" s="334">
        <v>85.9</v>
      </c>
      <c r="W137" s="335">
        <v>144</v>
      </c>
    </row>
    <row r="138" spans="1:24" ht="12" customHeight="1">
      <c r="A138" s="452"/>
      <c r="C138" s="67" t="str">
        <f>VLOOKUP(119,Textbausteine!$M$2:$Q$345,Hilfsgrössen!$D$2,FALSE)</f>
        <v>Volume d'entretien</v>
      </c>
      <c r="D138" s="1" t="str">
        <f>VLOOKUP(22,Textbausteine!$M$2:$Q$345,Hilfsgrössen!$D$2,FALSE)</f>
        <v>Millions de CHF</v>
      </c>
      <c r="E138" s="290"/>
      <c r="F138" s="11" t="s">
        <v>1319</v>
      </c>
      <c r="G138" s="49"/>
      <c r="H138" s="394" t="s">
        <v>1470</v>
      </c>
      <c r="I138" s="395" t="s">
        <v>1470</v>
      </c>
      <c r="J138" s="395" t="s">
        <v>1470</v>
      </c>
      <c r="K138" s="225">
        <v>47</v>
      </c>
      <c r="L138" s="225">
        <v>50</v>
      </c>
      <c r="M138" s="225">
        <v>49</v>
      </c>
      <c r="N138" s="333">
        <v>44</v>
      </c>
      <c r="O138" s="333">
        <v>48</v>
      </c>
      <c r="P138" s="333">
        <v>54</v>
      </c>
      <c r="Q138" s="333">
        <v>44</v>
      </c>
      <c r="R138" s="333">
        <v>42</v>
      </c>
      <c r="S138" s="333">
        <v>92</v>
      </c>
      <c r="T138" s="334">
        <v>57</v>
      </c>
      <c r="U138" s="334">
        <v>40</v>
      </c>
      <c r="V138" s="334">
        <v>43.4</v>
      </c>
      <c r="W138" s="335">
        <v>40</v>
      </c>
      <c r="X138" s="11"/>
    </row>
    <row r="139" spans="1:23" ht="12" customHeight="1">
      <c r="A139" s="452"/>
      <c r="B139" s="9"/>
      <c r="C139" s="67" t="str">
        <f>VLOOKUP(120,Textbausteine!$M$2:$Q$345,Hilfsgrössen!$D$2,FALSE)</f>
        <v>Projets en cours</v>
      </c>
      <c r="D139" s="18" t="str">
        <f>VLOOKUP(28,Textbausteine!$M$2:$Q$345,Hilfsgrössen!$D$2,FALSE)</f>
        <v>Nombre</v>
      </c>
      <c r="E139" s="291"/>
      <c r="F139" s="11" t="s">
        <v>1319</v>
      </c>
      <c r="G139" s="49"/>
      <c r="H139" s="138" t="s">
        <v>1470</v>
      </c>
      <c r="I139" s="167" t="s">
        <v>1470</v>
      </c>
      <c r="J139" s="167" t="s">
        <v>1470</v>
      </c>
      <c r="K139" s="162" t="s">
        <v>1381</v>
      </c>
      <c r="L139" s="162" t="s">
        <v>1382</v>
      </c>
      <c r="M139" s="162" t="s">
        <v>1382</v>
      </c>
      <c r="N139" s="20" t="s">
        <v>1382</v>
      </c>
      <c r="O139" s="20" t="s">
        <v>1383</v>
      </c>
      <c r="P139" s="107" t="s">
        <v>1383</v>
      </c>
      <c r="Q139" s="163" t="s">
        <v>1384</v>
      </c>
      <c r="R139" s="162" t="s">
        <v>1385</v>
      </c>
      <c r="S139" s="162" t="s">
        <v>1386</v>
      </c>
      <c r="T139" s="163" t="s">
        <v>1387</v>
      </c>
      <c r="U139" s="163" t="s">
        <v>1387</v>
      </c>
      <c r="V139" s="163" t="s">
        <v>2359</v>
      </c>
      <c r="W139" s="255" t="s">
        <v>2359</v>
      </c>
    </row>
    <row r="140" spans="1:23" ht="12" customHeight="1">
      <c r="A140" s="452"/>
      <c r="C140" s="68"/>
      <c r="E140" s="288"/>
      <c r="F140" s="11"/>
      <c r="G140" s="49"/>
      <c r="H140" s="175"/>
      <c r="I140" s="175"/>
      <c r="J140" s="175"/>
      <c r="K140" s="175"/>
      <c r="L140" s="175"/>
      <c r="M140" s="175"/>
      <c r="N140" s="162"/>
      <c r="O140" s="162"/>
      <c r="P140" s="162"/>
      <c r="Q140" s="162"/>
      <c r="R140" s="162"/>
      <c r="S140" s="162"/>
      <c r="T140" s="163"/>
      <c r="U140" s="163"/>
      <c r="V140" s="163"/>
      <c r="W140" s="255"/>
    </row>
    <row r="141" spans="1:87" s="32" customFormat="1" ht="12" customHeight="1">
      <c r="A141" s="452"/>
      <c r="B141" s="8" t="str">
        <f>VLOOKUP(54,Textbausteine!$A$2:$E$67,Hilfsgrössen!$D$2,FALSE)</f>
        <v>Technologies de l'information</v>
      </c>
      <c r="C141" s="10"/>
      <c r="D141" s="67"/>
      <c r="E141" s="292"/>
      <c r="F141" s="13"/>
      <c r="G141" s="50"/>
      <c r="H141" s="140"/>
      <c r="I141" s="140"/>
      <c r="J141" s="140"/>
      <c r="K141" s="140"/>
      <c r="L141" s="140"/>
      <c r="M141" s="140"/>
      <c r="N141" s="162"/>
      <c r="O141" s="162"/>
      <c r="P141" s="162"/>
      <c r="Q141" s="162"/>
      <c r="R141" s="162"/>
      <c r="S141" s="162"/>
      <c r="T141" s="163"/>
      <c r="U141" s="163"/>
      <c r="V141" s="163"/>
      <c r="W141" s="255"/>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row>
    <row r="142" spans="1:23" ht="12" customHeight="1">
      <c r="A142" s="452"/>
      <c r="C142" s="68" t="str">
        <f>VLOOKUP(121,Textbausteine!$M$2:$Q$345,Hilfsgrössen!$D$2,FALSE)</f>
        <v>Contacts User Help Desk </v>
      </c>
      <c r="D142" s="1" t="str">
        <f>VLOOKUP(31,Textbausteine!$M$2:$Q$345,Hilfsgrössen!$D$2,FALSE)</f>
        <v>Nombre par mois</v>
      </c>
      <c r="E142" s="288"/>
      <c r="F142" s="11" t="s">
        <v>1319</v>
      </c>
      <c r="G142" s="49"/>
      <c r="H142" s="138" t="s">
        <v>1470</v>
      </c>
      <c r="I142" s="177" t="s">
        <v>1470</v>
      </c>
      <c r="J142" s="177" t="s">
        <v>1470</v>
      </c>
      <c r="K142" s="175">
        <v>25000</v>
      </c>
      <c r="L142" s="175">
        <v>24000</v>
      </c>
      <c r="M142" s="175">
        <v>24000</v>
      </c>
      <c r="N142" s="162">
        <v>21935</v>
      </c>
      <c r="O142" s="162">
        <v>20901</v>
      </c>
      <c r="P142" s="162">
        <v>19200</v>
      </c>
      <c r="Q142" s="162">
        <v>16768</v>
      </c>
      <c r="R142" s="162">
        <v>16092</v>
      </c>
      <c r="S142" s="162">
        <v>19080</v>
      </c>
      <c r="T142" s="163">
        <v>17038</v>
      </c>
      <c r="U142" s="163">
        <v>15126</v>
      </c>
      <c r="V142" s="163">
        <v>14167</v>
      </c>
      <c r="W142" s="255">
        <v>14813</v>
      </c>
    </row>
    <row r="143" spans="1:23" ht="12" customHeight="1">
      <c r="A143" s="452"/>
      <c r="C143" s="68" t="str">
        <f>VLOOKUP(122,Textbausteine!$M$2:$Q$345,Hilfsgrössen!$D$2,FALSE)</f>
        <v>Appareils gérés</v>
      </c>
      <c r="D143" s="67" t="str">
        <f>VLOOKUP(33,Textbausteine!$M$2:$Q$345,Hilfsgrössen!$D$2,FALSE)</f>
        <v>Nombre par an</v>
      </c>
      <c r="E143" s="288"/>
      <c r="F143" s="11" t="s">
        <v>1319</v>
      </c>
      <c r="G143" s="49"/>
      <c r="H143" s="138" t="s">
        <v>1470</v>
      </c>
      <c r="I143" s="177" t="s">
        <v>1470</v>
      </c>
      <c r="J143" s="177" t="s">
        <v>1470</v>
      </c>
      <c r="K143" s="175">
        <v>38200</v>
      </c>
      <c r="L143" s="175">
        <v>62000</v>
      </c>
      <c r="M143" s="175">
        <v>64431</v>
      </c>
      <c r="N143" s="162">
        <v>79121</v>
      </c>
      <c r="O143" s="162">
        <v>85455</v>
      </c>
      <c r="P143" s="162">
        <v>87073</v>
      </c>
      <c r="Q143" s="162">
        <v>86884</v>
      </c>
      <c r="R143" s="162">
        <v>89075</v>
      </c>
      <c r="S143" s="162">
        <v>96891</v>
      </c>
      <c r="T143" s="163">
        <v>92492</v>
      </c>
      <c r="U143" s="163">
        <v>90231</v>
      </c>
      <c r="V143" s="163">
        <v>89772</v>
      </c>
      <c r="W143" s="255">
        <v>93544</v>
      </c>
    </row>
    <row r="144" spans="1:23" ht="12" customHeight="1">
      <c r="A144" s="452"/>
      <c r="C144" s="68" t="str">
        <f>VLOOKUP(123,Textbausteine!$M$2:$Q$345,Hilfsgrössen!$D$2,FALSE)</f>
        <v>Nombre d'applications différentes</v>
      </c>
      <c r="D144" s="67" t="str">
        <f>VLOOKUP(33,Textbausteine!$M$2:$Q$345,Hilfsgrössen!$D$2,FALSE)</f>
        <v>Nombre par an</v>
      </c>
      <c r="E144" s="290" t="s">
        <v>2553</v>
      </c>
      <c r="F144" s="11" t="s">
        <v>1319</v>
      </c>
      <c r="G144" s="49"/>
      <c r="H144" s="138" t="s">
        <v>1470</v>
      </c>
      <c r="I144" s="177" t="s">
        <v>1470</v>
      </c>
      <c r="J144" s="177" t="s">
        <v>1470</v>
      </c>
      <c r="K144" s="175">
        <v>430</v>
      </c>
      <c r="L144" s="175">
        <v>450</v>
      </c>
      <c r="M144" s="175">
        <v>625</v>
      </c>
      <c r="N144" s="162">
        <v>654</v>
      </c>
      <c r="O144" s="162">
        <v>636</v>
      </c>
      <c r="P144" s="162">
        <v>509</v>
      </c>
      <c r="Q144" s="162">
        <v>540</v>
      </c>
      <c r="R144" s="162">
        <v>559</v>
      </c>
      <c r="S144" s="162">
        <v>569</v>
      </c>
      <c r="T144" s="163">
        <v>591</v>
      </c>
      <c r="U144" s="163">
        <v>593</v>
      </c>
      <c r="V144" s="163">
        <v>586</v>
      </c>
      <c r="W144" s="255">
        <v>442</v>
      </c>
    </row>
    <row r="145" spans="1:23" ht="12" customHeight="1">
      <c r="A145" s="452"/>
      <c r="B145" s="9"/>
      <c r="C145" s="10" t="str">
        <f>VLOOKUP(124,Textbausteine!$M$2:$Q$345,Hilfsgrössen!$D$2,FALSE)</f>
        <v>Volume de données sauvegardées par année</v>
      </c>
      <c r="D145" s="9" t="str">
        <f>VLOOKUP(32,Textbausteine!$M$2:$Q$345,Hilfsgrössen!$D$2,FALSE)</f>
        <v>Gigaoctets</v>
      </c>
      <c r="E145" s="291"/>
      <c r="F145" s="11" t="s">
        <v>1319</v>
      </c>
      <c r="G145" s="49"/>
      <c r="H145" s="138" t="s">
        <v>1470</v>
      </c>
      <c r="I145" s="167" t="s">
        <v>1470</v>
      </c>
      <c r="J145" s="167" t="s">
        <v>1470</v>
      </c>
      <c r="K145" s="167" t="s">
        <v>1470</v>
      </c>
      <c r="L145" s="167" t="s">
        <v>1470</v>
      </c>
      <c r="M145" s="167" t="s">
        <v>1470</v>
      </c>
      <c r="N145" s="20" t="s">
        <v>1310</v>
      </c>
      <c r="O145" s="20">
        <v>1900000</v>
      </c>
      <c r="P145" s="107">
        <v>2600000</v>
      </c>
      <c r="Q145" s="163">
        <v>2700000</v>
      </c>
      <c r="R145" s="162">
        <v>2900000</v>
      </c>
      <c r="S145" s="162">
        <v>3100000</v>
      </c>
      <c r="T145" s="163">
        <v>3400000</v>
      </c>
      <c r="U145" s="163">
        <v>3500000</v>
      </c>
      <c r="V145" s="163">
        <v>3600000</v>
      </c>
      <c r="W145" s="255">
        <v>4200000</v>
      </c>
    </row>
    <row r="146" spans="1:24" ht="12" customHeight="1">
      <c r="A146" s="452"/>
      <c r="C146" s="68" t="str">
        <f>VLOOKUP(125,Textbausteine!$M$2:$Q$345,Hilfsgrössen!$D$2,FALSE)</f>
        <v>Taux de résolution à la 1re intervention</v>
      </c>
      <c r="D146" s="1" t="str">
        <f>VLOOKUP(21,Textbausteine!$M$2:$Q$345,Hilfsgrössen!$D$2,FALSE)</f>
        <v>%</v>
      </c>
      <c r="E146" s="288"/>
      <c r="F146" s="11" t="s">
        <v>1319</v>
      </c>
      <c r="G146" s="49"/>
      <c r="H146" s="138" t="s">
        <v>1470</v>
      </c>
      <c r="I146" s="177" t="s">
        <v>1470</v>
      </c>
      <c r="J146" s="177" t="s">
        <v>1470</v>
      </c>
      <c r="K146" s="225">
        <v>67.7</v>
      </c>
      <c r="L146" s="225">
        <v>67.5</v>
      </c>
      <c r="M146" s="225">
        <v>68.6</v>
      </c>
      <c r="N146" s="333">
        <v>68.1</v>
      </c>
      <c r="O146" s="333">
        <v>69.2</v>
      </c>
      <c r="P146" s="333">
        <v>76.9</v>
      </c>
      <c r="Q146" s="333">
        <v>74</v>
      </c>
      <c r="R146" s="333">
        <v>75</v>
      </c>
      <c r="S146" s="333">
        <v>76</v>
      </c>
      <c r="T146" s="334">
        <v>74</v>
      </c>
      <c r="U146" s="334">
        <v>72</v>
      </c>
      <c r="V146" s="334">
        <v>69</v>
      </c>
      <c r="W146" s="335">
        <v>71</v>
      </c>
      <c r="X146" s="11"/>
    </row>
    <row r="147" spans="1:23" ht="12" customHeight="1">
      <c r="A147" s="452"/>
      <c r="C147" s="68" t="str">
        <f>VLOOKUP(126,Textbausteine!$M$2:$Q$345,Hilfsgrössen!$D$2,FALSE)</f>
        <v>Assistance</v>
      </c>
      <c r="D147" s="67" t="str">
        <f>VLOOKUP(33,Textbausteine!$M$2:$Q$345,Hilfsgrössen!$D$2,FALSE)</f>
        <v>Nombre par an</v>
      </c>
      <c r="E147" s="288" t="s">
        <v>2810</v>
      </c>
      <c r="F147" s="11" t="s">
        <v>1319</v>
      </c>
      <c r="G147" s="49"/>
      <c r="H147" s="138" t="s">
        <v>1470</v>
      </c>
      <c r="I147" s="177" t="s">
        <v>1470</v>
      </c>
      <c r="J147" s="177" t="s">
        <v>1470</v>
      </c>
      <c r="K147" s="175">
        <v>40500</v>
      </c>
      <c r="L147" s="175">
        <v>39600</v>
      </c>
      <c r="M147" s="175">
        <v>41500</v>
      </c>
      <c r="N147" s="162">
        <v>38927</v>
      </c>
      <c r="O147" s="162">
        <v>40214</v>
      </c>
      <c r="P147" s="162">
        <v>44100</v>
      </c>
      <c r="Q147" s="162">
        <v>44440</v>
      </c>
      <c r="R147" s="162">
        <v>46990</v>
      </c>
      <c r="S147" s="162">
        <v>50792</v>
      </c>
      <c r="T147" s="163">
        <v>44229</v>
      </c>
      <c r="U147" s="163">
        <v>42292</v>
      </c>
      <c r="V147" s="163">
        <v>44788</v>
      </c>
      <c r="W147" s="255">
        <v>30007</v>
      </c>
    </row>
    <row r="148" spans="1:23" ht="12" customHeight="1">
      <c r="A148" s="452"/>
      <c r="C148" s="68"/>
      <c r="E148" s="288"/>
      <c r="F148" s="11"/>
      <c r="G148" s="49"/>
      <c r="H148" s="175"/>
      <c r="I148" s="175"/>
      <c r="J148" s="175"/>
      <c r="K148" s="175"/>
      <c r="L148" s="175"/>
      <c r="M148" s="175"/>
      <c r="N148" s="162"/>
      <c r="O148" s="162"/>
      <c r="P148" s="162"/>
      <c r="Q148" s="162"/>
      <c r="R148" s="162"/>
      <c r="S148" s="162"/>
      <c r="T148" s="163"/>
      <c r="U148" s="163"/>
      <c r="V148" s="163"/>
      <c r="W148" s="163"/>
    </row>
    <row r="149" spans="1:23" ht="12" customHeight="1">
      <c r="A149" s="452"/>
      <c r="B149" s="26" t="str">
        <f>VLOOKUP(261,Textbausteine!$M$2:$Q$345,Hilfsgrössen!$D$2,FALSE)</f>
        <v>1) Du 1.1.2010 au 31.12.2015 la responsabilité des produits pour particuliers été attribuée au RéseauPostal. A partir du 1er janvier 2016 la responsabilité des produits pour particuliers a été transférée de RéseauPostal à PostMail et à PostLogistics.</v>
      </c>
      <c r="C149" s="68"/>
      <c r="E149" s="288"/>
      <c r="F149" s="11"/>
      <c r="G149" s="49"/>
      <c r="H149" s="175"/>
      <c r="I149" s="175"/>
      <c r="J149" s="175"/>
      <c r="K149" s="175"/>
      <c r="L149" s="175"/>
      <c r="M149" s="175"/>
      <c r="N149" s="162"/>
      <c r="O149" s="162"/>
      <c r="P149" s="162"/>
      <c r="Q149" s="162"/>
      <c r="R149" s="162"/>
      <c r="S149" s="162"/>
      <c r="T149" s="163"/>
      <c r="U149" s="163"/>
      <c r="V149" s="163"/>
      <c r="W149" s="163"/>
    </row>
    <row r="150" spans="1:23" ht="12" customHeight="1">
      <c r="A150" s="452"/>
      <c r="B150" s="26" t="str">
        <f>VLOOKUP(262,Textbausteine!$M$2:$Q$345,Hilfsgrössen!$D$2,FALSE)</f>
        <v>2) Valeur de 2017 ajustée.</v>
      </c>
      <c r="C150" s="68"/>
      <c r="E150" s="290"/>
      <c r="F150" s="11"/>
      <c r="G150" s="49"/>
      <c r="H150" s="175"/>
      <c r="I150" s="175"/>
      <c r="J150" s="175"/>
      <c r="K150" s="175"/>
      <c r="L150" s="175"/>
      <c r="M150" s="175"/>
      <c r="N150" s="162"/>
      <c r="O150" s="162"/>
      <c r="P150" s="162"/>
      <c r="Q150" s="162"/>
      <c r="R150" s="162"/>
      <c r="S150" s="162"/>
      <c r="T150" s="163"/>
      <c r="U150" s="163"/>
      <c r="V150" s="163"/>
      <c r="W150" s="163"/>
    </row>
    <row r="151" spans="1:23" ht="12" customHeight="1">
      <c r="A151" s="452"/>
      <c r="B151" s="26" t="str">
        <f>VLOOKUP(263,Textbausteine!$M$2:$Q$345,Hilfsgrössen!$D$2,FALSE)</f>
        <v>3) Depuis 2012, Swiss Post International ne constitue plus un segment autonome. Ses activités commerciales ont été transférées aux unités d'affaires PostMail et PostLogistics à partir du 1er janvier 2012. Les indicateurs continuent d'être relevés.</v>
      </c>
      <c r="C151" s="15"/>
      <c r="D151" s="9"/>
      <c r="E151" s="291"/>
      <c r="F151" s="44"/>
      <c r="G151" s="49"/>
      <c r="H151" s="162"/>
      <c r="I151" s="162"/>
      <c r="J151" s="162"/>
      <c r="K151" s="162"/>
      <c r="L151" s="162"/>
      <c r="M151" s="162"/>
      <c r="N151" s="20"/>
      <c r="O151" s="20"/>
      <c r="P151" s="107"/>
      <c r="Q151" s="163"/>
      <c r="R151" s="162"/>
      <c r="S151" s="162"/>
      <c r="T151" s="163"/>
      <c r="U151" s="163"/>
      <c r="V151" s="163"/>
      <c r="W151" s="163"/>
    </row>
    <row r="152" spans="1:23" ht="12" customHeight="1">
      <c r="A152" s="452"/>
      <c r="B152" s="26" t="str">
        <f>VLOOKUP(264,Textbausteine!$M$2:$Q$345,Hilfsgrössen!$D$2,FALSE)</f>
        <v>4) Depuis 2010, Swiss-Express et clients commerciaux uniquement; jusqu'en 2009, envois express (Swiss-Express «Lune»).</v>
      </c>
      <c r="C152" s="26"/>
      <c r="D152" s="26"/>
      <c r="E152" s="295"/>
      <c r="F152" s="43"/>
      <c r="G152" s="26"/>
      <c r="H152" s="164"/>
      <c r="I152" s="164"/>
      <c r="J152" s="164"/>
      <c r="K152" s="164"/>
      <c r="L152" s="164"/>
      <c r="M152" s="164"/>
      <c r="N152" s="164"/>
      <c r="O152" s="164"/>
      <c r="P152" s="164"/>
      <c r="Q152" s="164"/>
      <c r="R152" s="162"/>
      <c r="S152" s="162"/>
      <c r="T152" s="163"/>
      <c r="U152" s="163"/>
      <c r="V152" s="163"/>
      <c r="W152" s="163"/>
    </row>
    <row r="153" spans="1:23" ht="12" customHeight="1">
      <c r="A153" s="452"/>
      <c r="B153" s="26" t="str">
        <f>VLOOKUP(265,Textbausteine!$M$2:$Q$345,Hilfsgrössen!$D$2,FALSE)</f>
        <v>5) En 2007, des sociétés du groupe des segments PostMail (DocumentServices SA, SwissSign SA) et PostLogistics (yellowworld SA) ont été transférées au segment Swiss Post Solutions.</v>
      </c>
      <c r="C153" s="26"/>
      <c r="D153" s="26"/>
      <c r="E153" s="295"/>
      <c r="F153" s="43"/>
      <c r="G153" s="26"/>
      <c r="H153" s="164"/>
      <c r="I153" s="164"/>
      <c r="J153" s="164"/>
      <c r="K153" s="164"/>
      <c r="L153" s="164"/>
      <c r="M153" s="164"/>
      <c r="N153" s="164"/>
      <c r="O153" s="164"/>
      <c r="P153" s="164"/>
      <c r="Q153" s="164"/>
      <c r="R153" s="162"/>
      <c r="S153" s="162"/>
      <c r="T153" s="163"/>
      <c r="U153" s="163"/>
      <c r="V153" s="163"/>
      <c r="W153" s="163"/>
    </row>
    <row r="154" spans="1:23" ht="12" customHeight="1">
      <c r="A154" s="452"/>
      <c r="B154" s="26" t="str">
        <f>VLOOKUP(266,Textbausteine!$M$2:$Q$345,Hilfsgrössen!$D$2,FALSE)</f>
        <v>6) Changement d’intitulé du chiffre clé («Communications téléphoniques» jusqu’en 2016). Depuis 2017, le chiffre clé «Cas traités» englobe les communications téléphoniques.</v>
      </c>
      <c r="C154" s="26"/>
      <c r="D154" s="26"/>
      <c r="E154" s="295"/>
      <c r="F154" s="43"/>
      <c r="G154" s="26"/>
      <c r="H154" s="164"/>
      <c r="I154" s="164"/>
      <c r="J154" s="164"/>
      <c r="K154" s="164"/>
      <c r="L154" s="164"/>
      <c r="M154" s="164"/>
      <c r="N154" s="164"/>
      <c r="O154" s="164"/>
      <c r="P154" s="164"/>
      <c r="Q154" s="164"/>
      <c r="R154" s="162"/>
      <c r="S154" s="162"/>
      <c r="T154" s="163"/>
      <c r="U154" s="163"/>
      <c r="V154" s="163"/>
      <c r="W154" s="163"/>
    </row>
    <row r="155" spans="1:23" ht="12" customHeight="1">
      <c r="A155" s="452"/>
      <c r="B155" s="26" t="str">
        <f>VLOOKUP(267,Textbausteine!$M$2:$Q$345,Hilfsgrössen!$D$2,FALSE)</f>
        <v>7) RéseauPostal a modifié, sans effet sur le résultat, la présentation du chiffre d’affaires net reposant sur les contrats conclus avec des clients dans le domaine des biens commercialisés, ainsi que celle des charges liées à ces biens commercialisés.</v>
      </c>
      <c r="C155" s="26"/>
      <c r="D155" s="26"/>
      <c r="E155" s="295"/>
      <c r="F155" s="43"/>
      <c r="G155" s="26"/>
      <c r="H155" s="164"/>
      <c r="I155" s="164"/>
      <c r="J155" s="164"/>
      <c r="K155" s="164"/>
      <c r="L155" s="164"/>
      <c r="M155" s="164"/>
      <c r="N155" s="164"/>
      <c r="O155" s="164"/>
      <c r="P155" s="164"/>
      <c r="Q155" s="164"/>
      <c r="R155" s="162"/>
      <c r="S155" s="162"/>
      <c r="T155" s="163"/>
      <c r="U155" s="163"/>
      <c r="V155" s="163"/>
      <c r="W155" s="163"/>
    </row>
    <row r="156" spans="1:23" ht="12" customHeight="1">
      <c r="A156" s="452"/>
      <c r="B156" s="26" t="str">
        <f>VLOOKUP(268,Textbausteine!$M$2:$Q$345,Hilfsgrössen!$D$2,FALSE)</f>
        <v>8) En 2019, l’indicateur de l’évolution du patrimoine des clients remplace celui de l’afflux de nouveaux capitaux.</v>
      </c>
      <c r="C156" s="26"/>
      <c r="D156" s="26"/>
      <c r="E156" s="295"/>
      <c r="F156" s="43"/>
      <c r="G156" s="26"/>
      <c r="H156" s="164"/>
      <c r="I156" s="164"/>
      <c r="J156" s="164"/>
      <c r="K156" s="164"/>
      <c r="L156" s="164"/>
      <c r="M156" s="164"/>
      <c r="N156" s="164"/>
      <c r="O156" s="164"/>
      <c r="P156" s="164"/>
      <c r="Q156" s="164"/>
      <c r="R156" s="162"/>
      <c r="S156" s="162"/>
      <c r="T156" s="163"/>
      <c r="U156" s="163"/>
      <c r="V156" s="163"/>
      <c r="W156" s="163"/>
    </row>
    <row r="157" spans="1:23" ht="12" customHeight="1">
      <c r="A157" s="452"/>
      <c r="B157" s="26" t="str">
        <f>VLOOKUP(269,Textbausteine!$M$2:$Q$345,Hilfsgrössen!$D$2,FALSE)</f>
        <v>9) La valeur de l’exercice 2018 a été ajustée.</v>
      </c>
      <c r="C157" s="15"/>
      <c r="H157" s="162"/>
      <c r="I157" s="162"/>
      <c r="J157" s="162"/>
      <c r="K157" s="162"/>
      <c r="L157" s="162"/>
      <c r="M157" s="162"/>
      <c r="N157" s="20"/>
      <c r="O157" s="20"/>
      <c r="P157" s="107"/>
      <c r="Q157" s="163"/>
      <c r="R157" s="162"/>
      <c r="S157" s="162"/>
      <c r="T157" s="163"/>
      <c r="U157" s="163"/>
      <c r="V157" s="163"/>
      <c r="W157" s="163"/>
    </row>
    <row r="158" spans="1:23" ht="12" customHeight="1">
      <c r="A158" s="452"/>
      <c r="B158" s="26" t="str">
        <f>VLOOKUP(270,Textbausteine!$M$2:$Q$345,Hilfsgrössen!$D$2,FALSE)</f>
        <v>10) Pour 2019, une base et une méthode de calcul modifiées ont été utilisées pour la première fois. Par conséquent, une comparaison avec les années précédentes n’est pas possible.</v>
      </c>
      <c r="C158" s="15"/>
      <c r="H158" s="162"/>
      <c r="I158" s="162"/>
      <c r="J158" s="162"/>
      <c r="K158" s="162"/>
      <c r="L158" s="162"/>
      <c r="M158" s="162"/>
      <c r="N158" s="20"/>
      <c r="O158" s="20"/>
      <c r="P158" s="107"/>
      <c r="Q158" s="163"/>
      <c r="R158" s="162"/>
      <c r="S158" s="162"/>
      <c r="T158" s="163"/>
      <c r="U158" s="163"/>
      <c r="V158" s="163"/>
      <c r="W158" s="163"/>
    </row>
    <row r="159" spans="1:23" ht="12" customHeight="1">
      <c r="A159" s="452"/>
      <c r="B159" s="26" t="str">
        <f>VLOOKUP(271,Textbausteine!$M$2:$Q$345,Hilfsgrössen!$D$2,FALSE)</f>
        <v>11) Valeurs en Suisse</v>
      </c>
      <c r="C159" s="15"/>
      <c r="H159" s="162"/>
      <c r="I159" s="162"/>
      <c r="J159" s="162"/>
      <c r="K159" s="162"/>
      <c r="L159" s="162"/>
      <c r="M159" s="162"/>
      <c r="N159" s="20"/>
      <c r="O159" s="20"/>
      <c r="P159" s="107"/>
      <c r="Q159" s="163"/>
      <c r="R159" s="162"/>
      <c r="S159" s="162"/>
      <c r="T159" s="163"/>
      <c r="U159" s="163"/>
      <c r="V159" s="163"/>
      <c r="W159" s="163"/>
    </row>
    <row r="160" spans="1:23" ht="12" customHeight="1">
      <c r="A160" s="452"/>
      <c r="B160" s="26" t="str">
        <f>VLOOKUP(272,Textbausteine!$M$2:$Q$345,Hilfsgrössen!$D$2,FALSE)</f>
        <v>12) Groupe Suisse</v>
      </c>
      <c r="C160" s="15"/>
      <c r="H160" s="162"/>
      <c r="I160" s="162"/>
      <c r="J160" s="162"/>
      <c r="K160" s="162"/>
      <c r="L160" s="162"/>
      <c r="M160" s="162"/>
      <c r="N160" s="20"/>
      <c r="O160" s="20"/>
      <c r="P160" s="107"/>
      <c r="Q160" s="163"/>
      <c r="R160" s="162"/>
      <c r="S160" s="162"/>
      <c r="T160" s="163"/>
      <c r="U160" s="163"/>
      <c r="V160" s="163"/>
      <c r="W160" s="163"/>
    </row>
    <row r="161" spans="1:23" ht="12" customHeight="1">
      <c r="A161" s="452"/>
      <c r="B161" s="26" t="str">
        <f>VLOOKUP(273,Textbausteine!$M$2:$Q$345,Hilfsgrössen!$D$2,FALSE)</f>
        <v>13) Nouvelle base de calcul pour 2007; les valeurs ne peuvent pas comparées avec celles des exercices précédents.</v>
      </c>
      <c r="C161" s="15"/>
      <c r="H161" s="162"/>
      <c r="I161" s="162"/>
      <c r="J161" s="162"/>
      <c r="K161" s="162"/>
      <c r="L161" s="162"/>
      <c r="M161" s="162"/>
      <c r="N161" s="20"/>
      <c r="O161" s="20"/>
      <c r="P161" s="107"/>
      <c r="Q161" s="163"/>
      <c r="R161" s="162"/>
      <c r="S161" s="162"/>
      <c r="T161" s="163"/>
      <c r="U161" s="163"/>
      <c r="V161" s="163"/>
      <c r="W161" s="163"/>
    </row>
    <row r="162" spans="1:23" ht="12" customHeight="1">
      <c r="A162" s="452"/>
      <c r="B162" s="26" t="str">
        <f>VLOOKUP(274,Textbausteine!$M$2:$Q$345,Hilfsgrössen!$D$2,FALSE)</f>
        <v>14)  En 2019, un nouveau modèle de service a été introduit et le catalogue des prestations a été simplifié. La comparaison avec les valeurs de l’exercice précédent est limitée.</v>
      </c>
      <c r="C162" s="15"/>
      <c r="H162" s="162"/>
      <c r="I162" s="162"/>
      <c r="J162" s="162"/>
      <c r="K162" s="162"/>
      <c r="L162" s="162"/>
      <c r="M162" s="162"/>
      <c r="N162" s="20"/>
      <c r="O162" s="20"/>
      <c r="P162" s="107"/>
      <c r="Q162" s="163"/>
      <c r="R162" s="162"/>
      <c r="S162" s="162"/>
      <c r="T162" s="163"/>
      <c r="U162" s="163"/>
      <c r="V162" s="163"/>
      <c r="W162" s="163"/>
    </row>
    <row r="163" spans="1:23" ht="12" customHeight="1">
      <c r="A163" s="452"/>
      <c r="B163" s="26" t="str">
        <f>VLOOKUP(275,Textbausteine!$M$2:$Q$345,Hilfsgrössen!$D$2,FALSE)</f>
        <v>15) En 2019, les services d’assistance ont été redéfinis techniciens de service sur site. La comparaison avec les valeurs des exercices précédents est limitée.</v>
      </c>
      <c r="C163" s="15"/>
      <c r="H163" s="162"/>
      <c r="I163" s="162"/>
      <c r="J163" s="162"/>
      <c r="K163" s="162"/>
      <c r="L163" s="162"/>
      <c r="M163" s="162"/>
      <c r="N163" s="20"/>
      <c r="O163" s="20"/>
      <c r="P163" s="107"/>
      <c r="Q163" s="163"/>
      <c r="R163" s="162"/>
      <c r="S163" s="162"/>
      <c r="T163" s="163"/>
      <c r="U163" s="163"/>
      <c r="V163" s="163"/>
      <c r="W163" s="163"/>
    </row>
    <row r="164" spans="1:23" ht="12" customHeight="1">
      <c r="A164" s="452"/>
      <c r="B164" s="26"/>
      <c r="C164" s="15"/>
      <c r="H164" s="162"/>
      <c r="I164" s="162"/>
      <c r="J164" s="162"/>
      <c r="K164" s="162"/>
      <c r="L164" s="162"/>
      <c r="M164" s="162"/>
      <c r="N164" s="20"/>
      <c r="O164" s="20"/>
      <c r="P164" s="107"/>
      <c r="Q164" s="163"/>
      <c r="R164" s="162"/>
      <c r="S164" s="162"/>
      <c r="T164" s="163"/>
      <c r="U164" s="163"/>
      <c r="V164" s="163"/>
      <c r="W164" s="163"/>
    </row>
    <row r="165" spans="3:23" ht="12" customHeight="1">
      <c r="C165" s="15"/>
      <c r="H165" s="162"/>
      <c r="I165" s="162"/>
      <c r="J165" s="162"/>
      <c r="K165" s="162"/>
      <c r="L165" s="162"/>
      <c r="M165" s="162"/>
      <c r="N165" s="20"/>
      <c r="O165" s="20"/>
      <c r="P165" s="107"/>
      <c r="Q165" s="163"/>
      <c r="R165" s="162"/>
      <c r="S165" s="162"/>
      <c r="T165" s="163"/>
      <c r="U165" s="163"/>
      <c r="V165" s="163"/>
      <c r="W165" s="163"/>
    </row>
    <row r="166" spans="1:87" s="152" customFormat="1" ht="12" customHeight="1">
      <c r="A166" s="62" t="s">
        <v>807</v>
      </c>
      <c r="B166" s="479" t="str">
        <f>$C$11</f>
        <v>Volume trafic des paiements</v>
      </c>
      <c r="C166" s="479"/>
      <c r="D166" s="59" t="str">
        <f>VLOOKUP(32,Textbausteine!$A$2:$E$67,Hilfsgrössen!$D$2,FALSE)</f>
        <v>Unité</v>
      </c>
      <c r="E166" s="289" t="str">
        <f>VLOOKUP(33,Textbausteine!$A$2:$E$67,Hilfsgrössen!$D$2,FALSE)</f>
        <v>Notes</v>
      </c>
      <c r="F166" s="40" t="str">
        <f>VLOOKUP(34,Textbausteine!$A$2:$E$67,Hilfsgrössen!$D$2,FALSE)</f>
        <v>GRI</v>
      </c>
      <c r="G166" s="48"/>
      <c r="H166" s="160">
        <v>2004</v>
      </c>
      <c r="I166" s="160">
        <v>2005</v>
      </c>
      <c r="J166" s="160">
        <v>2006</v>
      </c>
      <c r="K166" s="160">
        <v>2007</v>
      </c>
      <c r="L166" s="160">
        <v>2008</v>
      </c>
      <c r="M166" s="160">
        <v>2009</v>
      </c>
      <c r="N166" s="160">
        <v>2010</v>
      </c>
      <c r="O166" s="160">
        <v>2011</v>
      </c>
      <c r="P166" s="160">
        <v>2012</v>
      </c>
      <c r="Q166" s="160">
        <v>2013</v>
      </c>
      <c r="R166" s="160">
        <v>2014</v>
      </c>
      <c r="S166" s="160">
        <v>2015</v>
      </c>
      <c r="T166" s="120">
        <v>2016</v>
      </c>
      <c r="U166" s="120">
        <v>2017</v>
      </c>
      <c r="V166" s="120">
        <v>2018</v>
      </c>
      <c r="W166" s="250">
        <v>2019</v>
      </c>
      <c r="X166" s="113"/>
      <c r="Y166" s="113"/>
      <c r="Z166" s="113"/>
      <c r="AA166" s="113"/>
      <c r="AB166" s="113"/>
      <c r="AC166" s="113"/>
      <c r="AD166" s="113"/>
      <c r="AE166" s="113"/>
      <c r="AF166" s="113"/>
      <c r="AG166" s="113"/>
      <c r="AH166" s="113"/>
      <c r="AI166" s="113"/>
      <c r="AJ166" s="113"/>
      <c r="AK166" s="113"/>
      <c r="AL166" s="113"/>
      <c r="AM166" s="113"/>
      <c r="AN166" s="113"/>
      <c r="AO166" s="113"/>
      <c r="AP166" s="113"/>
      <c r="AQ166" s="113"/>
      <c r="AR166" s="113"/>
      <c r="AS166" s="113"/>
      <c r="AT166" s="113"/>
      <c r="AU166" s="113"/>
      <c r="AV166" s="113"/>
      <c r="AW166" s="113"/>
      <c r="AX166" s="113"/>
      <c r="AY166" s="113"/>
      <c r="AZ166" s="113"/>
      <c r="BA166" s="113"/>
      <c r="BB166" s="113"/>
      <c r="BC166" s="113"/>
      <c r="BD166" s="113"/>
      <c r="BE166" s="113"/>
      <c r="BF166" s="113"/>
      <c r="BG166" s="113"/>
      <c r="BH166" s="113"/>
      <c r="BI166" s="113"/>
      <c r="BJ166" s="113"/>
      <c r="BK166" s="113"/>
      <c r="BL166" s="113"/>
      <c r="BM166" s="113"/>
      <c r="BN166" s="113"/>
      <c r="BO166" s="113"/>
      <c r="BP166" s="113"/>
      <c r="BQ166" s="113"/>
      <c r="BR166" s="113"/>
      <c r="BS166" s="113"/>
      <c r="BT166" s="113"/>
      <c r="BU166" s="113"/>
      <c r="BV166" s="113"/>
      <c r="BW166" s="113"/>
      <c r="BX166" s="113"/>
      <c r="BY166" s="113"/>
      <c r="BZ166" s="113"/>
      <c r="CA166" s="113"/>
      <c r="CB166" s="113"/>
      <c r="CC166" s="113"/>
      <c r="CD166" s="113"/>
      <c r="CE166" s="113"/>
      <c r="CF166" s="113"/>
      <c r="CG166" s="113"/>
      <c r="CH166" s="113"/>
      <c r="CI166" s="113"/>
    </row>
    <row r="167" spans="1:87" s="61" customFormat="1" ht="12" customHeight="1">
      <c r="A167" s="82"/>
      <c r="B167" s="479"/>
      <c r="C167" s="479"/>
      <c r="D167" s="60"/>
      <c r="E167" s="285"/>
      <c r="F167" s="39"/>
      <c r="G167" s="49"/>
      <c r="H167" s="161"/>
      <c r="I167" s="161"/>
      <c r="J167" s="161"/>
      <c r="K167" s="161"/>
      <c r="L167" s="161"/>
      <c r="M167" s="161"/>
      <c r="N167" s="161"/>
      <c r="O167" s="161"/>
      <c r="P167" s="161"/>
      <c r="Q167" s="161"/>
      <c r="R167" s="161"/>
      <c r="S167" s="161"/>
      <c r="T167" s="119"/>
      <c r="U167" s="119"/>
      <c r="V167" s="119"/>
      <c r="W167" s="251"/>
      <c r="X167" s="114"/>
      <c r="Y167" s="114"/>
      <c r="Z167" s="114"/>
      <c r="AA167" s="114"/>
      <c r="AB167" s="114"/>
      <c r="AC167" s="114"/>
      <c r="AD167" s="114"/>
      <c r="AE167" s="114"/>
      <c r="AF167" s="114"/>
      <c r="AG167" s="114"/>
      <c r="AH167" s="114"/>
      <c r="AI167" s="114"/>
      <c r="AJ167" s="114"/>
      <c r="AK167" s="114"/>
      <c r="AL167" s="114"/>
      <c r="AM167" s="114"/>
      <c r="AN167" s="114"/>
      <c r="AO167" s="114"/>
      <c r="AP167" s="114"/>
      <c r="AQ167" s="114"/>
      <c r="AR167" s="114"/>
      <c r="AS167" s="114"/>
      <c r="AT167" s="114"/>
      <c r="AU167" s="114"/>
      <c r="AV167" s="114"/>
      <c r="AW167" s="114"/>
      <c r="AX167" s="114"/>
      <c r="AY167" s="114"/>
      <c r="AZ167" s="114"/>
      <c r="BA167" s="114"/>
      <c r="BB167" s="114"/>
      <c r="BC167" s="114"/>
      <c r="BD167" s="114"/>
      <c r="BE167" s="114"/>
      <c r="BF167" s="114"/>
      <c r="BG167" s="114"/>
      <c r="BH167" s="114"/>
      <c r="BI167" s="114"/>
      <c r="BJ167" s="114"/>
      <c r="BK167" s="114"/>
      <c r="BL167" s="114"/>
      <c r="BM167" s="114"/>
      <c r="BN167" s="114"/>
      <c r="BO167" s="114"/>
      <c r="BP167" s="114"/>
      <c r="BQ167" s="114"/>
      <c r="BR167" s="114"/>
      <c r="BS167" s="114"/>
      <c r="BT167" s="114"/>
      <c r="BU167" s="114"/>
      <c r="BV167" s="114"/>
      <c r="BW167" s="114"/>
      <c r="BX167" s="114"/>
      <c r="BY167" s="114"/>
      <c r="BZ167" s="114"/>
      <c r="CA167" s="114"/>
      <c r="CB167" s="114"/>
      <c r="CC167" s="114"/>
      <c r="CD167" s="114"/>
      <c r="CE167" s="114"/>
      <c r="CF167" s="114"/>
      <c r="CG167" s="114"/>
      <c r="CH167" s="114"/>
      <c r="CI167" s="114"/>
    </row>
    <row r="168" spans="2:23" ht="12" customHeight="1">
      <c r="B168" s="8"/>
      <c r="D168" s="9"/>
      <c r="E168" s="290"/>
      <c r="F168" s="11"/>
      <c r="G168" s="46"/>
      <c r="T168" s="119"/>
      <c r="U168" s="119"/>
      <c r="V168" s="119"/>
      <c r="W168" s="251"/>
    </row>
    <row r="169" spans="2:23" ht="12" customHeight="1">
      <c r="B169" s="8" t="str">
        <f>VLOOKUP(131,Textbausteine!$M$2:$Q$345,Hilfsgrössen!$D$2,FALSE)</f>
        <v>Volume des versements et des virements</v>
      </c>
      <c r="D169" s="67"/>
      <c r="E169" s="290"/>
      <c r="F169" s="11"/>
      <c r="T169" s="119"/>
      <c r="U169" s="119"/>
      <c r="V169" s="119"/>
      <c r="W169" s="251"/>
    </row>
    <row r="170" spans="2:23" ht="12" customHeight="1">
      <c r="B170" s="8"/>
      <c r="C170" s="68" t="str">
        <f>VLOOKUP(132,Textbausteine!$M$2:$Q$345,Hilfsgrössen!$D$2,FALSE)</f>
        <v>Virements e-finance (canal électronique)</v>
      </c>
      <c r="D170" s="18" t="str">
        <f>VLOOKUP(28,Textbausteine!$M$2:$Q$345,Hilfsgrössen!$D$2,FALSE)</f>
        <v>Nombre</v>
      </c>
      <c r="E170" s="290"/>
      <c r="F170" s="11" t="s">
        <v>1319</v>
      </c>
      <c r="H170" s="177" t="s">
        <v>1470</v>
      </c>
      <c r="I170" s="20">
        <v>322801822</v>
      </c>
      <c r="J170" s="177" t="s">
        <v>1470</v>
      </c>
      <c r="K170" s="177" t="s">
        <v>1470</v>
      </c>
      <c r="L170" s="177" t="s">
        <v>1470</v>
      </c>
      <c r="M170" s="20">
        <v>360908857.3</v>
      </c>
      <c r="N170" s="20">
        <v>381329801</v>
      </c>
      <c r="O170" s="100">
        <v>393269485</v>
      </c>
      <c r="P170" s="100">
        <v>406937366</v>
      </c>
      <c r="Q170" s="100" t="s">
        <v>1445</v>
      </c>
      <c r="R170" s="100">
        <v>424759782</v>
      </c>
      <c r="S170" s="100">
        <v>358745223</v>
      </c>
      <c r="T170" s="100">
        <v>370842877</v>
      </c>
      <c r="U170" s="100">
        <v>321690025</v>
      </c>
      <c r="V170" s="100">
        <v>271129120</v>
      </c>
      <c r="W170" s="252">
        <v>282961540</v>
      </c>
    </row>
    <row r="171" spans="2:23" ht="12" customHeight="1">
      <c r="B171" s="8"/>
      <c r="C171" s="73" t="str">
        <f>VLOOKUP(133,Textbausteine!$M$2:$Q$345,Hilfsgrössen!$D$2,FALSE)</f>
        <v>Virements EFT/POS (commerces, offices de poste, agences)</v>
      </c>
      <c r="D171" s="18" t="str">
        <f>VLOOKUP(28,Textbausteine!$M$2:$Q$345,Hilfsgrössen!$D$2,FALSE)</f>
        <v>Nombre</v>
      </c>
      <c r="E171" s="290"/>
      <c r="F171" s="11" t="s">
        <v>1319</v>
      </c>
      <c r="H171" s="177" t="s">
        <v>1470</v>
      </c>
      <c r="I171" s="20">
        <v>91940458</v>
      </c>
      <c r="J171" s="177" t="s">
        <v>1470</v>
      </c>
      <c r="K171" s="177" t="s">
        <v>1470</v>
      </c>
      <c r="L171" s="177" t="s">
        <v>1470</v>
      </c>
      <c r="M171" s="20">
        <v>124161458</v>
      </c>
      <c r="N171" s="20">
        <v>135000375</v>
      </c>
      <c r="O171" s="100">
        <v>145251716</v>
      </c>
      <c r="P171" s="100">
        <v>158543228</v>
      </c>
      <c r="Q171" s="100" t="s">
        <v>1446</v>
      </c>
      <c r="R171" s="100">
        <v>185943523</v>
      </c>
      <c r="S171" s="100">
        <v>200237206</v>
      </c>
      <c r="T171" s="100">
        <v>217813986</v>
      </c>
      <c r="U171" s="100">
        <v>238009954</v>
      </c>
      <c r="V171" s="100">
        <v>263402898</v>
      </c>
      <c r="W171" s="252">
        <v>278963515</v>
      </c>
    </row>
    <row r="172" spans="2:23" ht="12" customHeight="1">
      <c r="B172" s="8"/>
      <c r="C172" s="10" t="str">
        <f>VLOOKUP(134,Textbausteine!$M$2:$Q$345,Hilfsgrössen!$D$2,FALSE)</f>
        <v>Virements papier</v>
      </c>
      <c r="D172" s="18" t="str">
        <f>VLOOKUP(28,Textbausteine!$M$2:$Q$345,Hilfsgrössen!$D$2,FALSE)</f>
        <v>Nombre</v>
      </c>
      <c r="E172" s="291"/>
      <c r="F172" s="11" t="s">
        <v>1319</v>
      </c>
      <c r="H172" s="177" t="s">
        <v>1470</v>
      </c>
      <c r="I172" s="162">
        <v>45460085</v>
      </c>
      <c r="J172" s="177" t="s">
        <v>1470</v>
      </c>
      <c r="K172" s="177" t="s">
        <v>1470</v>
      </c>
      <c r="L172" s="177" t="s">
        <v>1470</v>
      </c>
      <c r="M172" s="162">
        <v>32771750</v>
      </c>
      <c r="N172" s="20">
        <v>30737657</v>
      </c>
      <c r="O172" s="20">
        <v>27994032</v>
      </c>
      <c r="P172" s="107">
        <v>25958010</v>
      </c>
      <c r="Q172" s="163" t="s">
        <v>1447</v>
      </c>
      <c r="R172" s="162">
        <v>24108511</v>
      </c>
      <c r="S172" s="162">
        <v>22846118</v>
      </c>
      <c r="T172" s="162">
        <v>21477787</v>
      </c>
      <c r="U172" s="162">
        <v>20008478</v>
      </c>
      <c r="V172" s="162">
        <v>18304732</v>
      </c>
      <c r="W172" s="252">
        <v>15683753</v>
      </c>
    </row>
    <row r="173" spans="2:23" ht="12" customHeight="1">
      <c r="B173" s="8"/>
      <c r="C173" s="10" t="str">
        <f>VLOOKUP(135,Textbausteine!$M$2:$Q$345,Hilfsgrössen!$D$2,FALSE)</f>
        <v>Virements divers</v>
      </c>
      <c r="D173" s="18" t="str">
        <f>VLOOKUP(28,Textbausteine!$M$2:$Q$345,Hilfsgrössen!$D$2,FALSE)</f>
        <v>Nombre</v>
      </c>
      <c r="F173" s="11" t="s">
        <v>1319</v>
      </c>
      <c r="H173" s="177" t="s">
        <v>1470</v>
      </c>
      <c r="I173" s="162">
        <v>15555192</v>
      </c>
      <c r="J173" s="177" t="s">
        <v>1470</v>
      </c>
      <c r="K173" s="177" t="s">
        <v>1470</v>
      </c>
      <c r="L173" s="177" t="s">
        <v>1470</v>
      </c>
      <c r="M173" s="162">
        <v>16449183</v>
      </c>
      <c r="N173" s="20">
        <v>17803281</v>
      </c>
      <c r="O173" s="20">
        <v>19133796</v>
      </c>
      <c r="P173" s="107">
        <v>21145350</v>
      </c>
      <c r="Q173" s="163" t="s">
        <v>1448</v>
      </c>
      <c r="R173" s="162">
        <v>24165179</v>
      </c>
      <c r="S173" s="162">
        <v>27019428</v>
      </c>
      <c r="T173" s="162">
        <v>29525721</v>
      </c>
      <c r="U173" s="162">
        <v>33758236</v>
      </c>
      <c r="V173" s="162">
        <v>32400120</v>
      </c>
      <c r="W173" s="252">
        <v>38025901</v>
      </c>
    </row>
    <row r="174" spans="2:23" ht="12" customHeight="1">
      <c r="B174" s="8"/>
      <c r="C174" s="10" t="str">
        <f>VLOOKUP(136,Textbausteine!$M$2:$Q$345,Hilfsgrössen!$D$2,FALSE)</f>
        <v>Versements</v>
      </c>
      <c r="D174" s="18" t="str">
        <f>VLOOKUP(28,Textbausteine!$M$2:$Q$345,Hilfsgrössen!$D$2,FALSE)</f>
        <v>Nombre</v>
      </c>
      <c r="F174" s="11" t="s">
        <v>1319</v>
      </c>
      <c r="H174" s="177" t="s">
        <v>1470</v>
      </c>
      <c r="I174" s="162">
        <v>230017755</v>
      </c>
      <c r="J174" s="177" t="s">
        <v>1470</v>
      </c>
      <c r="K174" s="177" t="s">
        <v>1470</v>
      </c>
      <c r="L174" s="177" t="s">
        <v>1470</v>
      </c>
      <c r="M174" s="162">
        <v>207644168</v>
      </c>
      <c r="N174" s="20">
        <v>201589442</v>
      </c>
      <c r="O174" s="20">
        <v>189489680</v>
      </c>
      <c r="P174" s="107">
        <v>183094892</v>
      </c>
      <c r="Q174" s="163" t="s">
        <v>1449</v>
      </c>
      <c r="R174" s="162">
        <v>171277961</v>
      </c>
      <c r="S174" s="162">
        <v>164396969</v>
      </c>
      <c r="T174" s="162">
        <v>154977357</v>
      </c>
      <c r="U174" s="162">
        <v>145691791</v>
      </c>
      <c r="V174" s="162">
        <v>138798122</v>
      </c>
      <c r="W174" s="252">
        <v>129354706</v>
      </c>
    </row>
    <row r="175" spans="2:23" ht="12" customHeight="1">
      <c r="B175" s="8"/>
      <c r="C175" s="9" t="str">
        <f>VLOOKUP(137,Textbausteine!$M$2:$Q$345,Hilfsgrössen!$D$2,FALSE)</f>
        <v>Montant</v>
      </c>
      <c r="D175" s="18" t="str">
        <f>VLOOKUP(28,Textbausteine!$M$2:$Q$345,Hilfsgrössen!$D$2,FALSE)</f>
        <v>Nombre</v>
      </c>
      <c r="E175" s="290"/>
      <c r="F175" s="11" t="s">
        <v>1319</v>
      </c>
      <c r="H175" s="177" t="s">
        <v>1470</v>
      </c>
      <c r="I175" s="100">
        <v>705775312</v>
      </c>
      <c r="J175" s="177" t="s">
        <v>1470</v>
      </c>
      <c r="K175" s="177" t="s">
        <v>1470</v>
      </c>
      <c r="L175" s="177" t="s">
        <v>1470</v>
      </c>
      <c r="M175" s="100">
        <v>741935416.3</v>
      </c>
      <c r="N175" s="100">
        <v>766460556</v>
      </c>
      <c r="O175" s="100">
        <v>775138709</v>
      </c>
      <c r="P175" s="100">
        <v>795678846</v>
      </c>
      <c r="Q175" s="100" t="s">
        <v>1450</v>
      </c>
      <c r="R175" s="100">
        <v>830254956</v>
      </c>
      <c r="S175" s="100">
        <v>773244944</v>
      </c>
      <c r="T175" s="100">
        <v>794637728</v>
      </c>
      <c r="U175" s="100">
        <v>759158484</v>
      </c>
      <c r="V175" s="100">
        <v>724034992</v>
      </c>
      <c r="W175" s="252">
        <v>744989415</v>
      </c>
    </row>
    <row r="176" spans="2:23" ht="12" customHeight="1">
      <c r="B176" s="8"/>
      <c r="C176" s="68"/>
      <c r="D176" s="18"/>
      <c r="E176" s="290"/>
      <c r="F176" s="11"/>
      <c r="H176" s="175"/>
      <c r="I176" s="20"/>
      <c r="J176" s="20"/>
      <c r="K176" s="20"/>
      <c r="L176" s="175"/>
      <c r="M176" s="20"/>
      <c r="N176" s="20"/>
      <c r="T176" s="119"/>
      <c r="U176" s="119"/>
      <c r="V176" s="119"/>
      <c r="W176" s="251"/>
    </row>
    <row r="177" spans="2:23" ht="12" customHeight="1">
      <c r="B177" s="8" t="str">
        <f>VLOOKUP(138,Textbausteine!$M$2:$Q$345,Hilfsgrössen!$D$2,FALSE)</f>
        <v>Volume des paiements</v>
      </c>
      <c r="C177" s="73"/>
      <c r="D177" s="18"/>
      <c r="E177" s="290"/>
      <c r="F177" s="11"/>
      <c r="H177" s="20"/>
      <c r="I177" s="20"/>
      <c r="J177" s="20"/>
      <c r="K177" s="20"/>
      <c r="L177" s="20"/>
      <c r="M177" s="20"/>
      <c r="N177" s="20"/>
      <c r="T177" s="119"/>
      <c r="U177" s="119"/>
      <c r="V177" s="119"/>
      <c r="W177" s="251"/>
    </row>
    <row r="178" spans="2:23" ht="12" customHeight="1">
      <c r="B178" s="8"/>
      <c r="C178" s="10" t="str">
        <f>VLOOKUP(139,Textbausteine!$M$2:$Q$345,Hilfsgrössen!$D$2,FALSE)</f>
        <v>Retraits au Postomat (sans Bancomat)</v>
      </c>
      <c r="D178" s="18" t="str">
        <f>VLOOKUP(28,Textbausteine!$M$2:$Q$345,Hilfsgrössen!$D$2,FALSE)</f>
        <v>Nombre</v>
      </c>
      <c r="E178" s="291"/>
      <c r="F178" s="11" t="s">
        <v>1319</v>
      </c>
      <c r="H178" s="177" t="s">
        <v>1470</v>
      </c>
      <c r="I178" s="162">
        <v>49854497</v>
      </c>
      <c r="J178" s="177" t="s">
        <v>1470</v>
      </c>
      <c r="K178" s="177" t="s">
        <v>1470</v>
      </c>
      <c r="L178" s="177" t="s">
        <v>1470</v>
      </c>
      <c r="M178" s="162">
        <v>54496751</v>
      </c>
      <c r="N178" s="20">
        <v>56279926</v>
      </c>
      <c r="O178" s="20">
        <v>58650440</v>
      </c>
      <c r="P178" s="107">
        <v>60453795</v>
      </c>
      <c r="Q178" s="163" t="s">
        <v>1451</v>
      </c>
      <c r="R178" s="162">
        <v>62148786</v>
      </c>
      <c r="S178" s="162">
        <v>60920074</v>
      </c>
      <c r="T178" s="20">
        <v>60039247</v>
      </c>
      <c r="U178" s="20">
        <v>56915120</v>
      </c>
      <c r="V178" s="20">
        <v>54880987</v>
      </c>
      <c r="W178" s="252">
        <v>49756688</v>
      </c>
    </row>
    <row r="179" spans="3:23" ht="12" customHeight="1">
      <c r="C179" s="10" t="str">
        <f>VLOOKUP(140,Textbausteine!$M$2:$Q$345,Hilfsgrössen!$D$2,FALSE)</f>
        <v>Paiements dans les offices de poste/agences</v>
      </c>
      <c r="D179" s="18" t="str">
        <f>VLOOKUP(28,Textbausteine!$M$2:$Q$345,Hilfsgrössen!$D$2,FALSE)</f>
        <v>Nombre</v>
      </c>
      <c r="F179" s="11" t="s">
        <v>1319</v>
      </c>
      <c r="H179" s="177" t="s">
        <v>1470</v>
      </c>
      <c r="I179" s="162">
        <v>17181487</v>
      </c>
      <c r="J179" s="177" t="s">
        <v>1470</v>
      </c>
      <c r="K179" s="177" t="s">
        <v>1470</v>
      </c>
      <c r="L179" s="177" t="s">
        <v>1470</v>
      </c>
      <c r="M179" s="162">
        <v>19582002</v>
      </c>
      <c r="N179" s="20">
        <v>19807049</v>
      </c>
      <c r="O179" s="20">
        <v>20189405</v>
      </c>
      <c r="P179" s="107">
        <v>20474785</v>
      </c>
      <c r="Q179" s="163" t="s">
        <v>1452</v>
      </c>
      <c r="R179" s="162">
        <v>20778850</v>
      </c>
      <c r="S179" s="162">
        <v>20789393</v>
      </c>
      <c r="T179" s="20">
        <v>20323381</v>
      </c>
      <c r="U179" s="20">
        <v>19206313</v>
      </c>
      <c r="V179" s="20">
        <v>14035227</v>
      </c>
      <c r="W179" s="252">
        <v>11882248</v>
      </c>
    </row>
    <row r="180" spans="3:23" ht="12" customHeight="1">
      <c r="C180" s="10" t="str">
        <f>VLOOKUP(141,Textbausteine!$M$2:$Q$345,Hilfsgrössen!$D$2,FALSE)</f>
        <v>BPR, BPR+, BP</v>
      </c>
      <c r="D180" s="18" t="str">
        <f>VLOOKUP(28,Textbausteine!$M$2:$Q$345,Hilfsgrössen!$D$2,FALSE)</f>
        <v>Nombre</v>
      </c>
      <c r="F180" s="11" t="s">
        <v>1319</v>
      </c>
      <c r="H180" s="177" t="s">
        <v>1470</v>
      </c>
      <c r="I180" s="162">
        <v>2758535</v>
      </c>
      <c r="J180" s="177" t="s">
        <v>1470</v>
      </c>
      <c r="K180" s="177" t="s">
        <v>1470</v>
      </c>
      <c r="L180" s="177" t="s">
        <v>1470</v>
      </c>
      <c r="M180" s="162">
        <v>1507563</v>
      </c>
      <c r="N180" s="20">
        <v>1446210</v>
      </c>
      <c r="O180" s="20">
        <v>1345082</v>
      </c>
      <c r="P180" s="107">
        <v>1229361</v>
      </c>
      <c r="Q180" s="163" t="s">
        <v>1453</v>
      </c>
      <c r="R180" s="162">
        <v>810380</v>
      </c>
      <c r="S180" s="162">
        <v>788918</v>
      </c>
      <c r="T180" s="20">
        <v>748768</v>
      </c>
      <c r="U180" s="20">
        <v>746482</v>
      </c>
      <c r="V180" s="20">
        <v>578458</v>
      </c>
      <c r="W180" s="252">
        <v>533353</v>
      </c>
    </row>
    <row r="181" spans="3:23" ht="12" customHeight="1">
      <c r="C181" s="10" t="str">
        <f>VLOOKUP(142,Textbausteine!$M$2:$Q$345,Hilfsgrössen!$D$2,FALSE)</f>
        <v>Mandats de paiement</v>
      </c>
      <c r="D181" s="18" t="str">
        <f>VLOOKUP(28,Textbausteine!$M$2:$Q$345,Hilfsgrössen!$D$2,FALSE)</f>
        <v>Nombre</v>
      </c>
      <c r="F181" s="11" t="s">
        <v>1319</v>
      </c>
      <c r="H181" s="177" t="s">
        <v>1470</v>
      </c>
      <c r="I181" s="162">
        <v>1941018</v>
      </c>
      <c r="J181" s="177" t="s">
        <v>1470</v>
      </c>
      <c r="K181" s="177" t="s">
        <v>1470</v>
      </c>
      <c r="L181" s="177" t="s">
        <v>1470</v>
      </c>
      <c r="M181" s="162">
        <v>1182791</v>
      </c>
      <c r="N181" s="20">
        <v>1057857</v>
      </c>
      <c r="O181" s="20">
        <v>923573</v>
      </c>
      <c r="P181" s="107">
        <v>822417</v>
      </c>
      <c r="Q181" s="163" t="s">
        <v>1454</v>
      </c>
      <c r="R181" s="162">
        <v>635391</v>
      </c>
      <c r="S181" s="162">
        <v>474757</v>
      </c>
      <c r="T181" s="20">
        <v>238435</v>
      </c>
      <c r="U181" s="20">
        <v>11004</v>
      </c>
      <c r="V181" s="20">
        <v>0</v>
      </c>
      <c r="W181" s="252">
        <v>0</v>
      </c>
    </row>
    <row r="182" spans="3:23" ht="12" customHeight="1">
      <c r="C182" s="10" t="str">
        <f>VLOOKUP(143,Textbausteine!$M$2:$Q$345,Hilfsgrössen!$D$2,FALSE)</f>
        <v>Chèques</v>
      </c>
      <c r="D182" s="18" t="str">
        <f>VLOOKUP(28,Textbausteine!$M$2:$Q$345,Hilfsgrössen!$D$2,FALSE)</f>
        <v>Nombre</v>
      </c>
      <c r="F182" s="11" t="s">
        <v>1319</v>
      </c>
      <c r="H182" s="177" t="s">
        <v>1470</v>
      </c>
      <c r="I182" s="162">
        <v>869211</v>
      </c>
      <c r="J182" s="177" t="s">
        <v>1470</v>
      </c>
      <c r="K182" s="177" t="s">
        <v>1470</v>
      </c>
      <c r="L182" s="177" t="s">
        <v>1470</v>
      </c>
      <c r="M182" s="162">
        <v>416872</v>
      </c>
      <c r="N182" s="20">
        <v>322228</v>
      </c>
      <c r="O182" s="20">
        <v>269651</v>
      </c>
      <c r="P182" s="107">
        <v>232385</v>
      </c>
      <c r="Q182" s="163" t="s">
        <v>1455</v>
      </c>
      <c r="R182" s="162">
        <v>142095</v>
      </c>
      <c r="S182" s="162">
        <v>116628</v>
      </c>
      <c r="T182" s="20">
        <v>78845</v>
      </c>
      <c r="U182" s="20">
        <v>63230</v>
      </c>
      <c r="V182" s="20">
        <v>50785</v>
      </c>
      <c r="W182" s="457" t="s">
        <v>1470</v>
      </c>
    </row>
    <row r="183" spans="3:23" ht="12" customHeight="1">
      <c r="C183" s="10" t="str">
        <f>VLOOKUP(144,Textbausteine!$M$2:$Q$345,Hilfsgrössen!$D$2,FALSE)</f>
        <v>Mandats en espèces</v>
      </c>
      <c r="D183" s="18" t="str">
        <f>VLOOKUP(28,Textbausteine!$M$2:$Q$345,Hilfsgrössen!$D$2,FALSE)</f>
        <v>Nombre</v>
      </c>
      <c r="F183" s="11" t="s">
        <v>1319</v>
      </c>
      <c r="H183" s="177" t="s">
        <v>1470</v>
      </c>
      <c r="I183" s="162">
        <v>102860</v>
      </c>
      <c r="J183" s="177" t="s">
        <v>1470</v>
      </c>
      <c r="K183" s="177" t="s">
        <v>1470</v>
      </c>
      <c r="L183" s="177" t="s">
        <v>1470</v>
      </c>
      <c r="M183" s="162">
        <v>33531</v>
      </c>
      <c r="N183" s="20">
        <v>21686</v>
      </c>
      <c r="O183" s="20">
        <v>17929</v>
      </c>
      <c r="P183" s="107">
        <v>16430</v>
      </c>
      <c r="Q183" s="163" t="s">
        <v>1456</v>
      </c>
      <c r="R183" s="167" t="s">
        <v>1470</v>
      </c>
      <c r="S183" s="167" t="s">
        <v>1470</v>
      </c>
      <c r="T183" s="138" t="s">
        <v>1470</v>
      </c>
      <c r="U183" s="138" t="s">
        <v>1470</v>
      </c>
      <c r="V183" s="138" t="s">
        <v>1470</v>
      </c>
      <c r="W183" s="457" t="s">
        <v>1470</v>
      </c>
    </row>
    <row r="184" spans="3:23" ht="12" customHeight="1">
      <c r="C184" s="10" t="str">
        <f>VLOOKUP(145,Textbausteine!$M$2:$Q$345,Hilfsgrössen!$D$2,FALSE)</f>
        <v>Montant</v>
      </c>
      <c r="D184" s="18" t="str">
        <f>VLOOKUP(28,Textbausteine!$M$2:$Q$345,Hilfsgrössen!$D$2,FALSE)</f>
        <v>Nombre</v>
      </c>
      <c r="F184" s="11" t="s">
        <v>1319</v>
      </c>
      <c r="H184" s="177" t="s">
        <v>1470</v>
      </c>
      <c r="I184" s="162">
        <v>72709613</v>
      </c>
      <c r="J184" s="177" t="s">
        <v>1470</v>
      </c>
      <c r="K184" s="177" t="s">
        <v>1470</v>
      </c>
      <c r="L184" s="177" t="s">
        <v>1470</v>
      </c>
      <c r="M184" s="162">
        <v>77221519</v>
      </c>
      <c r="N184" s="20">
        <v>78934956</v>
      </c>
      <c r="O184" s="20">
        <v>81396080</v>
      </c>
      <c r="P184" s="107">
        <v>83229173</v>
      </c>
      <c r="Q184" s="163" t="s">
        <v>1457</v>
      </c>
      <c r="R184" s="162">
        <v>84515502</v>
      </c>
      <c r="S184" s="162">
        <v>83089770</v>
      </c>
      <c r="T184" s="20">
        <v>81428676</v>
      </c>
      <c r="U184" s="20">
        <v>76942149</v>
      </c>
      <c r="V184" s="20">
        <v>69545457</v>
      </c>
      <c r="W184" s="252">
        <v>62172289</v>
      </c>
    </row>
    <row r="185" spans="3:23" ht="12" customHeight="1">
      <c r="C185" s="15"/>
      <c r="H185" s="162"/>
      <c r="I185" s="101"/>
      <c r="J185" s="162"/>
      <c r="K185" s="162"/>
      <c r="L185" s="162"/>
      <c r="M185" s="162"/>
      <c r="N185" s="20"/>
      <c r="O185" s="20"/>
      <c r="P185" s="107"/>
      <c r="Q185" s="163"/>
      <c r="R185" s="162"/>
      <c r="S185" s="162"/>
      <c r="T185" s="163"/>
      <c r="U185" s="163"/>
      <c r="V185" s="163"/>
      <c r="W185" s="163"/>
    </row>
    <row r="186" spans="3:23" ht="12" customHeight="1">
      <c r="C186" s="15"/>
      <c r="H186" s="162"/>
      <c r="I186" s="162"/>
      <c r="J186" s="162"/>
      <c r="K186" s="162"/>
      <c r="L186" s="162"/>
      <c r="M186" s="162"/>
      <c r="N186" s="20"/>
      <c r="O186" s="20"/>
      <c r="P186" s="107"/>
      <c r="Q186" s="163"/>
      <c r="R186" s="162"/>
      <c r="S186" s="162"/>
      <c r="T186" s="163"/>
      <c r="U186" s="163"/>
      <c r="V186" s="163"/>
      <c r="W186" s="163"/>
    </row>
    <row r="187" spans="1:87" s="152" customFormat="1" ht="12" customHeight="1">
      <c r="A187" s="62" t="s">
        <v>807</v>
      </c>
      <c r="B187" s="479" t="str">
        <f>$C$12</f>
        <v>Effectif</v>
      </c>
      <c r="C187" s="479" t="str">
        <f>VLOOKUP(36,Textbausteine!$A$2:$E$67,Hilfsgrössen!$D$2,FALSE)</f>
        <v>Groupe</v>
      </c>
      <c r="D187" s="59" t="str">
        <f>VLOOKUP(32,Textbausteine!$A$2:$E$67,Hilfsgrössen!$D$2,FALSE)</f>
        <v>Unité</v>
      </c>
      <c r="E187" s="287" t="str">
        <f>VLOOKUP(33,Textbausteine!$A$2:$E$67,Hilfsgrössen!$D$2,FALSE)</f>
        <v>Notes</v>
      </c>
      <c r="F187" s="40" t="str">
        <f>VLOOKUP(34,Textbausteine!$A$2:$E$67,Hilfsgrössen!$D$2,FALSE)</f>
        <v>GRI</v>
      </c>
      <c r="G187" s="49"/>
      <c r="H187" s="160">
        <v>2004</v>
      </c>
      <c r="I187" s="160">
        <v>2005</v>
      </c>
      <c r="J187" s="160">
        <v>2006</v>
      </c>
      <c r="K187" s="160">
        <v>2007</v>
      </c>
      <c r="L187" s="160">
        <v>2008</v>
      </c>
      <c r="M187" s="160">
        <v>2009</v>
      </c>
      <c r="N187" s="160">
        <v>2010</v>
      </c>
      <c r="O187" s="160">
        <v>2011</v>
      </c>
      <c r="P187" s="160">
        <v>2012</v>
      </c>
      <c r="Q187" s="160">
        <v>2013</v>
      </c>
      <c r="R187" s="160">
        <v>2014</v>
      </c>
      <c r="S187" s="160">
        <v>2015</v>
      </c>
      <c r="T187" s="120">
        <v>2016</v>
      </c>
      <c r="U187" s="120">
        <v>2017</v>
      </c>
      <c r="V187" s="120">
        <v>2018</v>
      </c>
      <c r="W187" s="250">
        <v>2019</v>
      </c>
      <c r="X187" s="113"/>
      <c r="Y187" s="113"/>
      <c r="Z187" s="113"/>
      <c r="AA187" s="113"/>
      <c r="AB187" s="113"/>
      <c r="AC187" s="113"/>
      <c r="AD187" s="113"/>
      <c r="AE187" s="113"/>
      <c r="AF187" s="113"/>
      <c r="AG187" s="113"/>
      <c r="AH187" s="113"/>
      <c r="AI187" s="113"/>
      <c r="AJ187" s="113"/>
      <c r="AK187" s="113"/>
      <c r="AL187" s="113"/>
      <c r="AM187" s="113"/>
      <c r="AN187" s="113"/>
      <c r="AO187" s="113"/>
      <c r="AP187" s="113"/>
      <c r="AQ187" s="113"/>
      <c r="AR187" s="113"/>
      <c r="AS187" s="113"/>
      <c r="AT187" s="113"/>
      <c r="AU187" s="113"/>
      <c r="AV187" s="113"/>
      <c r="AW187" s="113"/>
      <c r="AX187" s="113"/>
      <c r="AY187" s="113"/>
      <c r="AZ187" s="113"/>
      <c r="BA187" s="113"/>
      <c r="BB187" s="113"/>
      <c r="BC187" s="113"/>
      <c r="BD187" s="113"/>
      <c r="BE187" s="113"/>
      <c r="BF187" s="113"/>
      <c r="BG187" s="113"/>
      <c r="BH187" s="113"/>
      <c r="BI187" s="113"/>
      <c r="BJ187" s="113"/>
      <c r="BK187" s="113"/>
      <c r="BL187" s="113"/>
      <c r="BM187" s="113"/>
      <c r="BN187" s="113"/>
      <c r="BO187" s="113"/>
      <c r="BP187" s="113"/>
      <c r="BQ187" s="113"/>
      <c r="BR187" s="113"/>
      <c r="BS187" s="113"/>
      <c r="BT187" s="113"/>
      <c r="BU187" s="113"/>
      <c r="BV187" s="113"/>
      <c r="BW187" s="113"/>
      <c r="BX187" s="113"/>
      <c r="BY187" s="113"/>
      <c r="BZ187" s="113"/>
      <c r="CA187" s="113"/>
      <c r="CB187" s="113"/>
      <c r="CC187" s="113"/>
      <c r="CD187" s="113"/>
      <c r="CE187" s="113"/>
      <c r="CF187" s="113"/>
      <c r="CG187" s="113"/>
      <c r="CH187" s="113"/>
      <c r="CI187" s="113"/>
    </row>
    <row r="188" spans="1:87" s="61" customFormat="1" ht="12" customHeight="1">
      <c r="A188" s="82"/>
      <c r="B188" s="479" t="str">
        <f>VLOOKUP(36,Textbausteine!$A$2:$E$67,Hilfsgrössen!$D$2,FALSE)</f>
        <v>Groupe</v>
      </c>
      <c r="C188" s="479" t="str">
        <f>VLOOKUP(36,Textbausteine!$A$2:$E$67,Hilfsgrössen!$D$2,FALSE)</f>
        <v>Groupe</v>
      </c>
      <c r="D188" s="60"/>
      <c r="E188" s="288"/>
      <c r="F188" s="11"/>
      <c r="G188" s="49"/>
      <c r="H188" s="161"/>
      <c r="I188" s="161"/>
      <c r="J188" s="161"/>
      <c r="K188" s="161"/>
      <c r="L188" s="161"/>
      <c r="M188" s="161"/>
      <c r="N188" s="161"/>
      <c r="O188" s="161"/>
      <c r="P188" s="161"/>
      <c r="Q188" s="161"/>
      <c r="R188" s="161"/>
      <c r="S188" s="161"/>
      <c r="T188" s="119"/>
      <c r="U188" s="119"/>
      <c r="V188" s="119"/>
      <c r="W188" s="251"/>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14"/>
      <c r="AY188" s="114"/>
      <c r="AZ188" s="114"/>
      <c r="BA188" s="114"/>
      <c r="BB188" s="114"/>
      <c r="BC188" s="114"/>
      <c r="BD188" s="114"/>
      <c r="BE188" s="114"/>
      <c r="BF188" s="114"/>
      <c r="BG188" s="114"/>
      <c r="BH188" s="114"/>
      <c r="BI188" s="114"/>
      <c r="BJ188" s="114"/>
      <c r="BK188" s="114"/>
      <c r="BL188" s="114"/>
      <c r="BM188" s="114"/>
      <c r="BN188" s="114"/>
      <c r="BO188" s="114"/>
      <c r="BP188" s="114"/>
      <c r="BQ188" s="114"/>
      <c r="BR188" s="114"/>
      <c r="BS188" s="114"/>
      <c r="BT188" s="114"/>
      <c r="BU188" s="114"/>
      <c r="BV188" s="114"/>
      <c r="BW188" s="114"/>
      <c r="BX188" s="114"/>
      <c r="BY188" s="114"/>
      <c r="BZ188" s="114"/>
      <c r="CA188" s="114"/>
      <c r="CB188" s="114"/>
      <c r="CC188" s="114"/>
      <c r="CD188" s="114"/>
      <c r="CE188" s="114"/>
      <c r="CF188" s="114"/>
      <c r="CG188" s="114"/>
      <c r="CH188" s="114"/>
      <c r="CI188" s="114"/>
    </row>
    <row r="189" spans="2:23" ht="12" customHeight="1">
      <c r="B189" s="8"/>
      <c r="D189" s="9"/>
      <c r="E189" s="288"/>
      <c r="F189" s="11"/>
      <c r="G189" s="49"/>
      <c r="W189" s="252"/>
    </row>
    <row r="190" spans="2:23" ht="12" customHeight="1">
      <c r="B190" s="8" t="str">
        <f>VLOOKUP(36,Textbausteine!$A$2:$E$67,Hilfsgrössen!$D$2,FALSE)</f>
        <v>Groupe</v>
      </c>
      <c r="C190" s="8"/>
      <c r="D190" s="67"/>
      <c r="E190" s="288"/>
      <c r="F190" s="11"/>
      <c r="G190" s="49"/>
      <c r="T190" s="107"/>
      <c r="U190" s="107"/>
      <c r="V190" s="107"/>
      <c r="W190" s="253"/>
    </row>
    <row r="191" spans="3:23" ht="12" customHeight="1">
      <c r="C191" s="68" t="str">
        <f>VLOOKUP(151,Textbausteine!$M$2:$Q$345,Hilfsgrössen!$D$2,FALSE)</f>
        <v>Effectif</v>
      </c>
      <c r="D191" s="18" t="str">
        <f>VLOOKUP(34,Textbausteine!$M$2:$Q$345,Hilfsgrössen!$D$2,FALSE)</f>
        <v>Unités de personnel</v>
      </c>
      <c r="E191" s="293" t="s">
        <v>2559</v>
      </c>
      <c r="F191" s="11" t="s">
        <v>703</v>
      </c>
      <c r="G191" s="49"/>
      <c r="H191" s="20">
        <v>42284</v>
      </c>
      <c r="I191" s="20">
        <v>41073</v>
      </c>
      <c r="J191" s="20">
        <v>42178</v>
      </c>
      <c r="K191" s="20">
        <v>43447</v>
      </c>
      <c r="L191" s="20">
        <v>44178</v>
      </c>
      <c r="M191" s="20">
        <v>44803</v>
      </c>
      <c r="N191" s="20">
        <v>45129</v>
      </c>
      <c r="O191" s="20">
        <v>44348</v>
      </c>
      <c r="P191" s="107">
        <v>44605</v>
      </c>
      <c r="Q191" s="107">
        <v>44105</v>
      </c>
      <c r="R191" s="162">
        <v>44681</v>
      </c>
      <c r="S191" s="162">
        <v>44131</v>
      </c>
      <c r="T191" s="163">
        <v>43485</v>
      </c>
      <c r="U191" s="163">
        <v>42316</v>
      </c>
      <c r="V191" s="163">
        <v>39932</v>
      </c>
      <c r="W191" s="255">
        <v>39670</v>
      </c>
    </row>
    <row r="192" spans="3:23" ht="12" customHeight="1">
      <c r="C192" s="70" t="str">
        <f>VLOOKUP(154,Textbausteine!$M$2:$Q$345,Hilfsgrössen!$D$2,FALSE)</f>
        <v>Etranger</v>
      </c>
      <c r="D192" s="18" t="str">
        <f>VLOOKUP(34,Textbausteine!$M$2:$Q$345,Hilfsgrössen!$D$2,FALSE)</f>
        <v>Unités de personnel</v>
      </c>
      <c r="E192" s="293" t="s">
        <v>2559</v>
      </c>
      <c r="F192" s="11" t="s">
        <v>703</v>
      </c>
      <c r="G192" s="49"/>
      <c r="H192" s="20">
        <v>1158</v>
      </c>
      <c r="I192" s="20">
        <v>1347</v>
      </c>
      <c r="J192" s="20">
        <v>3379</v>
      </c>
      <c r="K192" s="20">
        <v>5513</v>
      </c>
      <c r="L192" s="20">
        <v>6276</v>
      </c>
      <c r="M192" s="20">
        <v>6986</v>
      </c>
      <c r="N192" s="20">
        <v>7255</v>
      </c>
      <c r="O192" s="20">
        <v>6645</v>
      </c>
      <c r="P192" s="107">
        <v>6621</v>
      </c>
      <c r="Q192" s="107">
        <v>6779</v>
      </c>
      <c r="R192" s="162">
        <v>7627</v>
      </c>
      <c r="S192" s="162">
        <v>7449</v>
      </c>
      <c r="T192" s="163">
        <v>7195</v>
      </c>
      <c r="U192" s="163">
        <v>6971</v>
      </c>
      <c r="V192" s="163">
        <v>6123</v>
      </c>
      <c r="W192" s="255">
        <v>6272</v>
      </c>
    </row>
    <row r="193" spans="3:23" ht="12" customHeight="1">
      <c r="C193" s="15" t="str">
        <f>VLOOKUP(155,Textbausteine!$M$2:$Q$345,Hilfsgrössen!$D$2,FALSE)</f>
        <v>Part à l'étranger</v>
      </c>
      <c r="D193" s="18" t="str">
        <f>VLOOKUP(21,Textbausteine!$M$2:$Q$345,Hilfsgrössen!$D$2,FALSE)</f>
        <v>%</v>
      </c>
      <c r="E193" s="293" t="s">
        <v>2559</v>
      </c>
      <c r="F193" s="11" t="s">
        <v>703</v>
      </c>
      <c r="G193" s="49"/>
      <c r="H193" s="389">
        <v>2.7</v>
      </c>
      <c r="I193" s="389">
        <v>3.3</v>
      </c>
      <c r="J193" s="389">
        <v>8</v>
      </c>
      <c r="K193" s="20">
        <v>12.7</v>
      </c>
      <c r="L193" s="20">
        <v>14.2</v>
      </c>
      <c r="M193" s="20">
        <v>15.6</v>
      </c>
      <c r="N193" s="20">
        <v>16.1</v>
      </c>
      <c r="O193" s="20">
        <v>15</v>
      </c>
      <c r="P193" s="107">
        <v>14.8</v>
      </c>
      <c r="Q193" s="163">
        <v>15.4</v>
      </c>
      <c r="R193" s="162">
        <v>17.1</v>
      </c>
      <c r="S193" s="162">
        <v>16.8796736913664</v>
      </c>
      <c r="T193" s="163">
        <v>16.5</v>
      </c>
      <c r="U193" s="163">
        <v>16.5</v>
      </c>
      <c r="V193" s="163">
        <v>15.3</v>
      </c>
      <c r="W193" s="255">
        <v>15.8</v>
      </c>
    </row>
    <row r="194" spans="1:87" s="32" customFormat="1" ht="12" customHeight="1">
      <c r="A194" s="81"/>
      <c r="B194" s="1"/>
      <c r="C194" s="9"/>
      <c r="D194" s="1"/>
      <c r="E194" s="293"/>
      <c r="F194" s="11"/>
      <c r="G194" s="49"/>
      <c r="H194" s="20"/>
      <c r="I194" s="20"/>
      <c r="J194" s="20"/>
      <c r="K194" s="20"/>
      <c r="L194" s="20"/>
      <c r="M194" s="20"/>
      <c r="N194" s="20"/>
      <c r="O194" s="20"/>
      <c r="P194" s="107"/>
      <c r="Q194" s="163"/>
      <c r="R194" s="162"/>
      <c r="S194" s="162"/>
      <c r="T194" s="163"/>
      <c r="U194" s="163"/>
      <c r="V194" s="163"/>
      <c r="W194" s="255"/>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row>
    <row r="195" spans="1:87" s="32" customFormat="1" ht="12" customHeight="1">
      <c r="A195" s="81"/>
      <c r="B195" s="1"/>
      <c r="C195" s="68" t="str">
        <f>VLOOKUP(151,Textbausteine!$M$2:$Q$345,Hilfsgrössen!$D$2,FALSE)</f>
        <v>Effectif</v>
      </c>
      <c r="D195" s="18" t="str">
        <f>VLOOKUP(35,Textbausteine!$M$2:$Q$345,Hilfsgrössen!$D$2,FALSE)</f>
        <v>Personnes</v>
      </c>
      <c r="E195" s="293" t="s">
        <v>716</v>
      </c>
      <c r="F195" s="11" t="s">
        <v>703</v>
      </c>
      <c r="G195" s="49"/>
      <c r="H195" s="176" t="s">
        <v>1470</v>
      </c>
      <c r="I195" s="176" t="s">
        <v>1470</v>
      </c>
      <c r="J195" s="176" t="s">
        <v>1470</v>
      </c>
      <c r="K195" s="176" t="s">
        <v>1470</v>
      </c>
      <c r="L195" s="176" t="s">
        <v>1470</v>
      </c>
      <c r="M195" s="140">
        <v>62090</v>
      </c>
      <c r="N195" s="140">
        <v>61428</v>
      </c>
      <c r="O195" s="140">
        <v>59612</v>
      </c>
      <c r="P195" s="162">
        <v>62058</v>
      </c>
      <c r="Q195" s="162">
        <v>61593</v>
      </c>
      <c r="R195" s="162">
        <v>62983</v>
      </c>
      <c r="S195" s="162">
        <v>62341</v>
      </c>
      <c r="T195" s="163">
        <v>61265</v>
      </c>
      <c r="U195" s="163">
        <v>59369</v>
      </c>
      <c r="V195" s="163">
        <v>58180</v>
      </c>
      <c r="W195" s="255">
        <v>55915</v>
      </c>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row>
    <row r="196" spans="1:87" s="32" customFormat="1" ht="12" customHeight="1">
      <c r="A196" s="81"/>
      <c r="B196" s="1"/>
      <c r="C196" s="70" t="str">
        <f>VLOOKUP(154,Textbausteine!$M$2:$Q$345,Hilfsgrössen!$D$2,FALSE)</f>
        <v>Etranger</v>
      </c>
      <c r="D196" s="18" t="str">
        <f>VLOOKUP(35,Textbausteine!$M$2:$Q$345,Hilfsgrössen!$D$2,FALSE)</f>
        <v>Personnes</v>
      </c>
      <c r="E196" s="293" t="s">
        <v>716</v>
      </c>
      <c r="F196" s="11" t="s">
        <v>703</v>
      </c>
      <c r="G196" s="49"/>
      <c r="H196" s="176" t="s">
        <v>1470</v>
      </c>
      <c r="I196" s="176" t="s">
        <v>1470</v>
      </c>
      <c r="J196" s="176" t="s">
        <v>1470</v>
      </c>
      <c r="K196" s="176" t="s">
        <v>1470</v>
      </c>
      <c r="L196" s="176" t="s">
        <v>1470</v>
      </c>
      <c r="M196" s="140">
        <v>8841</v>
      </c>
      <c r="N196" s="140">
        <v>7760</v>
      </c>
      <c r="O196" s="140">
        <v>7054</v>
      </c>
      <c r="P196" s="162">
        <v>7100</v>
      </c>
      <c r="Q196" s="162">
        <v>7182</v>
      </c>
      <c r="R196" s="162">
        <v>8008</v>
      </c>
      <c r="S196" s="162">
        <v>7921</v>
      </c>
      <c r="T196" s="163">
        <v>7720</v>
      </c>
      <c r="U196" s="163">
        <v>7467</v>
      </c>
      <c r="V196" s="163">
        <v>7897</v>
      </c>
      <c r="W196" s="255">
        <v>6816</v>
      </c>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row>
    <row r="197" spans="1:87" s="32" customFormat="1" ht="12" customHeight="1">
      <c r="A197" s="81"/>
      <c r="B197" s="1"/>
      <c r="C197" s="15" t="str">
        <f>VLOOKUP(155,Textbausteine!$M$2:$Q$345,Hilfsgrössen!$D$2,FALSE)</f>
        <v>Part à l'étranger</v>
      </c>
      <c r="D197" s="18" t="str">
        <f>VLOOKUP(21,Textbausteine!$M$2:$Q$345,Hilfsgrössen!$D$2,FALSE)</f>
        <v>%</v>
      </c>
      <c r="E197" s="293" t="s">
        <v>716</v>
      </c>
      <c r="F197" s="11" t="s">
        <v>703</v>
      </c>
      <c r="G197" s="49"/>
      <c r="H197" s="176" t="s">
        <v>1470</v>
      </c>
      <c r="I197" s="176" t="s">
        <v>1470</v>
      </c>
      <c r="J197" s="176" t="s">
        <v>1470</v>
      </c>
      <c r="K197" s="176" t="s">
        <v>1470</v>
      </c>
      <c r="L197" s="176" t="s">
        <v>1470</v>
      </c>
      <c r="M197" s="140">
        <v>14.239007891770012</v>
      </c>
      <c r="N197" s="162">
        <v>12.63267565279677</v>
      </c>
      <c r="O197" s="162">
        <v>11.833187948735153</v>
      </c>
      <c r="P197" s="162">
        <v>11.440910116342776</v>
      </c>
      <c r="Q197" s="162">
        <v>11.660415956358678</v>
      </c>
      <c r="R197" s="162">
        <v>12.7</v>
      </c>
      <c r="S197" s="162">
        <v>12.7059238703261</v>
      </c>
      <c r="T197" s="163">
        <v>12.6</v>
      </c>
      <c r="U197" s="163">
        <v>12.6</v>
      </c>
      <c r="V197" s="163">
        <v>13.6</v>
      </c>
      <c r="W197" s="255">
        <v>12.2</v>
      </c>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row>
    <row r="198" spans="1:87" s="32" customFormat="1" ht="12" customHeight="1">
      <c r="A198" s="81"/>
      <c r="B198" s="1"/>
      <c r="C198" s="9"/>
      <c r="D198" s="1"/>
      <c r="E198" s="288"/>
      <c r="F198" s="11"/>
      <c r="G198" s="49"/>
      <c r="H198" s="140"/>
      <c r="I198" s="140"/>
      <c r="J198" s="140"/>
      <c r="K198" s="140"/>
      <c r="L198" s="140"/>
      <c r="M198" s="140"/>
      <c r="N198" s="100"/>
      <c r="O198" s="100"/>
      <c r="P198" s="100"/>
      <c r="Q198" s="100"/>
      <c r="R198" s="100"/>
      <c r="S198" s="100"/>
      <c r="T198" s="163"/>
      <c r="U198" s="163"/>
      <c r="V198" s="163"/>
      <c r="W198" s="255"/>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row>
    <row r="199" spans="1:87" s="32" customFormat="1" ht="12" customHeight="1">
      <c r="A199" s="57"/>
      <c r="B199" s="8" t="str">
        <f>VLOOKUP(44,Textbausteine!$A$2:$E$67,Hilfsgrössen!$D$2,FALSE)</f>
        <v>Segments</v>
      </c>
      <c r="C199" s="10"/>
      <c r="D199" s="1"/>
      <c r="E199" s="288"/>
      <c r="F199" s="11"/>
      <c r="G199" s="49"/>
      <c r="H199" s="165"/>
      <c r="I199" s="165"/>
      <c r="J199" s="165"/>
      <c r="K199" s="165"/>
      <c r="L199" s="165"/>
      <c r="M199" s="165"/>
      <c r="N199" s="100"/>
      <c r="O199" s="100"/>
      <c r="P199" s="100"/>
      <c r="Q199" s="100"/>
      <c r="R199" s="100"/>
      <c r="S199" s="100"/>
      <c r="T199" s="163"/>
      <c r="U199" s="163"/>
      <c r="V199" s="163"/>
      <c r="W199" s="255"/>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row>
    <row r="200" spans="1:87" s="32" customFormat="1" ht="12" customHeight="1">
      <c r="A200" s="81"/>
      <c r="B200" s="1"/>
      <c r="C200" s="68" t="str">
        <f>VLOOKUP(151,Textbausteine!$M$2:$Q$345,Hilfsgrössen!$D$2,FALSE)</f>
        <v>Effectif</v>
      </c>
      <c r="D200" s="1"/>
      <c r="E200" s="293"/>
      <c r="F200" s="11"/>
      <c r="G200" s="49"/>
      <c r="H200" s="176"/>
      <c r="I200" s="176"/>
      <c r="J200" s="176"/>
      <c r="K200" s="176"/>
      <c r="L200" s="176"/>
      <c r="M200" s="140"/>
      <c r="N200" s="162"/>
      <c r="O200" s="162"/>
      <c r="P200" s="162"/>
      <c r="Q200" s="162"/>
      <c r="R200" s="162"/>
      <c r="S200" s="162"/>
      <c r="T200" s="163"/>
      <c r="U200" s="163"/>
      <c r="V200" s="163"/>
      <c r="W200" s="255"/>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row>
    <row r="201" spans="1:87" s="32" customFormat="1" ht="12" customHeight="1">
      <c r="A201" s="81"/>
      <c r="B201" s="1"/>
      <c r="C201" s="15" t="str">
        <f>VLOOKUP(45,Textbausteine!$A$2:$E$67,Hilfsgrössen!$D$2,FALSE)</f>
        <v>PostMail</v>
      </c>
      <c r="D201" s="18" t="str">
        <f>VLOOKUP(34,Textbausteine!$M$2:$Q$345,Hilfsgrössen!$D$2,FALSE)</f>
        <v>Unités de personnel</v>
      </c>
      <c r="E201" s="293" t="s">
        <v>2559</v>
      </c>
      <c r="F201" s="13" t="s">
        <v>703</v>
      </c>
      <c r="G201" s="50"/>
      <c r="H201" s="176" t="s">
        <v>1470</v>
      </c>
      <c r="I201" s="176" t="s">
        <v>1470</v>
      </c>
      <c r="J201" s="176" t="s">
        <v>1470</v>
      </c>
      <c r="K201" s="176" t="s">
        <v>1470</v>
      </c>
      <c r="L201" s="176" t="s">
        <v>1470</v>
      </c>
      <c r="M201" s="140">
        <v>16996</v>
      </c>
      <c r="N201" s="162">
        <v>17092</v>
      </c>
      <c r="O201" s="162">
        <v>16908</v>
      </c>
      <c r="P201" s="162">
        <v>17912</v>
      </c>
      <c r="Q201" s="162">
        <v>17212</v>
      </c>
      <c r="R201" s="162">
        <v>16979</v>
      </c>
      <c r="S201" s="162">
        <v>16494</v>
      </c>
      <c r="T201" s="163">
        <v>16241</v>
      </c>
      <c r="U201" s="163">
        <v>15736</v>
      </c>
      <c r="V201" s="163">
        <v>14404</v>
      </c>
      <c r="W201" s="255">
        <v>14110</v>
      </c>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row>
    <row r="202" spans="1:87" s="32" customFormat="1" ht="12" customHeight="1">
      <c r="A202" s="81"/>
      <c r="B202" s="1"/>
      <c r="C202" s="15" t="str">
        <f>VLOOKUP(46,Textbausteine!$A$2:$E$67,Hilfsgrössen!$D$2,FALSE)</f>
        <v>Swiss Post Solutions</v>
      </c>
      <c r="D202" s="18" t="str">
        <f>VLOOKUP(34,Textbausteine!$M$2:$Q$345,Hilfsgrössen!$D$2,FALSE)</f>
        <v>Unités de personnel</v>
      </c>
      <c r="E202" s="293" t="s">
        <v>1612</v>
      </c>
      <c r="F202" s="11" t="s">
        <v>703</v>
      </c>
      <c r="G202" s="49"/>
      <c r="H202" s="176" t="s">
        <v>1470</v>
      </c>
      <c r="I202" s="176" t="s">
        <v>1470</v>
      </c>
      <c r="J202" s="176" t="s">
        <v>1470</v>
      </c>
      <c r="K202" s="176" t="s">
        <v>1470</v>
      </c>
      <c r="L202" s="176" t="s">
        <v>1470</v>
      </c>
      <c r="M202" s="140">
        <v>6878</v>
      </c>
      <c r="N202" s="162">
        <v>6992</v>
      </c>
      <c r="O202" s="162">
        <v>6407</v>
      </c>
      <c r="P202" s="162">
        <v>6502</v>
      </c>
      <c r="Q202" s="162">
        <v>6798</v>
      </c>
      <c r="R202" s="162">
        <v>7466</v>
      </c>
      <c r="S202" s="162">
        <v>7177</v>
      </c>
      <c r="T202" s="163">
        <v>6803</v>
      </c>
      <c r="U202" s="163">
        <v>6585</v>
      </c>
      <c r="V202" s="163">
        <v>6789</v>
      </c>
      <c r="W202" s="255">
        <v>6909</v>
      </c>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c r="CI202" s="37"/>
    </row>
    <row r="203" spans="1:87" s="32" customFormat="1" ht="12" customHeight="1">
      <c r="A203" s="81"/>
      <c r="B203" s="1"/>
      <c r="C203" s="15" t="str">
        <f>VLOOKUP(47,Textbausteine!$A$2:$E$67,Hilfsgrössen!$D$2,FALSE)</f>
        <v>RéseauPostal</v>
      </c>
      <c r="D203" s="18" t="str">
        <f>VLOOKUP(34,Textbausteine!$M$2:$Q$345,Hilfsgrössen!$D$2,FALSE)</f>
        <v>Unités de personnel</v>
      </c>
      <c r="E203" s="293" t="s">
        <v>1612</v>
      </c>
      <c r="F203" s="11" t="s">
        <v>703</v>
      </c>
      <c r="G203" s="49"/>
      <c r="H203" s="176" t="s">
        <v>1470</v>
      </c>
      <c r="I203" s="176" t="s">
        <v>1470</v>
      </c>
      <c r="J203" s="176" t="s">
        <v>1470</v>
      </c>
      <c r="K203" s="176" t="s">
        <v>1470</v>
      </c>
      <c r="L203" s="176" t="s">
        <v>1470</v>
      </c>
      <c r="M203" s="140">
        <v>7091</v>
      </c>
      <c r="N203" s="162">
        <v>6928</v>
      </c>
      <c r="O203" s="162">
        <v>6827</v>
      </c>
      <c r="P203" s="162">
        <v>6724</v>
      </c>
      <c r="Q203" s="162">
        <v>6591</v>
      </c>
      <c r="R203" s="162">
        <v>6508</v>
      </c>
      <c r="S203" s="162">
        <v>6299</v>
      </c>
      <c r="T203" s="163">
        <v>6006</v>
      </c>
      <c r="U203" s="163">
        <v>5435</v>
      </c>
      <c r="V203" s="163">
        <v>4753</v>
      </c>
      <c r="W203" s="255">
        <v>4298</v>
      </c>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row>
    <row r="204" spans="1:87" s="32" customFormat="1" ht="12" customHeight="1">
      <c r="A204" s="81"/>
      <c r="B204" s="1"/>
      <c r="C204" s="15" t="str">
        <f>VLOOKUP(48,Textbausteine!$A$2:$E$67,Hilfsgrössen!$D$2,FALSE)</f>
        <v>PostLogistics</v>
      </c>
      <c r="D204" s="18" t="str">
        <f>VLOOKUP(34,Textbausteine!$M$2:$Q$345,Hilfsgrössen!$D$2,FALSE)</f>
        <v>Unités de personnel</v>
      </c>
      <c r="E204" s="293" t="s">
        <v>1612</v>
      </c>
      <c r="F204" s="11" t="s">
        <v>703</v>
      </c>
      <c r="G204" s="49"/>
      <c r="H204" s="176" t="s">
        <v>1470</v>
      </c>
      <c r="I204" s="176" t="s">
        <v>1470</v>
      </c>
      <c r="J204" s="176" t="s">
        <v>1470</v>
      </c>
      <c r="K204" s="176" t="s">
        <v>1470</v>
      </c>
      <c r="L204" s="176" t="s">
        <v>1470</v>
      </c>
      <c r="M204" s="140">
        <v>5489</v>
      </c>
      <c r="N204" s="162">
        <v>5319</v>
      </c>
      <c r="O204" s="162">
        <v>5345</v>
      </c>
      <c r="P204" s="162">
        <v>5520</v>
      </c>
      <c r="Q204" s="162">
        <v>5426</v>
      </c>
      <c r="R204" s="162">
        <v>5304</v>
      </c>
      <c r="S204" s="162">
        <v>5219</v>
      </c>
      <c r="T204" s="163">
        <v>5151</v>
      </c>
      <c r="U204" s="163">
        <v>5281</v>
      </c>
      <c r="V204" s="163">
        <v>5400</v>
      </c>
      <c r="W204" s="255">
        <v>5620</v>
      </c>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row>
    <row r="205" spans="1:87" s="32" customFormat="1" ht="12" customHeight="1">
      <c r="A205" s="81"/>
      <c r="B205" s="1"/>
      <c r="C205" s="15" t="str">
        <f>VLOOKUP(49,Textbausteine!$A$2:$E$67,Hilfsgrössen!$D$2,FALSE)</f>
        <v>PostFinance</v>
      </c>
      <c r="D205" s="18" t="str">
        <f>VLOOKUP(34,Textbausteine!$M$2:$Q$345,Hilfsgrössen!$D$2,FALSE)</f>
        <v>Unités de personnel</v>
      </c>
      <c r="E205" s="293" t="s">
        <v>1612</v>
      </c>
      <c r="F205" s="13" t="s">
        <v>703</v>
      </c>
      <c r="G205" s="50"/>
      <c r="H205" s="176" t="s">
        <v>1470</v>
      </c>
      <c r="I205" s="176" t="s">
        <v>1470</v>
      </c>
      <c r="J205" s="176" t="s">
        <v>1470</v>
      </c>
      <c r="K205" s="176" t="s">
        <v>1470</v>
      </c>
      <c r="L205" s="176" t="s">
        <v>1470</v>
      </c>
      <c r="M205" s="140">
        <v>3042</v>
      </c>
      <c r="N205" s="162">
        <v>3265</v>
      </c>
      <c r="O205" s="162">
        <v>3425</v>
      </c>
      <c r="P205" s="162">
        <v>3479</v>
      </c>
      <c r="Q205" s="162">
        <v>3439</v>
      </c>
      <c r="R205" s="162">
        <v>3466</v>
      </c>
      <c r="S205" s="162">
        <v>3594</v>
      </c>
      <c r="T205" s="163">
        <v>3614</v>
      </c>
      <c r="U205" s="163">
        <v>3475</v>
      </c>
      <c r="V205" s="163">
        <v>3333</v>
      </c>
      <c r="W205" s="255">
        <v>3248</v>
      </c>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row>
    <row r="206" spans="1:87" s="32" customFormat="1" ht="12" customHeight="1">
      <c r="A206" s="81"/>
      <c r="B206" s="1"/>
      <c r="C206" s="15" t="str">
        <f>VLOOKUP(50,Textbausteine!$A$2:$E$67,Hilfsgrössen!$D$2,FALSE)</f>
        <v>CarPostal</v>
      </c>
      <c r="D206" s="18" t="str">
        <f>VLOOKUP(34,Textbausteine!$M$2:$Q$345,Hilfsgrössen!$D$2,FALSE)</f>
        <v>Unités de personnel</v>
      </c>
      <c r="E206" s="293" t="s">
        <v>2559</v>
      </c>
      <c r="F206" s="13" t="s">
        <v>703</v>
      </c>
      <c r="G206" s="50"/>
      <c r="H206" s="176" t="s">
        <v>1470</v>
      </c>
      <c r="I206" s="176" t="s">
        <v>1470</v>
      </c>
      <c r="J206" s="176" t="s">
        <v>1470</v>
      </c>
      <c r="K206" s="176" t="s">
        <v>1470</v>
      </c>
      <c r="L206" s="176" t="s">
        <v>1470</v>
      </c>
      <c r="M206" s="140">
        <v>1736</v>
      </c>
      <c r="N206" s="162">
        <v>2012</v>
      </c>
      <c r="O206" s="162">
        <v>2067</v>
      </c>
      <c r="P206" s="162">
        <v>2305</v>
      </c>
      <c r="Q206" s="162">
        <v>2487</v>
      </c>
      <c r="R206" s="162">
        <v>2789</v>
      </c>
      <c r="S206" s="162">
        <v>2939</v>
      </c>
      <c r="T206" s="163">
        <v>3210</v>
      </c>
      <c r="U206" s="163">
        <v>3261</v>
      </c>
      <c r="V206" s="163">
        <v>2229</v>
      </c>
      <c r="W206" s="255">
        <v>2339</v>
      </c>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row>
    <row r="207" spans="1:87" s="32" customFormat="1" ht="12" customHeight="1">
      <c r="A207" s="81"/>
      <c r="B207" s="1"/>
      <c r="C207" s="15" t="str">
        <f>VLOOKUP(51,Textbausteine!$A$2:$E$67,Hilfsgrössen!$D$2,FALSE)</f>
        <v>Autres</v>
      </c>
      <c r="D207" s="18" t="str">
        <f>VLOOKUP(34,Textbausteine!$M$2:$Q$345,Hilfsgrössen!$D$2,FALSE)</f>
        <v>Unités de personnel</v>
      </c>
      <c r="E207" s="293" t="s">
        <v>1612</v>
      </c>
      <c r="F207" s="11" t="s">
        <v>703</v>
      </c>
      <c r="G207" s="49"/>
      <c r="H207" s="176" t="s">
        <v>1470</v>
      </c>
      <c r="I207" s="176" t="s">
        <v>1470</v>
      </c>
      <c r="J207" s="176" t="s">
        <v>1470</v>
      </c>
      <c r="K207" s="176" t="s">
        <v>1470</v>
      </c>
      <c r="L207" s="176" t="s">
        <v>1470</v>
      </c>
      <c r="M207" s="140">
        <v>3571</v>
      </c>
      <c r="N207" s="162">
        <v>3521</v>
      </c>
      <c r="O207" s="162">
        <v>3369</v>
      </c>
      <c r="P207" s="162">
        <v>2163</v>
      </c>
      <c r="Q207" s="162">
        <v>2152</v>
      </c>
      <c r="R207" s="162">
        <v>2169</v>
      </c>
      <c r="S207" s="162">
        <v>2409</v>
      </c>
      <c r="T207" s="163">
        <v>2460</v>
      </c>
      <c r="U207" s="163">
        <v>2543</v>
      </c>
      <c r="V207" s="163">
        <v>3024</v>
      </c>
      <c r="W207" s="255">
        <v>3146</v>
      </c>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row>
    <row r="208" spans="1:87" s="32" customFormat="1" ht="12" customHeight="1">
      <c r="A208" s="81"/>
      <c r="B208" s="1"/>
      <c r="C208" s="9"/>
      <c r="D208" s="1"/>
      <c r="E208" s="290"/>
      <c r="F208" s="11"/>
      <c r="G208" s="49"/>
      <c r="H208" s="140"/>
      <c r="I208" s="140"/>
      <c r="J208" s="140"/>
      <c r="K208" s="140"/>
      <c r="L208" s="140"/>
      <c r="M208" s="140"/>
      <c r="N208" s="162"/>
      <c r="O208" s="162"/>
      <c r="P208" s="162"/>
      <c r="Q208" s="162"/>
      <c r="R208" s="162"/>
      <c r="S208" s="162"/>
      <c r="T208" s="163"/>
      <c r="U208" s="163"/>
      <c r="V208" s="163"/>
      <c r="W208" s="255"/>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row>
    <row r="209" spans="1:87" s="32" customFormat="1" ht="12" customHeight="1">
      <c r="A209" s="81"/>
      <c r="B209" s="1"/>
      <c r="C209" s="68" t="str">
        <f>VLOOKUP(151,Textbausteine!$M$2:$Q$345,Hilfsgrössen!$D$2,FALSE)</f>
        <v>Effectif</v>
      </c>
      <c r="D209" s="1"/>
      <c r="E209" s="288"/>
      <c r="F209" s="13"/>
      <c r="G209" s="50"/>
      <c r="H209" s="176"/>
      <c r="I209" s="176"/>
      <c r="J209" s="176"/>
      <c r="K209" s="176"/>
      <c r="L209" s="176"/>
      <c r="M209" s="140"/>
      <c r="N209" s="162"/>
      <c r="O209" s="162"/>
      <c r="P209" s="162"/>
      <c r="Q209" s="162"/>
      <c r="R209" s="162"/>
      <c r="S209" s="162"/>
      <c r="T209" s="163"/>
      <c r="U209" s="163"/>
      <c r="V209" s="163"/>
      <c r="W209" s="255"/>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row>
    <row r="210" spans="1:87" s="32" customFormat="1" ht="12" customHeight="1">
      <c r="A210" s="81"/>
      <c r="B210" s="1"/>
      <c r="C210" s="15" t="str">
        <f>VLOOKUP(45,Textbausteine!$A$2:$E$67,Hilfsgrössen!$D$2,FALSE)</f>
        <v>PostMail</v>
      </c>
      <c r="D210" s="18" t="str">
        <f>VLOOKUP(35,Textbausteine!$M$2:$Q$345,Hilfsgrössen!$D$2,FALSE)</f>
        <v>Personnes</v>
      </c>
      <c r="E210" s="290" t="s">
        <v>716</v>
      </c>
      <c r="F210" s="13" t="s">
        <v>703</v>
      </c>
      <c r="G210" s="50"/>
      <c r="H210" s="176" t="s">
        <v>1470</v>
      </c>
      <c r="I210" s="176" t="s">
        <v>1470</v>
      </c>
      <c r="J210" s="176" t="s">
        <v>1470</v>
      </c>
      <c r="K210" s="176" t="s">
        <v>1470</v>
      </c>
      <c r="L210" s="176" t="s">
        <v>1470</v>
      </c>
      <c r="M210" s="140">
        <v>25645</v>
      </c>
      <c r="N210" s="162">
        <v>27039</v>
      </c>
      <c r="O210" s="162">
        <v>26177</v>
      </c>
      <c r="P210" s="162">
        <v>29492</v>
      </c>
      <c r="Q210" s="162">
        <v>29036</v>
      </c>
      <c r="R210" s="162">
        <v>29803</v>
      </c>
      <c r="S210" s="162">
        <v>29257</v>
      </c>
      <c r="T210" s="163">
        <v>28730</v>
      </c>
      <c r="U210" s="163">
        <v>27824</v>
      </c>
      <c r="V210" s="163">
        <v>26489</v>
      </c>
      <c r="W210" s="255">
        <v>25462</v>
      </c>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row>
    <row r="211" spans="1:87" s="32" customFormat="1" ht="12" customHeight="1">
      <c r="A211" s="81"/>
      <c r="B211" s="1"/>
      <c r="C211" s="15" t="str">
        <f>VLOOKUP(46,Textbausteine!$A$2:$E$67,Hilfsgrössen!$D$2,FALSE)</f>
        <v>Swiss Post Solutions</v>
      </c>
      <c r="D211" s="18" t="str">
        <f>VLOOKUP(35,Textbausteine!$M$2:$Q$345,Hilfsgrössen!$D$2,FALSE)</f>
        <v>Personnes</v>
      </c>
      <c r="E211" s="290" t="s">
        <v>716</v>
      </c>
      <c r="F211" s="11" t="s">
        <v>703</v>
      </c>
      <c r="G211" s="49"/>
      <c r="H211" s="176" t="s">
        <v>1470</v>
      </c>
      <c r="I211" s="176" t="s">
        <v>1470</v>
      </c>
      <c r="J211" s="176" t="s">
        <v>1470</v>
      </c>
      <c r="K211" s="176" t="s">
        <v>1470</v>
      </c>
      <c r="L211" s="176" t="s">
        <v>1470</v>
      </c>
      <c r="M211" s="140">
        <v>7623</v>
      </c>
      <c r="N211" s="162">
        <v>7534</v>
      </c>
      <c r="O211" s="162">
        <v>6861</v>
      </c>
      <c r="P211" s="162">
        <v>7014</v>
      </c>
      <c r="Q211" s="162">
        <v>7252</v>
      </c>
      <c r="R211" s="162">
        <v>7893</v>
      </c>
      <c r="S211" s="162">
        <v>7685</v>
      </c>
      <c r="T211" s="163">
        <v>7298</v>
      </c>
      <c r="U211" s="163">
        <v>7053</v>
      </c>
      <c r="V211" s="163">
        <v>7402</v>
      </c>
      <c r="W211" s="255">
        <v>7537</v>
      </c>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row>
    <row r="212" spans="1:87" s="32" customFormat="1" ht="12" customHeight="1">
      <c r="A212" s="81"/>
      <c r="B212" s="1"/>
      <c r="C212" s="15" t="str">
        <f>VLOOKUP(47,Textbausteine!$A$2:$E$67,Hilfsgrössen!$D$2,FALSE)</f>
        <v>RéseauPostal</v>
      </c>
      <c r="D212" s="18" t="str">
        <f>VLOOKUP(35,Textbausteine!$M$2:$Q$345,Hilfsgrössen!$D$2,FALSE)</f>
        <v>Personnes</v>
      </c>
      <c r="E212" s="290" t="s">
        <v>716</v>
      </c>
      <c r="F212" s="11" t="s">
        <v>703</v>
      </c>
      <c r="G212" s="49"/>
      <c r="H212" s="176" t="s">
        <v>1470</v>
      </c>
      <c r="I212" s="176" t="s">
        <v>1470</v>
      </c>
      <c r="J212" s="176" t="s">
        <v>1470</v>
      </c>
      <c r="K212" s="176" t="s">
        <v>1470</v>
      </c>
      <c r="L212" s="176" t="s">
        <v>1470</v>
      </c>
      <c r="M212" s="140">
        <v>10770</v>
      </c>
      <c r="N212" s="162">
        <v>10177</v>
      </c>
      <c r="O212" s="162">
        <v>9960</v>
      </c>
      <c r="P212" s="162">
        <v>9726</v>
      </c>
      <c r="Q212" s="162">
        <v>9433</v>
      </c>
      <c r="R212" s="162">
        <v>9207</v>
      </c>
      <c r="S212" s="162">
        <v>8838</v>
      </c>
      <c r="T212" s="163">
        <v>8415</v>
      </c>
      <c r="U212" s="163">
        <v>7618</v>
      </c>
      <c r="V212" s="163">
        <v>6652</v>
      </c>
      <c r="W212" s="255">
        <v>5972</v>
      </c>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row>
    <row r="213" spans="1:87" s="32" customFormat="1" ht="12" customHeight="1">
      <c r="A213" s="81"/>
      <c r="B213" s="1"/>
      <c r="C213" s="15" t="str">
        <f>VLOOKUP(48,Textbausteine!$A$2:$E$67,Hilfsgrössen!$D$2,FALSE)</f>
        <v>PostLogistics</v>
      </c>
      <c r="D213" s="18" t="str">
        <f>VLOOKUP(35,Textbausteine!$M$2:$Q$345,Hilfsgrössen!$D$2,FALSE)</f>
        <v>Personnes</v>
      </c>
      <c r="E213" s="290" t="s">
        <v>716</v>
      </c>
      <c r="F213" s="11" t="s">
        <v>703</v>
      </c>
      <c r="G213" s="49"/>
      <c r="H213" s="176" t="s">
        <v>1470</v>
      </c>
      <c r="I213" s="176" t="s">
        <v>1470</v>
      </c>
      <c r="J213" s="176" t="s">
        <v>1470</v>
      </c>
      <c r="K213" s="176" t="s">
        <v>1470</v>
      </c>
      <c r="L213" s="176" t="s">
        <v>1470</v>
      </c>
      <c r="M213" s="140">
        <v>6162</v>
      </c>
      <c r="N213" s="162">
        <v>5890</v>
      </c>
      <c r="O213" s="162">
        <v>5938</v>
      </c>
      <c r="P213" s="162">
        <v>6146</v>
      </c>
      <c r="Q213" s="162">
        <v>6058</v>
      </c>
      <c r="R213" s="162">
        <v>5928</v>
      </c>
      <c r="S213" s="162">
        <v>5839</v>
      </c>
      <c r="T213" s="163">
        <v>5772</v>
      </c>
      <c r="U213" s="163">
        <v>5875</v>
      </c>
      <c r="V213" s="163">
        <v>6237</v>
      </c>
      <c r="W213" s="255">
        <v>6674</v>
      </c>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c r="CH213" s="37"/>
      <c r="CI213" s="37"/>
    </row>
    <row r="214" spans="1:87" s="32" customFormat="1" ht="12" customHeight="1">
      <c r="A214" s="81"/>
      <c r="B214" s="1"/>
      <c r="C214" s="15" t="str">
        <f>VLOOKUP(49,Textbausteine!$A$2:$E$67,Hilfsgrössen!$D$2,FALSE)</f>
        <v>PostFinance</v>
      </c>
      <c r="D214" s="18" t="str">
        <f>VLOOKUP(35,Textbausteine!$M$2:$Q$345,Hilfsgrössen!$D$2,FALSE)</f>
        <v>Personnes</v>
      </c>
      <c r="E214" s="290" t="s">
        <v>716</v>
      </c>
      <c r="F214" s="11" t="s">
        <v>703</v>
      </c>
      <c r="G214" s="49"/>
      <c r="H214" s="176" t="s">
        <v>1470</v>
      </c>
      <c r="I214" s="176" t="s">
        <v>1470</v>
      </c>
      <c r="J214" s="176" t="s">
        <v>1470</v>
      </c>
      <c r="K214" s="176" t="s">
        <v>1470</v>
      </c>
      <c r="L214" s="176" t="s">
        <v>1470</v>
      </c>
      <c r="M214" s="140">
        <v>3478</v>
      </c>
      <c r="N214" s="162">
        <v>3732</v>
      </c>
      <c r="O214" s="162">
        <v>3920</v>
      </c>
      <c r="P214" s="162">
        <v>3983</v>
      </c>
      <c r="Q214" s="162">
        <v>3938</v>
      </c>
      <c r="R214" s="162">
        <v>3967</v>
      </c>
      <c r="S214" s="162">
        <v>4111</v>
      </c>
      <c r="T214" s="163">
        <v>4116</v>
      </c>
      <c r="U214" s="163">
        <v>3951</v>
      </c>
      <c r="V214" s="163">
        <v>3754</v>
      </c>
      <c r="W214" s="255">
        <v>3648</v>
      </c>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c r="CI214" s="37"/>
    </row>
    <row r="215" spans="1:87" s="32" customFormat="1" ht="12" customHeight="1">
      <c r="A215" s="81"/>
      <c r="B215" s="1"/>
      <c r="C215" s="15" t="str">
        <f>VLOOKUP(50,Textbausteine!$A$2:$E$67,Hilfsgrössen!$D$2,FALSE)</f>
        <v>CarPostal</v>
      </c>
      <c r="D215" s="18" t="str">
        <f>VLOOKUP(35,Textbausteine!$M$2:$Q$345,Hilfsgrössen!$D$2,FALSE)</f>
        <v>Personnes</v>
      </c>
      <c r="E215" s="290" t="s">
        <v>716</v>
      </c>
      <c r="F215" s="11" t="s">
        <v>703</v>
      </c>
      <c r="G215" s="49"/>
      <c r="H215" s="176" t="s">
        <v>1470</v>
      </c>
      <c r="I215" s="176" t="s">
        <v>1470</v>
      </c>
      <c r="J215" s="176" t="s">
        <v>1470</v>
      </c>
      <c r="K215" s="176" t="s">
        <v>1470</v>
      </c>
      <c r="L215" s="176" t="s">
        <v>1470</v>
      </c>
      <c r="M215" s="140">
        <v>2079</v>
      </c>
      <c r="N215" s="162">
        <v>2353</v>
      </c>
      <c r="O215" s="162">
        <v>2408</v>
      </c>
      <c r="P215" s="162">
        <v>2710</v>
      </c>
      <c r="Q215" s="162">
        <v>2914</v>
      </c>
      <c r="R215" s="162">
        <v>3242</v>
      </c>
      <c r="S215" s="162">
        <v>3444</v>
      </c>
      <c r="T215" s="163">
        <v>3748</v>
      </c>
      <c r="U215" s="163">
        <v>3823</v>
      </c>
      <c r="V215" s="163">
        <v>3949</v>
      </c>
      <c r="W215" s="255">
        <v>2833</v>
      </c>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c r="CI215" s="37"/>
    </row>
    <row r="216" spans="1:87" s="32" customFormat="1" ht="12" customHeight="1">
      <c r="A216" s="81"/>
      <c r="B216" s="1"/>
      <c r="C216" s="15" t="str">
        <f>VLOOKUP(51,Textbausteine!$A$2:$E$67,Hilfsgrössen!$D$2,FALSE)</f>
        <v>Autres</v>
      </c>
      <c r="D216" s="18" t="str">
        <f>VLOOKUP(35,Textbausteine!$M$2:$Q$345,Hilfsgrössen!$D$2,FALSE)</f>
        <v>Personnes</v>
      </c>
      <c r="E216" s="290" t="s">
        <v>716</v>
      </c>
      <c r="F216" s="13" t="s">
        <v>703</v>
      </c>
      <c r="G216" s="50"/>
      <c r="H216" s="176" t="s">
        <v>1470</v>
      </c>
      <c r="I216" s="176" t="s">
        <v>1470</v>
      </c>
      <c r="J216" s="176" t="s">
        <v>1470</v>
      </c>
      <c r="K216" s="176" t="s">
        <v>1470</v>
      </c>
      <c r="L216" s="176" t="s">
        <v>1470</v>
      </c>
      <c r="M216" s="140">
        <v>6333</v>
      </c>
      <c r="N216" s="162">
        <v>4703</v>
      </c>
      <c r="O216" s="162">
        <v>4348</v>
      </c>
      <c r="P216" s="162">
        <v>2987</v>
      </c>
      <c r="Q216" s="162">
        <v>2962</v>
      </c>
      <c r="R216" s="162">
        <v>2943</v>
      </c>
      <c r="S216" s="162">
        <v>3167</v>
      </c>
      <c r="T216" s="163">
        <v>3186</v>
      </c>
      <c r="U216" s="163">
        <v>3225</v>
      </c>
      <c r="V216" s="163">
        <v>3697</v>
      </c>
      <c r="W216" s="255">
        <v>3789</v>
      </c>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c r="CH216" s="37"/>
      <c r="CI216" s="37"/>
    </row>
    <row r="217" spans="1:87" s="32" customFormat="1" ht="12" customHeight="1">
      <c r="A217" s="81"/>
      <c r="B217" s="1"/>
      <c r="C217" s="9"/>
      <c r="D217" s="1"/>
      <c r="E217" s="288"/>
      <c r="F217" s="11"/>
      <c r="G217" s="49"/>
      <c r="H217" s="20"/>
      <c r="I217" s="20"/>
      <c r="J217" s="20"/>
      <c r="K217" s="20"/>
      <c r="L217" s="20"/>
      <c r="M217" s="20"/>
      <c r="N217" s="100"/>
      <c r="O217" s="100"/>
      <c r="P217" s="100"/>
      <c r="Q217" s="100"/>
      <c r="R217" s="100"/>
      <c r="S217" s="100"/>
      <c r="T217" s="163"/>
      <c r="U217" s="163"/>
      <c r="V217" s="163"/>
      <c r="W217" s="255"/>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c r="CH217" s="37"/>
      <c r="CI217" s="37"/>
    </row>
    <row r="218" spans="1:87" s="32" customFormat="1" ht="12" customHeight="1">
      <c r="A218" s="57"/>
      <c r="B218" s="8" t="str">
        <f>VLOOKUP(37,Textbausteine!$A$2:$E$67,Hilfsgrössen!$D$2,FALSE)</f>
        <v>Groupe Suisse</v>
      </c>
      <c r="C218" s="10"/>
      <c r="D218" s="1"/>
      <c r="E218" s="293"/>
      <c r="F218" s="13"/>
      <c r="G218" s="49"/>
      <c r="H218" s="20"/>
      <c r="I218" s="20"/>
      <c r="J218" s="20"/>
      <c r="K218" s="20"/>
      <c r="L218" s="20"/>
      <c r="M218" s="20"/>
      <c r="N218" s="100"/>
      <c r="O218" s="100"/>
      <c r="P218" s="100"/>
      <c r="Q218" s="100"/>
      <c r="R218" s="100"/>
      <c r="S218" s="100"/>
      <c r="T218" s="163"/>
      <c r="U218" s="163"/>
      <c r="V218" s="163"/>
      <c r="W218" s="255"/>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c r="CB218" s="37"/>
      <c r="CC218" s="37"/>
      <c r="CD218" s="37"/>
      <c r="CE218" s="37"/>
      <c r="CF218" s="37"/>
      <c r="CG218" s="37"/>
      <c r="CH218" s="37"/>
      <c r="CI218" s="37"/>
    </row>
    <row r="219" spans="1:87" s="32" customFormat="1" ht="12" customHeight="1">
      <c r="A219" s="81"/>
      <c r="B219" s="1"/>
      <c r="C219" s="9" t="str">
        <f>VLOOKUP(156,Textbausteine!$M$2:$Q$345,Hilfsgrössen!$D$2,FALSE)</f>
        <v>Logistique et Production</v>
      </c>
      <c r="D219" s="18" t="str">
        <f>VLOOKUP(35,Textbausteine!$M$2:$Q$345,Hilfsgrössen!$D$2,FALSE)</f>
        <v>Personnes</v>
      </c>
      <c r="E219" s="293" t="s">
        <v>2560</v>
      </c>
      <c r="F219" s="11" t="s">
        <v>703</v>
      </c>
      <c r="G219" s="50"/>
      <c r="H219" s="177" t="s">
        <v>1470</v>
      </c>
      <c r="I219" s="177" t="s">
        <v>1470</v>
      </c>
      <c r="J219" s="177" t="s">
        <v>1470</v>
      </c>
      <c r="K219" s="177" t="s">
        <v>1470</v>
      </c>
      <c r="L219" s="177" t="s">
        <v>1470</v>
      </c>
      <c r="M219" s="177" t="s">
        <v>1470</v>
      </c>
      <c r="N219" s="162">
        <v>32837.25</v>
      </c>
      <c r="O219" s="162">
        <v>33363.916666666664</v>
      </c>
      <c r="P219" s="162">
        <v>32821</v>
      </c>
      <c r="Q219" s="162">
        <v>32280.416666666668</v>
      </c>
      <c r="R219" s="162">
        <v>31602</v>
      </c>
      <c r="S219" s="162">
        <v>30986</v>
      </c>
      <c r="T219" s="163">
        <v>30386</v>
      </c>
      <c r="U219" s="163">
        <v>29841</v>
      </c>
      <c r="V219" s="163">
        <v>28979</v>
      </c>
      <c r="W219" s="255">
        <v>28345</v>
      </c>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c r="CA219" s="37"/>
      <c r="CB219" s="37"/>
      <c r="CC219" s="37"/>
      <c r="CD219" s="37"/>
      <c r="CE219" s="37"/>
      <c r="CF219" s="37"/>
      <c r="CG219" s="37"/>
      <c r="CH219" s="37"/>
      <c r="CI219" s="37"/>
    </row>
    <row r="220" spans="1:87" s="32" customFormat="1" ht="12" customHeight="1">
      <c r="A220" s="81"/>
      <c r="B220" s="1"/>
      <c r="C220" s="15" t="str">
        <f>VLOOKUP(157,Textbausteine!$M$2:$Q$345,Hilfsgrössen!$D$2,FALSE)</f>
        <v>Distribution</v>
      </c>
      <c r="D220" s="18" t="str">
        <f>VLOOKUP(35,Textbausteine!$M$2:$Q$345,Hilfsgrössen!$D$2,FALSE)</f>
        <v>Personnes</v>
      </c>
      <c r="E220" s="293" t="s">
        <v>2560</v>
      </c>
      <c r="F220" s="11" t="s">
        <v>703</v>
      </c>
      <c r="G220" s="49"/>
      <c r="H220" s="177" t="s">
        <v>1470</v>
      </c>
      <c r="I220" s="177" t="s">
        <v>1470</v>
      </c>
      <c r="J220" s="177" t="s">
        <v>1470</v>
      </c>
      <c r="K220" s="177" t="s">
        <v>1470</v>
      </c>
      <c r="L220" s="177" t="s">
        <v>1470</v>
      </c>
      <c r="M220" s="177" t="s">
        <v>1470</v>
      </c>
      <c r="N220" s="162">
        <v>23500.416666666668</v>
      </c>
      <c r="O220" s="162">
        <v>24204.75</v>
      </c>
      <c r="P220" s="162">
        <v>23707</v>
      </c>
      <c r="Q220" s="162">
        <v>23518.666666666668</v>
      </c>
      <c r="R220" s="162">
        <v>22926</v>
      </c>
      <c r="S220" s="162">
        <v>22296</v>
      </c>
      <c r="T220" s="163">
        <v>21843</v>
      </c>
      <c r="U220" s="163">
        <v>21280</v>
      </c>
      <c r="V220" s="163">
        <v>20537</v>
      </c>
      <c r="W220" s="255">
        <v>19857</v>
      </c>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c r="CA220" s="37"/>
      <c r="CB220" s="37"/>
      <c r="CC220" s="37"/>
      <c r="CD220" s="37"/>
      <c r="CE220" s="37"/>
      <c r="CF220" s="37"/>
      <c r="CG220" s="37"/>
      <c r="CH220" s="37"/>
      <c r="CI220" s="37"/>
    </row>
    <row r="221" spans="1:87" s="32" customFormat="1" ht="12" customHeight="1">
      <c r="A221" s="81"/>
      <c r="B221" s="1"/>
      <c r="C221" s="15" t="str">
        <f>VLOOKUP(158,Textbausteine!$M$2:$Q$345,Hilfsgrössen!$D$2,FALSE)</f>
        <v>Tri</v>
      </c>
      <c r="D221" s="18" t="str">
        <f>VLOOKUP(35,Textbausteine!$M$2:$Q$345,Hilfsgrössen!$D$2,FALSE)</f>
        <v>Personnes</v>
      </c>
      <c r="E221" s="293" t="s">
        <v>2560</v>
      </c>
      <c r="F221" s="11" t="s">
        <v>703</v>
      </c>
      <c r="G221" s="49"/>
      <c r="H221" s="177" t="s">
        <v>1470</v>
      </c>
      <c r="I221" s="177" t="s">
        <v>1470</v>
      </c>
      <c r="J221" s="177" t="s">
        <v>1470</v>
      </c>
      <c r="K221" s="177" t="s">
        <v>1470</v>
      </c>
      <c r="L221" s="177" t="s">
        <v>1470</v>
      </c>
      <c r="M221" s="177" t="s">
        <v>1470</v>
      </c>
      <c r="N221" s="162">
        <v>3850</v>
      </c>
      <c r="O221" s="162">
        <v>3720.6666666666665</v>
      </c>
      <c r="P221" s="162">
        <v>3656</v>
      </c>
      <c r="Q221" s="162">
        <v>3551.1666666666665</v>
      </c>
      <c r="R221" s="162">
        <v>3375</v>
      </c>
      <c r="S221" s="162">
        <v>3284.6666666666665</v>
      </c>
      <c r="T221" s="163">
        <v>3120</v>
      </c>
      <c r="U221" s="163">
        <v>3057</v>
      </c>
      <c r="V221" s="163">
        <v>2959</v>
      </c>
      <c r="W221" s="255">
        <v>2995</v>
      </c>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c r="CA221" s="37"/>
      <c r="CB221" s="37"/>
      <c r="CC221" s="37"/>
      <c r="CD221" s="37"/>
      <c r="CE221" s="37"/>
      <c r="CF221" s="37"/>
      <c r="CG221" s="37"/>
      <c r="CH221" s="37"/>
      <c r="CI221" s="37"/>
    </row>
    <row r="222" spans="1:87" s="32" customFormat="1" ht="12" customHeight="1">
      <c r="A222" s="81"/>
      <c r="B222" s="1"/>
      <c r="C222" s="15" t="str">
        <f>VLOOKUP(159,Textbausteine!$M$2:$Q$345,Hilfsgrössen!$D$2,FALSE)</f>
        <v>Fourniture de services financiers</v>
      </c>
      <c r="D222" s="18" t="str">
        <f>VLOOKUP(35,Textbausteine!$M$2:$Q$345,Hilfsgrössen!$D$2,FALSE)</f>
        <v>Personnes</v>
      </c>
      <c r="E222" s="293" t="s">
        <v>2560</v>
      </c>
      <c r="F222" s="11" t="s">
        <v>703</v>
      </c>
      <c r="G222" s="49"/>
      <c r="H222" s="177" t="s">
        <v>1470</v>
      </c>
      <c r="I222" s="177" t="s">
        <v>1470</v>
      </c>
      <c r="J222" s="177" t="s">
        <v>1470</v>
      </c>
      <c r="K222" s="177" t="s">
        <v>1470</v>
      </c>
      <c r="L222" s="177" t="s">
        <v>1470</v>
      </c>
      <c r="M222" s="177" t="s">
        <v>1470</v>
      </c>
      <c r="N222" s="162">
        <v>1021.0833333333334</v>
      </c>
      <c r="O222" s="162">
        <v>1034.3333333333333</v>
      </c>
      <c r="P222" s="162">
        <v>998</v>
      </c>
      <c r="Q222" s="162">
        <v>961</v>
      </c>
      <c r="R222" s="162">
        <v>963</v>
      </c>
      <c r="S222" s="162">
        <v>987.5</v>
      </c>
      <c r="T222" s="163">
        <v>972</v>
      </c>
      <c r="U222" s="163">
        <v>1030</v>
      </c>
      <c r="V222" s="163">
        <v>935</v>
      </c>
      <c r="W222" s="255">
        <v>868</v>
      </c>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c r="CA222" s="37"/>
      <c r="CB222" s="37"/>
      <c r="CC222" s="37"/>
      <c r="CD222" s="37"/>
      <c r="CE222" s="37"/>
      <c r="CF222" s="37"/>
      <c r="CG222" s="37"/>
      <c r="CH222" s="37"/>
      <c r="CI222" s="37"/>
    </row>
    <row r="223" spans="1:87" s="32" customFormat="1" ht="12" customHeight="1">
      <c r="A223" s="81"/>
      <c r="B223" s="1"/>
      <c r="C223" s="15" t="str">
        <f>VLOOKUP(160,Textbausteine!$M$2:$Q$345,Hilfsgrössen!$D$2,FALSE)</f>
        <v>Transport de voyageurs</v>
      </c>
      <c r="D223" s="18" t="str">
        <f>VLOOKUP(35,Textbausteine!$M$2:$Q$345,Hilfsgrössen!$D$2,FALSE)</f>
        <v>Personnes</v>
      </c>
      <c r="E223" s="293" t="s">
        <v>2560</v>
      </c>
      <c r="F223" s="11" t="s">
        <v>703</v>
      </c>
      <c r="G223" s="49"/>
      <c r="H223" s="177" t="s">
        <v>1470</v>
      </c>
      <c r="I223" s="177" t="s">
        <v>1470</v>
      </c>
      <c r="J223" s="177" t="s">
        <v>1470</v>
      </c>
      <c r="K223" s="177" t="s">
        <v>1470</v>
      </c>
      <c r="L223" s="177" t="s">
        <v>1470</v>
      </c>
      <c r="M223" s="177" t="s">
        <v>1470</v>
      </c>
      <c r="N223" s="162">
        <v>1379.1666666666667</v>
      </c>
      <c r="O223" s="162">
        <v>1423.75</v>
      </c>
      <c r="P223" s="162">
        <v>1549</v>
      </c>
      <c r="Q223" s="162">
        <v>1517.75</v>
      </c>
      <c r="R223" s="162">
        <v>1722</v>
      </c>
      <c r="S223" s="162">
        <v>1819.5833333333333</v>
      </c>
      <c r="T223" s="163">
        <v>1885</v>
      </c>
      <c r="U223" s="163">
        <v>1947</v>
      </c>
      <c r="V223" s="163">
        <v>2060</v>
      </c>
      <c r="W223" s="255">
        <v>2178</v>
      </c>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c r="CA223" s="37"/>
      <c r="CB223" s="37"/>
      <c r="CC223" s="37"/>
      <c r="CD223" s="37"/>
      <c r="CE223" s="37"/>
      <c r="CF223" s="37"/>
      <c r="CG223" s="37"/>
      <c r="CH223" s="37"/>
      <c r="CI223" s="37"/>
    </row>
    <row r="224" spans="3:23" ht="12" customHeight="1">
      <c r="C224" s="15" t="str">
        <f>VLOOKUP(161,Textbausteine!$M$2:$Q$345,Hilfsgrössen!$D$2,FALSE)</f>
        <v>Transport de marchandises</v>
      </c>
      <c r="D224" s="18" t="str">
        <f>VLOOKUP(35,Textbausteine!$M$2:$Q$345,Hilfsgrössen!$D$2,FALSE)</f>
        <v>Personnes</v>
      </c>
      <c r="E224" s="293" t="s">
        <v>2560</v>
      </c>
      <c r="F224" s="11" t="s">
        <v>703</v>
      </c>
      <c r="G224" s="49"/>
      <c r="H224" s="177" t="s">
        <v>1470</v>
      </c>
      <c r="I224" s="177" t="s">
        <v>1470</v>
      </c>
      <c r="J224" s="177" t="s">
        <v>1470</v>
      </c>
      <c r="K224" s="177" t="s">
        <v>1470</v>
      </c>
      <c r="L224" s="177" t="s">
        <v>1470</v>
      </c>
      <c r="M224" s="177" t="s">
        <v>1470</v>
      </c>
      <c r="N224" s="162">
        <v>1108.4166666666667</v>
      </c>
      <c r="O224" s="162">
        <v>1049.1666666666667</v>
      </c>
      <c r="P224" s="162">
        <v>963</v>
      </c>
      <c r="Q224" s="162">
        <v>836</v>
      </c>
      <c r="R224" s="162">
        <v>781</v>
      </c>
      <c r="S224" s="162">
        <v>777.6666666666667</v>
      </c>
      <c r="T224" s="163">
        <v>768</v>
      </c>
      <c r="U224" s="163">
        <v>743</v>
      </c>
      <c r="V224" s="163">
        <v>730</v>
      </c>
      <c r="W224" s="255">
        <v>718</v>
      </c>
    </row>
    <row r="225" spans="3:23" ht="12" customHeight="1">
      <c r="C225" s="15" t="str">
        <f>VLOOKUP(162,Textbausteine!$M$2:$Q$345,Hilfsgrössen!$D$2,FALSE)</f>
        <v>Autres</v>
      </c>
      <c r="D225" s="18" t="str">
        <f>VLOOKUP(35,Textbausteine!$M$2:$Q$345,Hilfsgrössen!$D$2,FALSE)</f>
        <v>Personnes</v>
      </c>
      <c r="E225" s="293" t="s">
        <v>2560</v>
      </c>
      <c r="F225" s="11" t="s">
        <v>703</v>
      </c>
      <c r="G225" s="49"/>
      <c r="H225" s="177" t="s">
        <v>1470</v>
      </c>
      <c r="I225" s="177" t="s">
        <v>1470</v>
      </c>
      <c r="J225" s="177" t="s">
        <v>1470</v>
      </c>
      <c r="K225" s="177" t="s">
        <v>1470</v>
      </c>
      <c r="L225" s="177" t="s">
        <v>1470</v>
      </c>
      <c r="M225" s="177" t="s">
        <v>1470</v>
      </c>
      <c r="N225" s="162">
        <v>1978.1666666666642</v>
      </c>
      <c r="O225" s="162">
        <v>1931.2499999999964</v>
      </c>
      <c r="P225" s="162">
        <v>1949</v>
      </c>
      <c r="Q225" s="162">
        <v>1895.8333333333335</v>
      </c>
      <c r="R225" s="162">
        <v>1835</v>
      </c>
      <c r="S225" s="162">
        <v>1820.5833333333333</v>
      </c>
      <c r="T225" s="163">
        <v>1799</v>
      </c>
      <c r="U225" s="163">
        <v>1784</v>
      </c>
      <c r="V225" s="163">
        <v>1758</v>
      </c>
      <c r="W225" s="255">
        <v>1729</v>
      </c>
    </row>
    <row r="226" spans="3:23" ht="12" customHeight="1">
      <c r="C226" s="9" t="str">
        <f>VLOOKUP(163,Textbausteine!$M$2:$Q$345,Hilfsgrössen!$D$2,FALSE)</f>
        <v>Vente</v>
      </c>
      <c r="D226" s="18" t="str">
        <f>VLOOKUP(35,Textbausteine!$M$2:$Q$345,Hilfsgrössen!$D$2,FALSE)</f>
        <v>Personnes</v>
      </c>
      <c r="E226" s="293" t="s">
        <v>2560</v>
      </c>
      <c r="F226" s="11" t="s">
        <v>703</v>
      </c>
      <c r="G226" s="49"/>
      <c r="H226" s="177" t="s">
        <v>1470</v>
      </c>
      <c r="I226" s="177" t="s">
        <v>1470</v>
      </c>
      <c r="J226" s="177" t="s">
        <v>1470</v>
      </c>
      <c r="K226" s="177" t="s">
        <v>1470</v>
      </c>
      <c r="L226" s="177" t="s">
        <v>1470</v>
      </c>
      <c r="M226" s="177" t="s">
        <v>1470</v>
      </c>
      <c r="N226" s="162">
        <v>10629</v>
      </c>
      <c r="O226" s="162">
        <v>10546.583333333334</v>
      </c>
      <c r="P226" s="162">
        <v>10345</v>
      </c>
      <c r="Q226" s="162">
        <v>10018.25</v>
      </c>
      <c r="R226" s="162">
        <v>9685</v>
      </c>
      <c r="S226" s="162">
        <v>9358.333333333334</v>
      </c>
      <c r="T226" s="163">
        <v>8828</v>
      </c>
      <c r="U226" s="163">
        <v>8037</v>
      </c>
      <c r="V226" s="163">
        <v>7175</v>
      </c>
      <c r="W226" s="255">
        <v>6570</v>
      </c>
    </row>
    <row r="227" spans="3:23" ht="12" customHeight="1">
      <c r="C227" s="15" t="str">
        <f>VLOOKUP(164,Textbausteine!$M$2:$Q$345,Hilfsgrössen!$D$2,FALSE)</f>
        <v>Vente opérationnelle</v>
      </c>
      <c r="D227" s="18" t="str">
        <f>VLOOKUP(35,Textbausteine!$M$2:$Q$345,Hilfsgrössen!$D$2,FALSE)</f>
        <v>Personnes</v>
      </c>
      <c r="E227" s="293" t="s">
        <v>2560</v>
      </c>
      <c r="F227" s="11" t="s">
        <v>703</v>
      </c>
      <c r="G227" s="49"/>
      <c r="H227" s="177" t="s">
        <v>1470</v>
      </c>
      <c r="I227" s="177" t="s">
        <v>1470</v>
      </c>
      <c r="J227" s="177" t="s">
        <v>1470</v>
      </c>
      <c r="K227" s="177" t="s">
        <v>1470</v>
      </c>
      <c r="L227" s="177" t="s">
        <v>1470</v>
      </c>
      <c r="M227" s="177" t="s">
        <v>1470</v>
      </c>
      <c r="N227" s="162">
        <v>9459</v>
      </c>
      <c r="O227" s="162">
        <v>9320.166666666666</v>
      </c>
      <c r="P227" s="162">
        <v>9119</v>
      </c>
      <c r="Q227" s="162">
        <v>8818.666666666666</v>
      </c>
      <c r="R227" s="162">
        <v>8576</v>
      </c>
      <c r="S227" s="162">
        <v>8335.333333333334</v>
      </c>
      <c r="T227" s="163">
        <v>7899</v>
      </c>
      <c r="U227" s="163">
        <v>7194</v>
      </c>
      <c r="V227" s="163">
        <v>6405</v>
      </c>
      <c r="W227" s="255">
        <v>5812</v>
      </c>
    </row>
    <row r="228" spans="3:23" ht="12" customHeight="1">
      <c r="C228" s="15" t="str">
        <f>VLOOKUP(165,Textbausteine!$M$2:$Q$345,Hilfsgrössen!$D$2,FALSE)</f>
        <v>Autres</v>
      </c>
      <c r="D228" s="18" t="str">
        <f>VLOOKUP(35,Textbausteine!$M$2:$Q$345,Hilfsgrössen!$D$2,FALSE)</f>
        <v>Personnes</v>
      </c>
      <c r="E228" s="293" t="s">
        <v>2560</v>
      </c>
      <c r="F228" s="11" t="s">
        <v>703</v>
      </c>
      <c r="G228" s="49"/>
      <c r="H228" s="177" t="s">
        <v>1470</v>
      </c>
      <c r="I228" s="177" t="s">
        <v>1470</v>
      </c>
      <c r="J228" s="177" t="s">
        <v>1470</v>
      </c>
      <c r="K228" s="177" t="s">
        <v>1470</v>
      </c>
      <c r="L228" s="177" t="s">
        <v>1470</v>
      </c>
      <c r="M228" s="177" t="s">
        <v>1470</v>
      </c>
      <c r="N228" s="162">
        <v>1170</v>
      </c>
      <c r="O228" s="162">
        <v>1226.4166666666667</v>
      </c>
      <c r="P228" s="162">
        <v>1226</v>
      </c>
      <c r="Q228" s="162">
        <v>1199.5833333333335</v>
      </c>
      <c r="R228" s="162">
        <v>1109</v>
      </c>
      <c r="S228" s="162">
        <v>1023</v>
      </c>
      <c r="T228" s="163">
        <v>929</v>
      </c>
      <c r="U228" s="163">
        <v>843</v>
      </c>
      <c r="V228" s="163">
        <v>770</v>
      </c>
      <c r="W228" s="255">
        <v>758</v>
      </c>
    </row>
    <row r="229" spans="3:23" ht="12" customHeight="1">
      <c r="C229" s="9" t="str">
        <f>VLOOKUP(166,Textbausteine!$M$2:$Q$345,Hilfsgrössen!$D$2,FALSE)</f>
        <v>Marketing</v>
      </c>
      <c r="D229" s="18" t="str">
        <f>VLOOKUP(35,Textbausteine!$M$2:$Q$345,Hilfsgrössen!$D$2,FALSE)</f>
        <v>Personnes</v>
      </c>
      <c r="E229" s="293" t="s">
        <v>2560</v>
      </c>
      <c r="F229" s="11" t="s">
        <v>703</v>
      </c>
      <c r="G229" s="49"/>
      <c r="H229" s="177" t="s">
        <v>1470</v>
      </c>
      <c r="I229" s="177" t="s">
        <v>1470</v>
      </c>
      <c r="J229" s="177" t="s">
        <v>1470</v>
      </c>
      <c r="K229" s="177" t="s">
        <v>1470</v>
      </c>
      <c r="L229" s="177" t="s">
        <v>1470</v>
      </c>
      <c r="M229" s="177" t="s">
        <v>1470</v>
      </c>
      <c r="N229" s="162">
        <v>1114.5833333333333</v>
      </c>
      <c r="O229" s="162">
        <v>1203.8333333333333</v>
      </c>
      <c r="P229" s="162">
        <v>1255</v>
      </c>
      <c r="Q229" s="162">
        <v>1262.0833333333333</v>
      </c>
      <c r="R229" s="162">
        <v>1344</v>
      </c>
      <c r="S229" s="162">
        <v>1457.1666666666667</v>
      </c>
      <c r="T229" s="163">
        <v>1570</v>
      </c>
      <c r="U229" s="163">
        <v>1618</v>
      </c>
      <c r="V229" s="163">
        <v>1608</v>
      </c>
      <c r="W229" s="255">
        <v>1561</v>
      </c>
    </row>
    <row r="230" spans="3:23" ht="12" customHeight="1">
      <c r="C230" s="9" t="str">
        <f>VLOOKUP(167,Textbausteine!$M$2:$Q$345,Hilfsgrössen!$D$2,FALSE)</f>
        <v>Informatique</v>
      </c>
      <c r="D230" s="18" t="str">
        <f>VLOOKUP(35,Textbausteine!$M$2:$Q$345,Hilfsgrössen!$D$2,FALSE)</f>
        <v>Personnes</v>
      </c>
      <c r="E230" s="293" t="s">
        <v>2560</v>
      </c>
      <c r="F230" s="11" t="s">
        <v>703</v>
      </c>
      <c r="G230" s="49"/>
      <c r="H230" s="177" t="s">
        <v>1470</v>
      </c>
      <c r="I230" s="177" t="s">
        <v>1470</v>
      </c>
      <c r="J230" s="177" t="s">
        <v>1470</v>
      </c>
      <c r="K230" s="177" t="s">
        <v>1470</v>
      </c>
      <c r="L230" s="177" t="s">
        <v>1470</v>
      </c>
      <c r="M230" s="177" t="s">
        <v>1470</v>
      </c>
      <c r="N230" s="162">
        <v>1467.9166666666667</v>
      </c>
      <c r="O230" s="162">
        <v>1476.5</v>
      </c>
      <c r="P230" s="162">
        <v>1486</v>
      </c>
      <c r="Q230" s="162">
        <v>1515.9166666666667</v>
      </c>
      <c r="R230" s="162">
        <v>1553</v>
      </c>
      <c r="S230" s="162">
        <v>1596.25</v>
      </c>
      <c r="T230" s="163">
        <v>1596</v>
      </c>
      <c r="U230" s="163">
        <v>1618</v>
      </c>
      <c r="V230" s="163">
        <v>1647</v>
      </c>
      <c r="W230" s="255">
        <v>1724</v>
      </c>
    </row>
    <row r="231" spans="3:23" ht="12" customHeight="1">
      <c r="C231" s="9" t="str">
        <f>VLOOKUP(168,Textbausteine!$M$2:$Q$345,Hilfsgrössen!$D$2,FALSE)</f>
        <v>Infrastructure et sécurité</v>
      </c>
      <c r="D231" s="18" t="str">
        <f>VLOOKUP(35,Textbausteine!$M$2:$Q$345,Hilfsgrössen!$D$2,FALSE)</f>
        <v>Personnes</v>
      </c>
      <c r="E231" s="293" t="s">
        <v>2560</v>
      </c>
      <c r="F231" s="11" t="s">
        <v>703</v>
      </c>
      <c r="G231" s="49"/>
      <c r="H231" s="177" t="s">
        <v>1470</v>
      </c>
      <c r="I231" s="177" t="s">
        <v>1470</v>
      </c>
      <c r="J231" s="177" t="s">
        <v>1470</v>
      </c>
      <c r="K231" s="177" t="s">
        <v>1470</v>
      </c>
      <c r="L231" s="177" t="s">
        <v>1470</v>
      </c>
      <c r="M231" s="177" t="s">
        <v>1470</v>
      </c>
      <c r="N231" s="162">
        <v>2356.75</v>
      </c>
      <c r="O231" s="162">
        <v>2080.9166666666665</v>
      </c>
      <c r="P231" s="162">
        <v>2031</v>
      </c>
      <c r="Q231" s="162">
        <v>1999.580303030306</v>
      </c>
      <c r="R231" s="162">
        <v>1949</v>
      </c>
      <c r="S231" s="162">
        <v>1914.6666666666665</v>
      </c>
      <c r="T231" s="163">
        <v>1845</v>
      </c>
      <c r="U231" s="163">
        <v>1735</v>
      </c>
      <c r="V231" s="163">
        <v>1652</v>
      </c>
      <c r="W231" s="255">
        <v>1630</v>
      </c>
    </row>
    <row r="232" spans="3:23" ht="12" customHeight="1">
      <c r="C232" s="15" t="str">
        <f>VLOOKUP(169,Textbausteine!$M$2:$Q$345,Hilfsgrössen!$D$2,FALSE)</f>
        <v>Exploitation et entretien, service domestique</v>
      </c>
      <c r="D232" s="18" t="str">
        <f>VLOOKUP(35,Textbausteine!$M$2:$Q$345,Hilfsgrössen!$D$2,FALSE)</f>
        <v>Personnes</v>
      </c>
      <c r="E232" s="293" t="s">
        <v>2560</v>
      </c>
      <c r="F232" s="11" t="s">
        <v>703</v>
      </c>
      <c r="G232" s="49"/>
      <c r="H232" s="177" t="s">
        <v>1470</v>
      </c>
      <c r="I232" s="177" t="s">
        <v>1470</v>
      </c>
      <c r="J232" s="177" t="s">
        <v>1470</v>
      </c>
      <c r="K232" s="177" t="s">
        <v>1470</v>
      </c>
      <c r="L232" s="177" t="s">
        <v>1470</v>
      </c>
      <c r="M232" s="177" t="s">
        <v>1470</v>
      </c>
      <c r="N232" s="162">
        <v>1917.9166666666667</v>
      </c>
      <c r="O232" s="162">
        <v>1655.0833333333335</v>
      </c>
      <c r="P232" s="162">
        <v>1613</v>
      </c>
      <c r="Q232" s="162">
        <v>1597.46666666667</v>
      </c>
      <c r="R232" s="162">
        <v>1588</v>
      </c>
      <c r="S232" s="162">
        <v>1537.75</v>
      </c>
      <c r="T232" s="163">
        <v>1481</v>
      </c>
      <c r="U232" s="163">
        <v>1392</v>
      </c>
      <c r="V232" s="163">
        <v>1315</v>
      </c>
      <c r="W232" s="255">
        <v>1286</v>
      </c>
    </row>
    <row r="233" spans="3:23" ht="12" customHeight="1">
      <c r="C233" s="15" t="str">
        <f>VLOOKUP(170,Textbausteine!$M$2:$Q$345,Hilfsgrössen!$D$2,FALSE)</f>
        <v>Autres</v>
      </c>
      <c r="D233" s="18" t="str">
        <f>VLOOKUP(35,Textbausteine!$M$2:$Q$345,Hilfsgrössen!$D$2,FALSE)</f>
        <v>Personnes</v>
      </c>
      <c r="E233" s="293" t="s">
        <v>2560</v>
      </c>
      <c r="F233" s="311" t="s">
        <v>703</v>
      </c>
      <c r="G233" s="49"/>
      <c r="H233" s="177" t="s">
        <v>1470</v>
      </c>
      <c r="I233" s="177" t="s">
        <v>1470</v>
      </c>
      <c r="J233" s="177" t="s">
        <v>1470</v>
      </c>
      <c r="K233" s="177" t="s">
        <v>1470</v>
      </c>
      <c r="L233" s="177" t="s">
        <v>1470</v>
      </c>
      <c r="M233" s="177" t="s">
        <v>1470</v>
      </c>
      <c r="N233" s="162">
        <v>438.83333333333337</v>
      </c>
      <c r="O233" s="162">
        <v>425.83333333333337</v>
      </c>
      <c r="P233" s="162">
        <v>418</v>
      </c>
      <c r="Q233" s="162">
        <v>403</v>
      </c>
      <c r="R233" s="162">
        <v>361</v>
      </c>
      <c r="S233" s="162">
        <v>376.91666666666663</v>
      </c>
      <c r="T233" s="163">
        <v>363</v>
      </c>
      <c r="U233" s="163">
        <v>343</v>
      </c>
      <c r="V233" s="163">
        <v>337</v>
      </c>
      <c r="W233" s="255">
        <v>344</v>
      </c>
    </row>
    <row r="234" spans="3:23" ht="12" customHeight="1">
      <c r="C234" s="9" t="str">
        <f>VLOOKUP(171,Textbausteine!$M$2:$Q$345,Hilfsgrössen!$D$2,FALSE)</f>
        <v>Fonctions de gestion et fonctions Groupe</v>
      </c>
      <c r="D234" s="18" t="str">
        <f>VLOOKUP(35,Textbausteine!$M$2:$Q$345,Hilfsgrössen!$D$2,FALSE)</f>
        <v>Personnes</v>
      </c>
      <c r="E234" s="293" t="s">
        <v>2560</v>
      </c>
      <c r="F234" s="311" t="s">
        <v>703</v>
      </c>
      <c r="G234" s="51"/>
      <c r="H234" s="177" t="s">
        <v>1470</v>
      </c>
      <c r="I234" s="177" t="s">
        <v>1470</v>
      </c>
      <c r="J234" s="177" t="s">
        <v>1470</v>
      </c>
      <c r="K234" s="177" t="s">
        <v>1470</v>
      </c>
      <c r="L234" s="177" t="s">
        <v>1470</v>
      </c>
      <c r="M234" s="177" t="s">
        <v>1470</v>
      </c>
      <c r="N234" s="162">
        <v>2563</v>
      </c>
      <c r="O234" s="162">
        <v>2560</v>
      </c>
      <c r="P234" s="162">
        <v>2606</v>
      </c>
      <c r="Q234" s="162">
        <v>2581.3333333333335</v>
      </c>
      <c r="R234" s="162">
        <v>2623</v>
      </c>
      <c r="S234" s="162">
        <v>2757.8333333333335</v>
      </c>
      <c r="T234" s="163">
        <v>2974</v>
      </c>
      <c r="U234" s="163">
        <v>2803</v>
      </c>
      <c r="V234" s="163">
        <v>2750</v>
      </c>
      <c r="W234" s="255">
        <v>2764</v>
      </c>
    </row>
    <row r="235" spans="3:23" ht="12" customHeight="1">
      <c r="C235" s="9" t="str">
        <f>VLOOKUP(172,Textbausteine!$M$2:$Q$345,Hilfsgrössen!$D$2,FALSE)</f>
        <v>Autres fonctions</v>
      </c>
      <c r="D235" s="18" t="str">
        <f>VLOOKUP(35,Textbausteine!$M$2:$Q$345,Hilfsgrössen!$D$2,FALSE)</f>
        <v>Personnes</v>
      </c>
      <c r="E235" s="293" t="s">
        <v>2560</v>
      </c>
      <c r="F235" s="311" t="s">
        <v>703</v>
      </c>
      <c r="G235" s="51"/>
      <c r="H235" s="177" t="s">
        <v>1470</v>
      </c>
      <c r="I235" s="177" t="s">
        <v>1470</v>
      </c>
      <c r="J235" s="177" t="s">
        <v>1470</v>
      </c>
      <c r="K235" s="177" t="s">
        <v>1470</v>
      </c>
      <c r="L235" s="177" t="s">
        <v>1470</v>
      </c>
      <c r="M235" s="177" t="s">
        <v>1470</v>
      </c>
      <c r="N235" s="162">
        <v>402</v>
      </c>
      <c r="O235" s="162">
        <v>488</v>
      </c>
      <c r="P235" s="162">
        <v>463</v>
      </c>
      <c r="Q235" s="162">
        <v>299.4166666666667</v>
      </c>
      <c r="R235" s="162">
        <v>250</v>
      </c>
      <c r="S235" s="162">
        <v>256.8333333333333</v>
      </c>
      <c r="T235" s="163">
        <v>286</v>
      </c>
      <c r="U235" s="163">
        <v>312</v>
      </c>
      <c r="V235" s="163">
        <v>362</v>
      </c>
      <c r="W235" s="255">
        <v>387</v>
      </c>
    </row>
    <row r="236" spans="5:7" ht="12" customHeight="1">
      <c r="E236" s="294"/>
      <c r="F236" s="42"/>
      <c r="G236" s="51"/>
    </row>
    <row r="237" spans="2:7" ht="12" customHeight="1">
      <c r="B237" s="26" t="str">
        <f>VLOOKUP(288,Textbausteine!$M$2:$Q$345,Hilfsgrössen!$D$2,FALSE)</f>
        <v>1) Sans les apprentis</v>
      </c>
      <c r="E237" s="294"/>
      <c r="F237" s="42"/>
      <c r="G237" s="52"/>
    </row>
    <row r="238" spans="2:7" ht="12" customHeight="1">
      <c r="B238" s="26" t="str">
        <f>VLOOKUP(289,Textbausteine!$M$2:$Q$345,Hilfsgrössen!$D$2,FALSE)</f>
        <v>2) Une unité de personnel correspond à un poste à plein temps.</v>
      </c>
      <c r="E238" s="295"/>
      <c r="F238" s="43"/>
      <c r="G238" s="52"/>
    </row>
    <row r="239" spans="1:87" s="9" customFormat="1" ht="12" customHeight="1">
      <c r="A239" s="452"/>
      <c r="B239" s="26" t="str">
        <f>VLOOKUP(290,Textbausteine!$M$2:$Q$345,Hilfsgrössen!$D$2,FALSE)</f>
        <v>3) Valeurs annuelles moyennes</v>
      </c>
      <c r="E239" s="288"/>
      <c r="F239" s="11"/>
      <c r="G239" s="53"/>
      <c r="H239" s="107"/>
      <c r="I239" s="107"/>
      <c r="J239" s="107"/>
      <c r="K239" s="107"/>
      <c r="L239" s="107"/>
      <c r="M239" s="107"/>
      <c r="N239" s="107"/>
      <c r="O239" s="107"/>
      <c r="P239" s="107"/>
      <c r="Q239" s="107"/>
      <c r="R239" s="107"/>
      <c r="S239" s="107"/>
      <c r="T239" s="20"/>
      <c r="U239" s="20"/>
      <c r="V239" s="20"/>
      <c r="W239" s="20"/>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c r="CF239" s="11"/>
      <c r="CG239" s="11"/>
      <c r="CH239" s="11"/>
      <c r="CI239" s="11"/>
    </row>
    <row r="240" ht="12" customHeight="1">
      <c r="B240" s="26" t="str">
        <f>VLOOKUP(291,Textbausteine!$M$2:$Q$345,Hilfsgrössen!$D$2,FALSE)</f>
        <v>4) Dans le segment PostMail, le calcul de l’effectif moyen en équivalents plein temps (hors apprentis) de deux filiales a été remanié, ce qui a entraîné l’ajustement de la valeur de 2018. Dans le segment CarPostal, la valeur de 2018 a été ajustée suite à la classification du groupe CarPostal France comme groupe sortant détenu en vue de la vente et activité abandonnée.</v>
      </c>
    </row>
    <row r="241" ht="12" customHeight="1">
      <c r="B241" s="26" t="str">
        <f>VLOOKUP(292,Textbausteine!$M$2:$Q$345,Hilfsgrössen!$D$2,FALSE)</f>
        <v>5) Groupe Suisse: données provenant du système du personnel; actuellement sans les données de 1000 unités de personnel ou 6113 personnes des sociétés du groupe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et notime Schweiz AG.</v>
      </c>
    </row>
    <row r="242" ht="12" customHeight="1">
      <c r="B242" s="26" t="str">
        <f>VLOOKUP(293,Textbausteine!$M$2:$Q$345,Hilfsgrössen!$D$2,FALSE)</f>
        <v>6) Données exploitables à partir de 2010.</v>
      </c>
    </row>
    <row r="243" spans="3:23" ht="12" customHeight="1">
      <c r="C243" s="15"/>
      <c r="E243" s="291"/>
      <c r="F243" s="44"/>
      <c r="H243" s="162"/>
      <c r="I243" s="162"/>
      <c r="J243" s="162"/>
      <c r="K243" s="162"/>
      <c r="L243" s="162"/>
      <c r="M243" s="162"/>
      <c r="N243" s="20"/>
      <c r="O243" s="20"/>
      <c r="P243" s="107"/>
      <c r="Q243" s="163"/>
      <c r="R243" s="162"/>
      <c r="S243" s="162"/>
      <c r="T243" s="163"/>
      <c r="U243" s="163"/>
      <c r="V243" s="163"/>
      <c r="W243" s="163"/>
    </row>
    <row r="244" spans="3:23" ht="12" customHeight="1">
      <c r="C244" s="15"/>
      <c r="H244" s="162"/>
      <c r="I244" s="162"/>
      <c r="J244" s="162"/>
      <c r="K244" s="162"/>
      <c r="L244" s="162"/>
      <c r="M244" s="162"/>
      <c r="N244" s="20"/>
      <c r="O244" s="20"/>
      <c r="P244" s="107"/>
      <c r="Q244" s="163"/>
      <c r="R244" s="162"/>
      <c r="S244" s="162"/>
      <c r="T244" s="163"/>
      <c r="U244" s="163"/>
      <c r="V244" s="163"/>
      <c r="W244" s="163"/>
    </row>
    <row r="245" spans="1:87" s="152" customFormat="1" ht="12" customHeight="1">
      <c r="A245" s="62" t="s">
        <v>807</v>
      </c>
      <c r="B245" s="479" t="str">
        <f>$C$13</f>
        <v>Répartition des sexes</v>
      </c>
      <c r="C245" s="479"/>
      <c r="D245" s="59" t="str">
        <f>VLOOKUP(32,Textbausteine!$A$2:$E$67,Hilfsgrössen!$D$2,FALSE)</f>
        <v>Unité</v>
      </c>
      <c r="E245" s="289" t="str">
        <f>VLOOKUP(33,Textbausteine!$A$2:$E$67,Hilfsgrössen!$D$2,FALSE)</f>
        <v>Notes</v>
      </c>
      <c r="F245" s="40" t="str">
        <f>VLOOKUP(34,Textbausteine!$A$2:$E$67,Hilfsgrössen!$D$2,FALSE)</f>
        <v>GRI</v>
      </c>
      <c r="G245" s="48"/>
      <c r="H245" s="160">
        <v>2004</v>
      </c>
      <c r="I245" s="160">
        <v>2005</v>
      </c>
      <c r="J245" s="160">
        <v>2006</v>
      </c>
      <c r="K245" s="160">
        <v>2007</v>
      </c>
      <c r="L245" s="160">
        <v>2008</v>
      </c>
      <c r="M245" s="160">
        <v>2009</v>
      </c>
      <c r="N245" s="160">
        <v>2010</v>
      </c>
      <c r="O245" s="160">
        <v>2011</v>
      </c>
      <c r="P245" s="160">
        <v>2012</v>
      </c>
      <c r="Q245" s="160">
        <v>2013</v>
      </c>
      <c r="R245" s="160">
        <v>2014</v>
      </c>
      <c r="S245" s="160">
        <v>2015</v>
      </c>
      <c r="T245" s="120">
        <v>2016</v>
      </c>
      <c r="U245" s="120">
        <v>2017</v>
      </c>
      <c r="V245" s="120">
        <v>2018</v>
      </c>
      <c r="W245" s="250">
        <v>2019</v>
      </c>
      <c r="X245" s="113"/>
      <c r="Y245" s="113"/>
      <c r="Z245" s="113"/>
      <c r="AA245" s="113"/>
      <c r="AB245" s="113"/>
      <c r="AC245" s="113"/>
      <c r="AD245" s="113"/>
      <c r="AE245" s="113"/>
      <c r="AF245" s="113"/>
      <c r="AG245" s="113"/>
      <c r="AH245" s="113"/>
      <c r="AI245" s="113"/>
      <c r="AJ245" s="113"/>
      <c r="AK245" s="113"/>
      <c r="AL245" s="113"/>
      <c r="AM245" s="113"/>
      <c r="AN245" s="113"/>
      <c r="AO245" s="113"/>
      <c r="AP245" s="113"/>
      <c r="AQ245" s="113"/>
      <c r="AR245" s="113"/>
      <c r="AS245" s="113"/>
      <c r="AT245" s="113"/>
      <c r="AU245" s="113"/>
      <c r="AV245" s="113"/>
      <c r="AW245" s="113"/>
      <c r="AX245" s="113"/>
      <c r="AY245" s="113"/>
      <c r="AZ245" s="113"/>
      <c r="BA245" s="113"/>
      <c r="BB245" s="113"/>
      <c r="BC245" s="113"/>
      <c r="BD245" s="113"/>
      <c r="BE245" s="113"/>
      <c r="BF245" s="113"/>
      <c r="BG245" s="113"/>
      <c r="BH245" s="113"/>
      <c r="BI245" s="113"/>
      <c r="BJ245" s="113"/>
      <c r="BK245" s="113"/>
      <c r="BL245" s="113"/>
      <c r="BM245" s="113"/>
      <c r="BN245" s="113"/>
      <c r="BO245" s="113"/>
      <c r="BP245" s="113"/>
      <c r="BQ245" s="113"/>
      <c r="BR245" s="113"/>
      <c r="BS245" s="113"/>
      <c r="BT245" s="113"/>
      <c r="BU245" s="113"/>
      <c r="BV245" s="113"/>
      <c r="BW245" s="113"/>
      <c r="BX245" s="113"/>
      <c r="BY245" s="113"/>
      <c r="BZ245" s="113"/>
      <c r="CA245" s="113"/>
      <c r="CB245" s="113"/>
      <c r="CC245" s="113"/>
      <c r="CD245" s="113"/>
      <c r="CE245" s="113"/>
      <c r="CF245" s="113"/>
      <c r="CG245" s="113"/>
      <c r="CH245" s="113"/>
      <c r="CI245" s="113"/>
    </row>
    <row r="246" spans="1:87" s="61" customFormat="1" ht="12" customHeight="1">
      <c r="A246" s="82"/>
      <c r="B246" s="479"/>
      <c r="C246" s="479"/>
      <c r="D246" s="60"/>
      <c r="E246" s="285"/>
      <c r="F246" s="39"/>
      <c r="G246" s="49"/>
      <c r="H246" s="161"/>
      <c r="I246" s="161"/>
      <c r="J246" s="161"/>
      <c r="K246" s="161"/>
      <c r="L246" s="161"/>
      <c r="M246" s="161"/>
      <c r="N246" s="161"/>
      <c r="O246" s="161"/>
      <c r="P246" s="161"/>
      <c r="Q246" s="161"/>
      <c r="R246" s="161"/>
      <c r="S246" s="161"/>
      <c r="T246" s="119"/>
      <c r="U246" s="119"/>
      <c r="V246" s="119"/>
      <c r="W246" s="251"/>
      <c r="X246" s="114"/>
      <c r="Y246" s="114"/>
      <c r="Z246" s="114"/>
      <c r="AA246" s="114"/>
      <c r="AB246" s="114"/>
      <c r="AC246" s="114"/>
      <c r="AD246" s="114"/>
      <c r="AE246" s="114"/>
      <c r="AF246" s="114"/>
      <c r="AG246" s="114"/>
      <c r="AH246" s="114"/>
      <c r="AI246" s="114"/>
      <c r="AJ246" s="114"/>
      <c r="AK246" s="114"/>
      <c r="AL246" s="114"/>
      <c r="AM246" s="114"/>
      <c r="AN246" s="114"/>
      <c r="AO246" s="114"/>
      <c r="AP246" s="114"/>
      <c r="AQ246" s="114"/>
      <c r="AR246" s="114"/>
      <c r="AS246" s="114"/>
      <c r="AT246" s="114"/>
      <c r="AU246" s="114"/>
      <c r="AV246" s="114"/>
      <c r="AW246" s="114"/>
      <c r="AX246" s="114"/>
      <c r="AY246" s="114"/>
      <c r="AZ246" s="114"/>
      <c r="BA246" s="114"/>
      <c r="BB246" s="114"/>
      <c r="BC246" s="114"/>
      <c r="BD246" s="114"/>
      <c r="BE246" s="114"/>
      <c r="BF246" s="114"/>
      <c r="BG246" s="114"/>
      <c r="BH246" s="114"/>
      <c r="BI246" s="114"/>
      <c r="BJ246" s="114"/>
      <c r="BK246" s="114"/>
      <c r="BL246" s="114"/>
      <c r="BM246" s="114"/>
      <c r="BN246" s="114"/>
      <c r="BO246" s="114"/>
      <c r="BP246" s="114"/>
      <c r="BQ246" s="114"/>
      <c r="BR246" s="114"/>
      <c r="BS246" s="114"/>
      <c r="BT246" s="114"/>
      <c r="BU246" s="114"/>
      <c r="BV246" s="114"/>
      <c r="BW246" s="114"/>
      <c r="BX246" s="114"/>
      <c r="BY246" s="114"/>
      <c r="BZ246" s="114"/>
      <c r="CA246" s="114"/>
      <c r="CB246" s="114"/>
      <c r="CC246" s="114"/>
      <c r="CD246" s="114"/>
      <c r="CE246" s="114"/>
      <c r="CF246" s="114"/>
      <c r="CG246" s="114"/>
      <c r="CH246" s="114"/>
      <c r="CI246" s="114"/>
    </row>
    <row r="247" spans="2:23" ht="12" customHeight="1">
      <c r="B247" s="8"/>
      <c r="D247" s="9"/>
      <c r="E247" s="290"/>
      <c r="F247" s="11"/>
      <c r="G247" s="46"/>
      <c r="W247" s="252"/>
    </row>
    <row r="248" spans="2:23" ht="12" customHeight="1">
      <c r="B248" s="8" t="str">
        <f>VLOOKUP(37,Textbausteine!$A$2:$E$67,Hilfsgrössen!$D$2,FALSE)</f>
        <v>Groupe Suisse</v>
      </c>
      <c r="C248" s="8"/>
      <c r="D248" s="67"/>
      <c r="E248" s="290"/>
      <c r="F248" s="11"/>
      <c r="T248" s="107"/>
      <c r="U248" s="107"/>
      <c r="V248" s="107"/>
      <c r="W248" s="253"/>
    </row>
    <row r="249" spans="3:23" ht="12" customHeight="1">
      <c r="C249" s="68" t="str">
        <f>VLOOKUP(181,Textbausteine!$M$2:$Q$345,Hilfsgrössen!$D$2,FALSE)</f>
        <v>Hommes</v>
      </c>
      <c r="D249" s="18" t="str">
        <f>VLOOKUP(37,Textbausteine!$M$2:$Q$345,Hilfsgrössen!$D$2,FALSE)</f>
        <v>% des personnes</v>
      </c>
      <c r="E249" s="290" t="s">
        <v>77</v>
      </c>
      <c r="F249" s="11" t="s">
        <v>703</v>
      </c>
      <c r="H249" s="20">
        <v>51.7</v>
      </c>
      <c r="I249" s="20">
        <v>51.4</v>
      </c>
      <c r="J249" s="20">
        <v>51.3</v>
      </c>
      <c r="K249" s="20">
        <v>51.1</v>
      </c>
      <c r="L249" s="20">
        <v>51.5</v>
      </c>
      <c r="M249" s="20">
        <v>51.5</v>
      </c>
      <c r="N249" s="20">
        <v>52.1</v>
      </c>
      <c r="O249" s="100">
        <v>52.3</v>
      </c>
      <c r="P249" s="100">
        <v>51.6</v>
      </c>
      <c r="Q249" s="100">
        <v>51.5</v>
      </c>
      <c r="R249" s="100">
        <v>51.3</v>
      </c>
      <c r="S249" s="100">
        <v>51.5516156345187</v>
      </c>
      <c r="T249" s="107">
        <v>51.9</v>
      </c>
      <c r="U249" s="107">
        <v>52.5</v>
      </c>
      <c r="V249" s="107">
        <v>53.74</v>
      </c>
      <c r="W249" s="253">
        <v>55</v>
      </c>
    </row>
    <row r="250" spans="3:23" ht="12" customHeight="1">
      <c r="C250" s="73" t="str">
        <f>VLOOKUP(182,Textbausteine!$M$2:$Q$345,Hilfsgrössen!$D$2,FALSE)</f>
        <v>Femmes</v>
      </c>
      <c r="D250" s="18" t="str">
        <f>VLOOKUP(37,Textbausteine!$M$2:$Q$345,Hilfsgrössen!$D$2,FALSE)</f>
        <v>% des personnes</v>
      </c>
      <c r="E250" s="290" t="s">
        <v>77</v>
      </c>
      <c r="F250" s="11" t="s">
        <v>703</v>
      </c>
      <c r="H250" s="20">
        <v>48.3</v>
      </c>
      <c r="I250" s="20">
        <v>48.6</v>
      </c>
      <c r="J250" s="20">
        <v>48.7</v>
      </c>
      <c r="K250" s="20">
        <v>48.9</v>
      </c>
      <c r="L250" s="20">
        <v>48.5</v>
      </c>
      <c r="M250" s="20">
        <v>48.5</v>
      </c>
      <c r="N250" s="20">
        <v>47.9</v>
      </c>
      <c r="O250" s="100">
        <v>47.7</v>
      </c>
      <c r="P250" s="100">
        <v>48.4</v>
      </c>
      <c r="Q250" s="100">
        <v>48.5</v>
      </c>
      <c r="R250" s="100">
        <v>48.7</v>
      </c>
      <c r="S250" s="100">
        <v>48.4483843654813</v>
      </c>
      <c r="T250" s="107">
        <v>48.1</v>
      </c>
      <c r="U250" s="107">
        <v>47.5</v>
      </c>
      <c r="V250" s="107">
        <v>46.26</v>
      </c>
      <c r="W250" s="253">
        <v>45</v>
      </c>
    </row>
    <row r="251" spans="3:23" ht="12" customHeight="1">
      <c r="C251" s="68" t="str">
        <f>VLOOKUP(181,Textbausteine!$M$2:$Q$345,Hilfsgrössen!$D$2,FALSE)</f>
        <v>Hommes</v>
      </c>
      <c r="D251" s="18" t="str">
        <f>VLOOKUP(36,Textbausteine!$M$2:$Q$345,Hilfsgrössen!$D$2,FALSE)</f>
        <v>% des unités de personnel</v>
      </c>
      <c r="E251" s="291" t="s">
        <v>1612</v>
      </c>
      <c r="F251" s="11" t="s">
        <v>703</v>
      </c>
      <c r="H251" s="20">
        <v>63.3</v>
      </c>
      <c r="I251" s="20">
        <v>63.1</v>
      </c>
      <c r="J251" s="20">
        <v>62.9</v>
      </c>
      <c r="K251" s="20">
        <v>62.6</v>
      </c>
      <c r="L251" s="20">
        <v>62.2</v>
      </c>
      <c r="M251" s="20">
        <v>61.7</v>
      </c>
      <c r="N251" s="20">
        <v>61.2</v>
      </c>
      <c r="O251" s="100">
        <v>60.8</v>
      </c>
      <c r="P251" s="100">
        <v>60.1</v>
      </c>
      <c r="Q251" s="100">
        <v>59.9</v>
      </c>
      <c r="R251" s="100">
        <v>59.8</v>
      </c>
      <c r="S251" s="100">
        <v>59.8198018422605</v>
      </c>
      <c r="T251" s="107">
        <v>60.1</v>
      </c>
      <c r="U251" s="107">
        <v>60.7</v>
      </c>
      <c r="V251" s="107">
        <v>61.54</v>
      </c>
      <c r="W251" s="253">
        <v>62.6</v>
      </c>
    </row>
    <row r="252" spans="3:23" ht="12" customHeight="1">
      <c r="C252" s="73" t="str">
        <f>VLOOKUP(182,Textbausteine!$M$2:$Q$345,Hilfsgrössen!$D$2,FALSE)</f>
        <v>Femmes</v>
      </c>
      <c r="D252" s="18" t="str">
        <f>VLOOKUP(36,Textbausteine!$M$2:$Q$345,Hilfsgrössen!$D$2,FALSE)</f>
        <v>% des unités de personnel</v>
      </c>
      <c r="E252" s="291" t="s">
        <v>1612</v>
      </c>
      <c r="F252" s="11" t="s">
        <v>703</v>
      </c>
      <c r="H252" s="20">
        <v>36.7</v>
      </c>
      <c r="I252" s="20">
        <v>36.9</v>
      </c>
      <c r="J252" s="20">
        <v>37.1</v>
      </c>
      <c r="K252" s="20">
        <v>37.4</v>
      </c>
      <c r="L252" s="20">
        <v>37.8</v>
      </c>
      <c r="M252" s="20">
        <v>38.3</v>
      </c>
      <c r="N252" s="20">
        <v>38.8</v>
      </c>
      <c r="O252" s="100">
        <v>39.2</v>
      </c>
      <c r="P252" s="100">
        <v>39.9</v>
      </c>
      <c r="Q252" s="100">
        <v>40.1</v>
      </c>
      <c r="R252" s="100">
        <v>40.2</v>
      </c>
      <c r="S252" s="100">
        <v>40.1801981577396</v>
      </c>
      <c r="T252" s="107">
        <v>39.9</v>
      </c>
      <c r="U252" s="107">
        <v>39.3</v>
      </c>
      <c r="V252" s="107">
        <v>38.46</v>
      </c>
      <c r="W252" s="253">
        <v>37.4</v>
      </c>
    </row>
    <row r="253" spans="3:23" ht="12" customHeight="1">
      <c r="C253" s="15"/>
      <c r="E253" s="291"/>
      <c r="F253" s="44"/>
      <c r="H253" s="162"/>
      <c r="I253" s="162"/>
      <c r="J253" s="162"/>
      <c r="K253" s="162"/>
      <c r="L253" s="162"/>
      <c r="M253" s="162"/>
      <c r="N253" s="20"/>
      <c r="O253" s="20"/>
      <c r="P253" s="107"/>
      <c r="Q253" s="163"/>
      <c r="R253" s="162"/>
      <c r="S253" s="162"/>
      <c r="T253" s="163"/>
      <c r="U253" s="163"/>
      <c r="V253" s="163"/>
      <c r="W253" s="163"/>
    </row>
    <row r="254" spans="2:23" ht="12" customHeight="1">
      <c r="B254" s="1" t="str">
        <f>VLOOKUP(298,Textbausteine!$M$2:$Q$345,Hilfsgrössen!$D$2,FALSE)</f>
        <v>1) Sans les apprentis</v>
      </c>
      <c r="C254" s="15"/>
      <c r="E254" s="291"/>
      <c r="F254" s="44"/>
      <c r="H254" s="162"/>
      <c r="I254" s="162"/>
      <c r="J254" s="162"/>
      <c r="K254" s="162"/>
      <c r="L254" s="162"/>
      <c r="M254" s="162"/>
      <c r="N254" s="20"/>
      <c r="O254" s="20"/>
      <c r="P254" s="107"/>
      <c r="Q254" s="163"/>
      <c r="R254" s="162"/>
      <c r="S254" s="162"/>
      <c r="T254" s="163"/>
      <c r="U254" s="163"/>
      <c r="V254" s="163"/>
      <c r="W254" s="163"/>
    </row>
    <row r="255" spans="2:23" ht="12" customHeight="1">
      <c r="B255" s="1" t="str">
        <f>VLOOKUP(299,Textbausteine!$M$2:$Q$345,Hilfsgrössen!$D$2,FALSE)</f>
        <v>2) Valeurs annuelles moyennes</v>
      </c>
      <c r="C255" s="15"/>
      <c r="E255" s="291"/>
      <c r="F255" s="44"/>
      <c r="H255" s="162"/>
      <c r="I255" s="162"/>
      <c r="J255" s="162"/>
      <c r="K255" s="162"/>
      <c r="L255" s="162"/>
      <c r="M255" s="162"/>
      <c r="N255" s="20"/>
      <c r="O255" s="20"/>
      <c r="P255" s="107"/>
      <c r="Q255" s="163"/>
      <c r="R255" s="162"/>
      <c r="S255" s="162"/>
      <c r="T255" s="163"/>
      <c r="U255" s="163"/>
      <c r="V255" s="163"/>
      <c r="W255" s="163"/>
    </row>
    <row r="256" spans="2:23" ht="12" customHeight="1">
      <c r="B256" s="1" t="str">
        <f>VLOOKUP(300,Textbausteine!$M$2:$Q$345,Hilfsgrössen!$D$2,FALSE)</f>
        <v>3) Une unité de personnel correspond à un poste à plein temps.</v>
      </c>
      <c r="C256" s="15"/>
      <c r="E256" s="291"/>
      <c r="F256" s="44"/>
      <c r="H256" s="162"/>
      <c r="I256" s="162"/>
      <c r="J256" s="162"/>
      <c r="K256" s="162"/>
      <c r="L256" s="162"/>
      <c r="M256" s="162"/>
      <c r="N256" s="20"/>
      <c r="O256" s="20"/>
      <c r="P256" s="107"/>
      <c r="Q256" s="163"/>
      <c r="R256" s="162"/>
      <c r="S256" s="162"/>
      <c r="T256" s="163"/>
      <c r="U256" s="163"/>
      <c r="V256" s="163"/>
      <c r="W256" s="163"/>
    </row>
    <row r="257" spans="3:23" ht="12" customHeight="1">
      <c r="C257" s="15"/>
      <c r="H257" s="162"/>
      <c r="I257" s="162"/>
      <c r="J257" s="162"/>
      <c r="K257" s="162"/>
      <c r="L257" s="162"/>
      <c r="M257" s="162"/>
      <c r="N257" s="20"/>
      <c r="O257" s="20"/>
      <c r="P257" s="107"/>
      <c r="Q257" s="163"/>
      <c r="R257" s="162"/>
      <c r="S257" s="162"/>
      <c r="T257" s="163"/>
      <c r="U257" s="163"/>
      <c r="V257" s="163"/>
      <c r="W257" s="163"/>
    </row>
    <row r="258" spans="3:23" ht="12" customHeight="1">
      <c r="C258" s="15"/>
      <c r="H258" s="162"/>
      <c r="I258" s="162"/>
      <c r="J258" s="162"/>
      <c r="K258" s="162"/>
      <c r="L258" s="162"/>
      <c r="M258" s="162"/>
      <c r="N258" s="20"/>
      <c r="O258" s="20"/>
      <c r="P258" s="107"/>
      <c r="Q258" s="163"/>
      <c r="R258" s="162"/>
      <c r="S258" s="162"/>
      <c r="T258" s="163"/>
      <c r="U258" s="163"/>
      <c r="V258" s="163"/>
      <c r="W258" s="163"/>
    </row>
    <row r="259" spans="1:87" s="61" customFormat="1" ht="12" customHeight="1">
      <c r="A259" s="62" t="s">
        <v>807</v>
      </c>
      <c r="B259" s="483" t="str">
        <f>$C$14</f>
        <v>Temps partiel</v>
      </c>
      <c r="C259" s="483" t="str">
        <f>VLOOKUP(53,Textbausteine!$M$2:$Q$345,Hilfsgrössen!$D$2,FALSE)</f>
        <v>Part au total du bilan</v>
      </c>
      <c r="D259" s="59" t="str">
        <f>VLOOKUP(32,Textbausteine!$A$2:$E$67,Hilfsgrössen!$D$2,FALSE)</f>
        <v>Unité</v>
      </c>
      <c r="E259" s="289" t="str">
        <f>VLOOKUP(33,Textbausteine!$A$2:$E$67,Hilfsgrössen!$D$2,FALSE)</f>
        <v>Notes</v>
      </c>
      <c r="F259" s="40" t="str">
        <f>VLOOKUP(34,Textbausteine!$A$2:$E$67,Hilfsgrössen!$D$2,FALSE)</f>
        <v>GRI</v>
      </c>
      <c r="G259" s="47"/>
      <c r="H259" s="160">
        <v>2004</v>
      </c>
      <c r="I259" s="160">
        <v>2005</v>
      </c>
      <c r="J259" s="160">
        <v>2006</v>
      </c>
      <c r="K259" s="160">
        <v>2007</v>
      </c>
      <c r="L259" s="160">
        <v>2008</v>
      </c>
      <c r="M259" s="160">
        <v>2009</v>
      </c>
      <c r="N259" s="160">
        <v>2010</v>
      </c>
      <c r="O259" s="160">
        <v>2011</v>
      </c>
      <c r="P259" s="160">
        <v>2012</v>
      </c>
      <c r="Q259" s="160">
        <v>2013</v>
      </c>
      <c r="R259" s="160">
        <v>2014</v>
      </c>
      <c r="S259" s="160">
        <v>2015</v>
      </c>
      <c r="T259" s="120">
        <v>2016</v>
      </c>
      <c r="U259" s="120">
        <v>2017</v>
      </c>
      <c r="V259" s="120">
        <v>2018</v>
      </c>
      <c r="W259" s="250">
        <v>2019</v>
      </c>
      <c r="X259" s="114"/>
      <c r="Y259" s="114"/>
      <c r="Z259" s="114"/>
      <c r="AA259" s="114"/>
      <c r="AB259" s="114"/>
      <c r="AC259" s="114"/>
      <c r="AD259" s="114"/>
      <c r="AE259" s="114"/>
      <c r="AF259" s="114"/>
      <c r="AG259" s="114"/>
      <c r="AH259" s="114"/>
      <c r="AI259" s="114"/>
      <c r="AJ259" s="114"/>
      <c r="AK259" s="114"/>
      <c r="AL259" s="114"/>
      <c r="AM259" s="114"/>
      <c r="AN259" s="114"/>
      <c r="AO259" s="114"/>
      <c r="AP259" s="114"/>
      <c r="AQ259" s="114"/>
      <c r="AR259" s="114"/>
      <c r="AS259" s="114"/>
      <c r="AT259" s="114"/>
      <c r="AU259" s="114"/>
      <c r="AV259" s="114"/>
      <c r="AW259" s="114"/>
      <c r="AX259" s="114"/>
      <c r="AY259" s="114"/>
      <c r="AZ259" s="114"/>
      <c r="BA259" s="114"/>
      <c r="BB259" s="114"/>
      <c r="BC259" s="114"/>
      <c r="BD259" s="114"/>
      <c r="BE259" s="114"/>
      <c r="BF259" s="114"/>
      <c r="BG259" s="114"/>
      <c r="BH259" s="114"/>
      <c r="BI259" s="114"/>
      <c r="BJ259" s="114"/>
      <c r="BK259" s="114"/>
      <c r="BL259" s="114"/>
      <c r="BM259" s="114"/>
      <c r="BN259" s="114"/>
      <c r="BO259" s="114"/>
      <c r="BP259" s="114"/>
      <c r="BQ259" s="114"/>
      <c r="BR259" s="114"/>
      <c r="BS259" s="114"/>
      <c r="BT259" s="114"/>
      <c r="BU259" s="114"/>
      <c r="BV259" s="114"/>
      <c r="BW259" s="114"/>
      <c r="BX259" s="114"/>
      <c r="BY259" s="114"/>
      <c r="BZ259" s="114"/>
      <c r="CA259" s="114"/>
      <c r="CB259" s="114"/>
      <c r="CC259" s="114"/>
      <c r="CD259" s="114"/>
      <c r="CE259" s="114"/>
      <c r="CF259" s="114"/>
      <c r="CG259" s="114"/>
      <c r="CH259" s="114"/>
      <c r="CI259" s="114"/>
    </row>
    <row r="260" spans="1:87" s="61" customFormat="1" ht="12" customHeight="1">
      <c r="A260" s="82"/>
      <c r="B260" s="483" t="str">
        <f>VLOOKUP(53,Textbausteine!$M$2:$Q$345,Hilfsgrössen!$D$2,FALSE)</f>
        <v>Part au total du bilan</v>
      </c>
      <c r="C260" s="483" t="str">
        <f>VLOOKUP(53,Textbausteine!$M$2:$Q$345,Hilfsgrössen!$D$2,FALSE)</f>
        <v>Part au total du bilan</v>
      </c>
      <c r="D260" s="59"/>
      <c r="E260" s="286"/>
      <c r="F260" s="37"/>
      <c r="G260" s="47"/>
      <c r="H260" s="160"/>
      <c r="I260" s="160"/>
      <c r="J260" s="160"/>
      <c r="K260" s="160"/>
      <c r="L260" s="160"/>
      <c r="M260" s="160"/>
      <c r="N260" s="160"/>
      <c r="O260" s="160"/>
      <c r="P260" s="160"/>
      <c r="Q260" s="160"/>
      <c r="R260" s="160"/>
      <c r="S260" s="160"/>
      <c r="T260" s="120"/>
      <c r="U260" s="120"/>
      <c r="V260" s="120"/>
      <c r="W260" s="250"/>
      <c r="X260" s="114"/>
      <c r="Y260" s="114"/>
      <c r="Z260" s="114"/>
      <c r="AA260" s="114"/>
      <c r="AB260" s="114"/>
      <c r="AC260" s="114"/>
      <c r="AD260" s="114"/>
      <c r="AE260" s="114"/>
      <c r="AF260" s="114"/>
      <c r="AG260" s="114"/>
      <c r="AH260" s="114"/>
      <c r="AI260" s="114"/>
      <c r="AJ260" s="114"/>
      <c r="AK260" s="114"/>
      <c r="AL260" s="114"/>
      <c r="AM260" s="114"/>
      <c r="AN260" s="114"/>
      <c r="AO260" s="114"/>
      <c r="AP260" s="114"/>
      <c r="AQ260" s="114"/>
      <c r="AR260" s="114"/>
      <c r="AS260" s="114"/>
      <c r="AT260" s="114"/>
      <c r="AU260" s="114"/>
      <c r="AV260" s="114"/>
      <c r="AW260" s="114"/>
      <c r="AX260" s="114"/>
      <c r="AY260" s="114"/>
      <c r="AZ260" s="114"/>
      <c r="BA260" s="114"/>
      <c r="BB260" s="114"/>
      <c r="BC260" s="114"/>
      <c r="BD260" s="114"/>
      <c r="BE260" s="114"/>
      <c r="BF260" s="114"/>
      <c r="BG260" s="114"/>
      <c r="BH260" s="114"/>
      <c r="BI260" s="114"/>
      <c r="BJ260" s="114"/>
      <c r="BK260" s="114"/>
      <c r="BL260" s="114"/>
      <c r="BM260" s="114"/>
      <c r="BN260" s="114"/>
      <c r="BO260" s="114"/>
      <c r="BP260" s="114"/>
      <c r="BQ260" s="114"/>
      <c r="BR260" s="114"/>
      <c r="BS260" s="114"/>
      <c r="BT260" s="114"/>
      <c r="BU260" s="114"/>
      <c r="BV260" s="114"/>
      <c r="BW260" s="114"/>
      <c r="BX260" s="114"/>
      <c r="BY260" s="114"/>
      <c r="BZ260" s="114"/>
      <c r="CA260" s="114"/>
      <c r="CB260" s="114"/>
      <c r="CC260" s="114"/>
      <c r="CD260" s="114"/>
      <c r="CE260" s="114"/>
      <c r="CF260" s="114"/>
      <c r="CG260" s="114"/>
      <c r="CH260" s="114"/>
      <c r="CI260" s="114"/>
    </row>
    <row r="261" spans="3:23" ht="12" customHeight="1">
      <c r="C261" s="8"/>
      <c r="D261" s="8"/>
      <c r="W261" s="252"/>
    </row>
    <row r="262" spans="2:23" ht="12" customHeight="1">
      <c r="B262" s="8" t="str">
        <f>VLOOKUP(37,Textbausteine!$A$2:$E$67,Hilfsgrössen!$D$2,FALSE)</f>
        <v>Groupe Suisse</v>
      </c>
      <c r="C262" s="8"/>
      <c r="D262" s="8"/>
      <c r="W262" s="252"/>
    </row>
    <row r="263" spans="3:23" ht="12" customHeight="1">
      <c r="C263" s="8" t="str">
        <f>VLOOKUP(191,Textbausteine!$M$2:$Q$345,Hilfsgrössen!$D$2,FALSE)</f>
        <v>Taux d'occupation</v>
      </c>
      <c r="D263" s="67"/>
      <c r="W263" s="252"/>
    </row>
    <row r="264" spans="3:23" ht="12" customHeight="1">
      <c r="C264" s="77" t="str">
        <f>VLOOKUP(192,Textbausteine!$M$2:$Q$345,Hilfsgrössen!$D$2,FALSE)</f>
        <v>Taux d'occupation inférieur à 50%, total</v>
      </c>
      <c r="D264" s="67" t="str">
        <f>VLOOKUP(21,Textbausteine!$M$2:$Q$345,Hilfsgrössen!$D$2,FALSE)</f>
        <v>%</v>
      </c>
      <c r="E264" s="286" t="s">
        <v>1612</v>
      </c>
      <c r="F264" s="37" t="s">
        <v>703</v>
      </c>
      <c r="H264" s="175">
        <v>23.5</v>
      </c>
      <c r="I264" s="180">
        <v>23.8</v>
      </c>
      <c r="J264" s="180">
        <v>23.4</v>
      </c>
      <c r="K264" s="180">
        <v>23.3</v>
      </c>
      <c r="L264" s="175">
        <v>22.8</v>
      </c>
      <c r="M264" s="175">
        <v>20.9</v>
      </c>
      <c r="N264" s="100">
        <v>26.4</v>
      </c>
      <c r="O264" s="100">
        <v>26.2</v>
      </c>
      <c r="P264" s="100">
        <v>25.4</v>
      </c>
      <c r="Q264" s="100">
        <v>25.2</v>
      </c>
      <c r="R264" s="100">
        <v>24.5</v>
      </c>
      <c r="S264" s="100">
        <v>24</v>
      </c>
      <c r="T264" s="107">
        <v>23.4</v>
      </c>
      <c r="U264" s="107">
        <v>23</v>
      </c>
      <c r="V264" s="107">
        <v>22</v>
      </c>
      <c r="W264" s="253">
        <v>20.7</v>
      </c>
    </row>
    <row r="265" spans="3:23" ht="12" customHeight="1">
      <c r="C265" s="77" t="str">
        <f>VLOOKUP(193,Textbausteine!$M$2:$Q$345,Hilfsgrössen!$D$2,FALSE)</f>
        <v>Taux d'occupation entre 50% et 89%, total</v>
      </c>
      <c r="D265" s="67" t="str">
        <f>VLOOKUP(21,Textbausteine!$M$2:$Q$345,Hilfsgrössen!$D$2,FALSE)</f>
        <v>%</v>
      </c>
      <c r="E265" s="286" t="s">
        <v>1612</v>
      </c>
      <c r="F265" s="37" t="s">
        <v>703</v>
      </c>
      <c r="H265" s="175">
        <v>18.1</v>
      </c>
      <c r="I265" s="180">
        <v>18.9</v>
      </c>
      <c r="J265" s="180">
        <v>19.9</v>
      </c>
      <c r="K265" s="180">
        <v>20.6</v>
      </c>
      <c r="L265" s="175">
        <v>21.5</v>
      </c>
      <c r="M265" s="175">
        <v>22.9</v>
      </c>
      <c r="N265" s="100">
        <v>21.6</v>
      </c>
      <c r="O265" s="100">
        <v>22.4</v>
      </c>
      <c r="P265" s="100">
        <v>23.2</v>
      </c>
      <c r="Q265" s="100">
        <v>23.9</v>
      </c>
      <c r="R265" s="100">
        <v>24.5</v>
      </c>
      <c r="S265" s="100">
        <v>24.8</v>
      </c>
      <c r="T265" s="107">
        <v>25.3</v>
      </c>
      <c r="U265" s="107">
        <v>25.6</v>
      </c>
      <c r="V265" s="107">
        <v>25.6</v>
      </c>
      <c r="W265" s="253">
        <v>26</v>
      </c>
    </row>
    <row r="266" spans="3:23" ht="12" customHeight="1">
      <c r="C266" s="77" t="str">
        <f>VLOOKUP(194,Textbausteine!$M$2:$Q$345,Hilfsgrössen!$D$2,FALSE)</f>
        <v>Taux d'occupation égal ou supérieur à 90% (plein temps), total</v>
      </c>
      <c r="D266" s="67" t="str">
        <f>VLOOKUP(21,Textbausteine!$M$2:$Q$345,Hilfsgrössen!$D$2,FALSE)</f>
        <v>%</v>
      </c>
      <c r="E266" s="286" t="s">
        <v>1612</v>
      </c>
      <c r="F266" s="37" t="s">
        <v>703</v>
      </c>
      <c r="H266" s="175">
        <v>58.4</v>
      </c>
      <c r="I266" s="175">
        <v>57.3</v>
      </c>
      <c r="J266" s="175">
        <v>56.7</v>
      </c>
      <c r="K266" s="175">
        <v>56.099999999999994</v>
      </c>
      <c r="L266" s="175">
        <v>55.7</v>
      </c>
      <c r="M266" s="175">
        <v>56.2</v>
      </c>
      <c r="N266" s="100">
        <v>52</v>
      </c>
      <c r="O266" s="100">
        <v>51.4</v>
      </c>
      <c r="P266" s="100">
        <v>51.4</v>
      </c>
      <c r="Q266" s="100">
        <v>50.9</v>
      </c>
      <c r="R266" s="100">
        <v>50.9</v>
      </c>
      <c r="S266" s="100">
        <v>51.2</v>
      </c>
      <c r="T266" s="107">
        <v>51.2</v>
      </c>
      <c r="U266" s="107">
        <v>51.4</v>
      </c>
      <c r="V266" s="107">
        <v>52.4</v>
      </c>
      <c r="W266" s="253">
        <v>53.3</v>
      </c>
    </row>
    <row r="267" spans="3:23" ht="12" customHeight="1">
      <c r="C267" s="67"/>
      <c r="D267" s="67"/>
      <c r="H267" s="180"/>
      <c r="I267" s="180"/>
      <c r="J267" s="180"/>
      <c r="K267" s="180"/>
      <c r="L267" s="175"/>
      <c r="M267" s="175"/>
      <c r="T267" s="107"/>
      <c r="U267" s="107"/>
      <c r="V267" s="107"/>
      <c r="W267" s="253"/>
    </row>
    <row r="268" spans="3:23" ht="12" customHeight="1">
      <c r="C268" s="8" t="str">
        <f>VLOOKUP(195,Textbausteine!$M$2:$Q$345,Hilfsgrössen!$D$2,FALSE)</f>
        <v>Taux d'occupation des hommes</v>
      </c>
      <c r="D268" s="67"/>
      <c r="F268" s="37" t="s">
        <v>703</v>
      </c>
      <c r="H268" s="180"/>
      <c r="I268" s="180"/>
      <c r="J268" s="180"/>
      <c r="K268" s="180"/>
      <c r="L268" s="175"/>
      <c r="M268" s="175"/>
      <c r="T268" s="107"/>
      <c r="U268" s="107"/>
      <c r="V268" s="107"/>
      <c r="W268" s="253"/>
    </row>
    <row r="269" spans="3:23" ht="12" customHeight="1">
      <c r="C269" s="77" t="str">
        <f>VLOOKUP(196,Textbausteine!$M$2:$Q$345,Hilfsgrössen!$D$2,FALSE)</f>
        <v>Taux d'occupation inférieur à 50%, hommes</v>
      </c>
      <c r="D269" s="67" t="str">
        <f>VLOOKUP(21,Textbausteine!$M$2:$Q$345,Hilfsgrössen!$D$2,FALSE)</f>
        <v>%</v>
      </c>
      <c r="E269" s="286" t="s">
        <v>1612</v>
      </c>
      <c r="F269" s="37" t="s">
        <v>703</v>
      </c>
      <c r="H269" s="222">
        <v>6.6</v>
      </c>
      <c r="I269" s="241">
        <v>6.9</v>
      </c>
      <c r="J269" s="241">
        <v>6.6</v>
      </c>
      <c r="K269" s="241">
        <v>6.8</v>
      </c>
      <c r="L269" s="222">
        <v>7.7</v>
      </c>
      <c r="M269" s="222">
        <v>7.2</v>
      </c>
      <c r="N269" s="100">
        <v>15.2</v>
      </c>
      <c r="O269" s="100">
        <v>16.3</v>
      </c>
      <c r="P269" s="100">
        <v>16.3</v>
      </c>
      <c r="Q269" s="100">
        <v>16.7</v>
      </c>
      <c r="R269" s="100">
        <v>16.5</v>
      </c>
      <c r="S269" s="100">
        <v>16.5</v>
      </c>
      <c r="T269" s="107">
        <v>16.3</v>
      </c>
      <c r="U269" s="107">
        <v>15.9</v>
      </c>
      <c r="V269" s="107">
        <v>15.4</v>
      </c>
      <c r="W269" s="253">
        <v>14.5</v>
      </c>
    </row>
    <row r="270" spans="3:23" ht="12" customHeight="1">
      <c r="C270" s="77" t="str">
        <f>VLOOKUP(197,Textbausteine!$M$2:$Q$345,Hilfsgrössen!$D$2,FALSE)</f>
        <v>Taux d'occupation entre 50% et 89%, hommes</v>
      </c>
      <c r="D270" s="67" t="str">
        <f>VLOOKUP(21,Textbausteine!$M$2:$Q$345,Hilfsgrössen!$D$2,FALSE)</f>
        <v>%</v>
      </c>
      <c r="E270" s="286" t="s">
        <v>1612</v>
      </c>
      <c r="F270" s="37" t="s">
        <v>703</v>
      </c>
      <c r="H270" s="222">
        <v>7.1</v>
      </c>
      <c r="I270" s="241">
        <v>7.6</v>
      </c>
      <c r="J270" s="241">
        <v>8.2</v>
      </c>
      <c r="K270" s="241">
        <v>9</v>
      </c>
      <c r="L270" s="222">
        <v>9.8</v>
      </c>
      <c r="M270" s="222">
        <v>10.1</v>
      </c>
      <c r="N270" s="115">
        <v>9.3</v>
      </c>
      <c r="O270" s="115">
        <v>9.8</v>
      </c>
      <c r="P270" s="100">
        <v>10.3</v>
      </c>
      <c r="Q270" s="100">
        <v>10.8</v>
      </c>
      <c r="R270" s="100">
        <v>11.4</v>
      </c>
      <c r="S270" s="100">
        <v>11.3</v>
      </c>
      <c r="T270" s="107">
        <v>11.7</v>
      </c>
      <c r="U270" s="107">
        <v>12</v>
      </c>
      <c r="V270" s="107">
        <v>12.2</v>
      </c>
      <c r="W270" s="253">
        <v>12.7</v>
      </c>
    </row>
    <row r="271" spans="3:23" ht="12" customHeight="1">
      <c r="C271" s="77" t="str">
        <f>VLOOKUP(198,Textbausteine!$M$2:$Q$345,Hilfsgrössen!$D$2,FALSE)</f>
        <v>Taux d'occupation égal ou supérieur à 90% (plein temps), hommes</v>
      </c>
      <c r="D271" s="67" t="str">
        <f>VLOOKUP(21,Textbausteine!$M$2:$Q$345,Hilfsgrössen!$D$2,FALSE)</f>
        <v>%</v>
      </c>
      <c r="E271" s="286" t="s">
        <v>1612</v>
      </c>
      <c r="F271" s="37" t="s">
        <v>703</v>
      </c>
      <c r="H271" s="175">
        <v>86.3</v>
      </c>
      <c r="I271" s="175">
        <v>85.5</v>
      </c>
      <c r="J271" s="175">
        <v>85.2</v>
      </c>
      <c r="K271" s="175">
        <v>84.2</v>
      </c>
      <c r="L271" s="175">
        <v>82.5</v>
      </c>
      <c r="M271" s="175">
        <v>82.7</v>
      </c>
      <c r="N271" s="100">
        <v>75.5</v>
      </c>
      <c r="O271" s="100">
        <v>73.9</v>
      </c>
      <c r="P271" s="100">
        <v>73.4</v>
      </c>
      <c r="Q271" s="100">
        <v>72.5</v>
      </c>
      <c r="R271" s="100">
        <v>72.1</v>
      </c>
      <c r="S271" s="100">
        <v>72.2</v>
      </c>
      <c r="T271" s="107">
        <v>72</v>
      </c>
      <c r="U271" s="107">
        <v>72</v>
      </c>
      <c r="V271" s="107">
        <v>72.4</v>
      </c>
      <c r="W271" s="253">
        <v>72.8</v>
      </c>
    </row>
    <row r="272" spans="3:23" ht="12" customHeight="1">
      <c r="C272" s="67"/>
      <c r="D272" s="67"/>
      <c r="H272" s="180"/>
      <c r="I272" s="180"/>
      <c r="J272" s="180"/>
      <c r="K272" s="180"/>
      <c r="L272" s="175"/>
      <c r="M272" s="175"/>
      <c r="T272" s="107"/>
      <c r="U272" s="107"/>
      <c r="V272" s="107"/>
      <c r="W272" s="253"/>
    </row>
    <row r="273" spans="3:23" ht="12" customHeight="1">
      <c r="C273" s="8" t="str">
        <f>VLOOKUP(199,Textbausteine!$M$2:$Q$345,Hilfsgrössen!$D$2,FALSE)</f>
        <v>Taux d'occupation des femmes</v>
      </c>
      <c r="D273" s="67"/>
      <c r="F273" s="37" t="s">
        <v>703</v>
      </c>
      <c r="G273" s="49"/>
      <c r="H273" s="180"/>
      <c r="I273" s="180"/>
      <c r="J273" s="180"/>
      <c r="K273" s="180"/>
      <c r="L273" s="175"/>
      <c r="M273" s="175"/>
      <c r="T273" s="107"/>
      <c r="U273" s="107"/>
      <c r="V273" s="107"/>
      <c r="W273" s="253"/>
    </row>
    <row r="274" spans="3:23" ht="12" customHeight="1">
      <c r="C274" s="77" t="str">
        <f>VLOOKUP(200,Textbausteine!$M$2:$Q$345,Hilfsgrössen!$D$2,FALSE)</f>
        <v>Taux d'occupation inférieur à 50%, femmes</v>
      </c>
      <c r="D274" s="67" t="str">
        <f>VLOOKUP(21,Textbausteine!$M$2:$Q$345,Hilfsgrössen!$D$2,FALSE)</f>
        <v>%</v>
      </c>
      <c r="E274" s="286" t="s">
        <v>1612</v>
      </c>
      <c r="F274" s="37" t="s">
        <v>703</v>
      </c>
      <c r="G274" s="49"/>
      <c r="H274" s="175">
        <v>41.6</v>
      </c>
      <c r="I274" s="180">
        <v>41.7</v>
      </c>
      <c r="J274" s="180">
        <v>41.1</v>
      </c>
      <c r="K274" s="180">
        <v>40.6</v>
      </c>
      <c r="L274" s="175">
        <v>38.7</v>
      </c>
      <c r="M274" s="175">
        <v>35.5</v>
      </c>
      <c r="N274" s="100">
        <v>38.4</v>
      </c>
      <c r="O274" s="100">
        <v>37.1</v>
      </c>
      <c r="P274" s="100">
        <v>35.6</v>
      </c>
      <c r="Q274" s="100">
        <v>34.6</v>
      </c>
      <c r="R274" s="100">
        <v>33.5</v>
      </c>
      <c r="S274" s="100">
        <v>32.4</v>
      </c>
      <c r="T274" s="107">
        <v>31.6</v>
      </c>
      <c r="U274" s="107">
        <v>31.3</v>
      </c>
      <c r="V274" s="107">
        <v>30.2</v>
      </c>
      <c r="W274" s="253">
        <v>28.6</v>
      </c>
    </row>
    <row r="275" spans="3:23" ht="12" customHeight="1">
      <c r="C275" s="77" t="str">
        <f>VLOOKUP(201,Textbausteine!$M$2:$Q$345,Hilfsgrössen!$D$2,FALSE)</f>
        <v>Taux d'occupation entre 50% et 89%, femmes</v>
      </c>
      <c r="D275" s="67" t="str">
        <f>VLOOKUP(21,Textbausteine!$M$2:$Q$345,Hilfsgrössen!$D$2,FALSE)</f>
        <v>%</v>
      </c>
      <c r="E275" s="286" t="s">
        <v>1612</v>
      </c>
      <c r="F275" s="37" t="s">
        <v>703</v>
      </c>
      <c r="G275" s="49"/>
      <c r="H275" s="175">
        <v>30</v>
      </c>
      <c r="I275" s="180">
        <v>30.8</v>
      </c>
      <c r="J275" s="180">
        <v>32.1</v>
      </c>
      <c r="K275" s="180">
        <v>32.7</v>
      </c>
      <c r="L275" s="175">
        <v>33.9</v>
      </c>
      <c r="M275" s="175">
        <v>36.5</v>
      </c>
      <c r="N275" s="100">
        <v>35.1</v>
      </c>
      <c r="O275" s="100">
        <v>36.1</v>
      </c>
      <c r="P275" s="100">
        <v>37.4</v>
      </c>
      <c r="Q275" s="100">
        <v>38.4</v>
      </c>
      <c r="R275" s="100">
        <v>39.3</v>
      </c>
      <c r="S275" s="100">
        <v>40</v>
      </c>
      <c r="T275" s="107">
        <v>41</v>
      </c>
      <c r="U275" s="107">
        <v>41.6</v>
      </c>
      <c r="V275" s="107">
        <v>42.1</v>
      </c>
      <c r="W275" s="253">
        <v>42.94</v>
      </c>
    </row>
    <row r="276" spans="3:23" ht="12" customHeight="1">
      <c r="C276" s="77" t="str">
        <f>VLOOKUP(202,Textbausteine!$M$2:$Q$345,Hilfsgrössen!$D$2,FALSE)</f>
        <v>Taux d'occupation égal ou supérieur à 90% (plein temps), femmes</v>
      </c>
      <c r="D276" s="67" t="str">
        <f>VLOOKUP(21,Textbausteine!$M$2:$Q$345,Hilfsgrössen!$D$2,FALSE)</f>
        <v>%</v>
      </c>
      <c r="E276" s="286" t="s">
        <v>1612</v>
      </c>
      <c r="F276" s="37" t="s">
        <v>703</v>
      </c>
      <c r="G276" s="49"/>
      <c r="H276" s="175">
        <v>28.400000000000006</v>
      </c>
      <c r="I276" s="175">
        <v>27.5</v>
      </c>
      <c r="J276" s="175">
        <v>26.799999999999997</v>
      </c>
      <c r="K276" s="175">
        <v>26.69999999999999</v>
      </c>
      <c r="L276" s="175">
        <v>27.400000000000006</v>
      </c>
      <c r="M276" s="175">
        <v>28</v>
      </c>
      <c r="N276" s="100">
        <v>26.5</v>
      </c>
      <c r="O276" s="100">
        <v>26.8</v>
      </c>
      <c r="P276" s="100">
        <v>27</v>
      </c>
      <c r="Q276" s="100">
        <v>27</v>
      </c>
      <c r="R276" s="100">
        <v>27.2</v>
      </c>
      <c r="S276" s="100">
        <v>27.6</v>
      </c>
      <c r="T276" s="107">
        <v>27.4</v>
      </c>
      <c r="U276" s="107">
        <v>27.1</v>
      </c>
      <c r="V276" s="107">
        <v>27.7</v>
      </c>
      <c r="W276" s="253">
        <v>28.4</v>
      </c>
    </row>
    <row r="277" spans="3:23" ht="12" customHeight="1">
      <c r="C277" s="67"/>
      <c r="D277" s="67"/>
      <c r="G277" s="49"/>
      <c r="H277" s="180"/>
      <c r="I277" s="180"/>
      <c r="J277" s="180"/>
      <c r="K277" s="180"/>
      <c r="L277" s="175"/>
      <c r="M277" s="175"/>
      <c r="T277" s="107"/>
      <c r="U277" s="107"/>
      <c r="V277" s="107"/>
      <c r="W277" s="253"/>
    </row>
    <row r="278" spans="3:23" ht="12" customHeight="1">
      <c r="C278" s="8" t="str">
        <f>VLOOKUP(203,Textbausteine!$M$2:$Q$345,Hilfsgrössen!$D$2,FALSE)</f>
        <v>Taux d'occupation des cadres</v>
      </c>
      <c r="D278" s="67"/>
      <c r="E278" s="100"/>
      <c r="F278" s="37" t="s">
        <v>703</v>
      </c>
      <c r="G278" s="49"/>
      <c r="H278" s="180"/>
      <c r="I278" s="180"/>
      <c r="J278" s="180"/>
      <c r="K278" s="180"/>
      <c r="L278" s="175"/>
      <c r="M278" s="180"/>
      <c r="T278" s="107"/>
      <c r="U278" s="107"/>
      <c r="V278" s="107"/>
      <c r="W278" s="253"/>
    </row>
    <row r="279" spans="3:23" ht="12" customHeight="1">
      <c r="C279" s="77" t="str">
        <f>VLOOKUP(204,Textbausteine!$M$2:$Q$345,Hilfsgrössen!$D$2,FALSE)</f>
        <v>Taux d'occupation inférieur à 90% (temps partiel), cadres</v>
      </c>
      <c r="D279" s="67" t="str">
        <f>VLOOKUP(21,Textbausteine!$M$2:$Q$345,Hilfsgrössen!$D$2,FALSE)</f>
        <v>%</v>
      </c>
      <c r="E279" s="100" t="s">
        <v>2566</v>
      </c>
      <c r="F279" s="37" t="s">
        <v>703</v>
      </c>
      <c r="G279" s="49"/>
      <c r="H279" s="181" t="s">
        <v>1470</v>
      </c>
      <c r="I279" s="181" t="s">
        <v>1470</v>
      </c>
      <c r="J279" s="181" t="s">
        <v>1470</v>
      </c>
      <c r="K279" s="181" t="s">
        <v>1470</v>
      </c>
      <c r="L279" s="392">
        <v>7.4321837240937825</v>
      </c>
      <c r="M279" s="392">
        <v>7.904012806501762</v>
      </c>
      <c r="N279" s="390">
        <v>7.550042842247617</v>
      </c>
      <c r="O279" s="390">
        <v>7.8</v>
      </c>
      <c r="P279" s="390">
        <v>7.6</v>
      </c>
      <c r="Q279" s="390">
        <v>7.8</v>
      </c>
      <c r="R279" s="390">
        <v>8.4</v>
      </c>
      <c r="S279" s="390">
        <v>8.7</v>
      </c>
      <c r="T279" s="107">
        <v>11.9</v>
      </c>
      <c r="U279" s="107">
        <v>12.4</v>
      </c>
      <c r="V279" s="107">
        <v>12.2</v>
      </c>
      <c r="W279" s="253">
        <v>12.8</v>
      </c>
    </row>
    <row r="280" spans="3:23" ht="12" customHeight="1">
      <c r="C280" s="77" t="str">
        <f>VLOOKUP(205,Textbausteine!$M$2:$Q$345,Hilfsgrössen!$D$2,FALSE)</f>
        <v>Taux d'occupation inférieur à 90% (temps partiel), cadres, hommes</v>
      </c>
      <c r="D280" s="67" t="str">
        <f>VLOOKUP(21,Textbausteine!$M$2:$Q$345,Hilfsgrössen!$D$2,FALSE)</f>
        <v>%</v>
      </c>
      <c r="E280" s="100" t="s">
        <v>2566</v>
      </c>
      <c r="F280" s="37" t="s">
        <v>703</v>
      </c>
      <c r="H280" s="181" t="s">
        <v>1470</v>
      </c>
      <c r="I280" s="181" t="s">
        <v>1470</v>
      </c>
      <c r="J280" s="181" t="s">
        <v>1470</v>
      </c>
      <c r="K280" s="181" t="s">
        <v>1470</v>
      </c>
      <c r="L280" s="392">
        <v>3.7338018888644844</v>
      </c>
      <c r="M280" s="392">
        <v>3.774499350561231</v>
      </c>
      <c r="N280" s="390">
        <v>3.207984141626268</v>
      </c>
      <c r="O280" s="390">
        <v>3.275366108786611</v>
      </c>
      <c r="P280" s="390">
        <v>3.6</v>
      </c>
      <c r="Q280" s="390">
        <v>3.6</v>
      </c>
      <c r="R280" s="390">
        <v>3.7</v>
      </c>
      <c r="S280" s="390">
        <v>3.8</v>
      </c>
      <c r="T280" s="367">
        <v>5.8</v>
      </c>
      <c r="U280" s="367">
        <v>6.4</v>
      </c>
      <c r="V280" s="367">
        <v>6.6</v>
      </c>
      <c r="W280" s="396">
        <v>7.2</v>
      </c>
    </row>
    <row r="281" spans="3:23" ht="12" customHeight="1">
      <c r="C281" s="77" t="str">
        <f>VLOOKUP(206,Textbausteine!$M$2:$Q$345,Hilfsgrössen!$D$2,FALSE)</f>
        <v>Taux d'occupation inférieur à 90% (temps partiel), cadres, femmes</v>
      </c>
      <c r="D281" s="67" t="str">
        <f>VLOOKUP(21,Textbausteine!$M$2:$Q$345,Hilfsgrössen!$D$2,FALSE)</f>
        <v>%</v>
      </c>
      <c r="E281" s="100" t="s">
        <v>2566</v>
      </c>
      <c r="F281" s="37" t="s">
        <v>703</v>
      </c>
      <c r="H281" s="181" t="s">
        <v>1470</v>
      </c>
      <c r="I281" s="181" t="s">
        <v>1470</v>
      </c>
      <c r="J281" s="181" t="s">
        <v>1470</v>
      </c>
      <c r="K281" s="181" t="s">
        <v>1470</v>
      </c>
      <c r="L281" s="175">
        <v>22.319591803677003</v>
      </c>
      <c r="M281" s="175">
        <v>23.55229687266198</v>
      </c>
      <c r="N281" s="100">
        <v>23.28856624319419</v>
      </c>
      <c r="O281" s="100">
        <v>23.5</v>
      </c>
      <c r="P281" s="100">
        <v>22.1</v>
      </c>
      <c r="Q281" s="100">
        <v>22.2</v>
      </c>
      <c r="R281" s="100">
        <v>24.6</v>
      </c>
      <c r="S281" s="100">
        <v>25.3</v>
      </c>
      <c r="T281" s="107">
        <v>31.9</v>
      </c>
      <c r="U281" s="107">
        <v>32.1</v>
      </c>
      <c r="V281" s="107">
        <v>31</v>
      </c>
      <c r="W281" s="253">
        <v>31.2</v>
      </c>
    </row>
    <row r="283" ht="12" customHeight="1">
      <c r="B283" s="26" t="str">
        <f>VLOOKUP(308,Textbausteine!$M$2:$Q$345,Hilfsgrössen!$D$2,FALSE)</f>
        <v>1) Sans les apprentis</v>
      </c>
    </row>
    <row r="284" ht="12" customHeight="1">
      <c r="B284" s="26" t="str">
        <f>VLOOKUP(309,Textbausteine!$M$2:$Q$345,Hilfsgrössen!$D$2,FALSE)</f>
        <v>2) Groupe Suisse: données provenant du système du personnel; actuellement sans les données de 1000 unités de personnel ou 6113 personnes des sociétés du groupe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et notime Schweiz AG.</v>
      </c>
    </row>
    <row r="285" ht="12" customHeight="1">
      <c r="B285" s="26" t="str">
        <f>VLOOKUP(310,Textbausteine!$M$2:$Q$345,Hilfsgrössen!$D$2,FALSE)</f>
        <v>3) Valeurs annuelles moyennes</v>
      </c>
    </row>
    <row r="286" spans="2:7" ht="12" customHeight="1">
      <c r="B286" s="26" t="str">
        <f>VLOOKUP(311,Textbausteine!$M$2:$Q$345,Hilfsgrössen!$D$2,FALSE)</f>
        <v>4) Les cadres sont des collaborateurs qui exercent des fonctions de direction ou de spécialistes ou d'autres fonctions supérieures.</v>
      </c>
      <c r="G286" s="48"/>
    </row>
    <row r="287" ht="12" customHeight="1">
      <c r="G287" s="48"/>
    </row>
    <row r="288" ht="12" customHeight="1">
      <c r="G288" s="49"/>
    </row>
    <row r="289" spans="1:87" s="61" customFormat="1" ht="12" customHeight="1">
      <c r="A289" s="62" t="s">
        <v>807</v>
      </c>
      <c r="B289" s="484" t="str">
        <f>$C$15</f>
        <v>Rapports de travail</v>
      </c>
      <c r="C289" s="484"/>
      <c r="D289" s="59" t="str">
        <f>VLOOKUP(32,Textbausteine!$A$2:$E$67,Hilfsgrössen!$D$2,FALSE)</f>
        <v>Unité</v>
      </c>
      <c r="E289" s="289" t="str">
        <f>VLOOKUP(33,Textbausteine!$A$2:$E$67,Hilfsgrössen!$D$2,FALSE)</f>
        <v>Notes</v>
      </c>
      <c r="F289" s="40" t="str">
        <f>VLOOKUP(34,Textbausteine!$A$2:$E$67,Hilfsgrössen!$D$2,FALSE)</f>
        <v>GRI</v>
      </c>
      <c r="G289" s="46"/>
      <c r="H289" s="160">
        <v>2004</v>
      </c>
      <c r="I289" s="160">
        <v>2005</v>
      </c>
      <c r="J289" s="160">
        <v>2006</v>
      </c>
      <c r="K289" s="160">
        <v>2007</v>
      </c>
      <c r="L289" s="160">
        <v>2008</v>
      </c>
      <c r="M289" s="160">
        <v>2009</v>
      </c>
      <c r="N289" s="160">
        <v>2010</v>
      </c>
      <c r="O289" s="160">
        <v>2011</v>
      </c>
      <c r="P289" s="160">
        <v>2012</v>
      </c>
      <c r="Q289" s="160">
        <v>2013</v>
      </c>
      <c r="R289" s="160">
        <v>2014</v>
      </c>
      <c r="S289" s="160">
        <v>2015</v>
      </c>
      <c r="T289" s="120">
        <v>2016</v>
      </c>
      <c r="U289" s="120">
        <v>2017</v>
      </c>
      <c r="V289" s="120">
        <v>2018</v>
      </c>
      <c r="W289" s="250">
        <v>2019</v>
      </c>
      <c r="X289" s="114"/>
      <c r="Y289" s="114"/>
      <c r="Z289" s="114"/>
      <c r="AA289" s="114"/>
      <c r="AB289" s="114"/>
      <c r="AC289" s="114"/>
      <c r="AD289" s="114"/>
      <c r="AE289" s="114"/>
      <c r="AF289" s="114"/>
      <c r="AG289" s="114"/>
      <c r="AH289" s="114"/>
      <c r="AI289" s="114"/>
      <c r="AJ289" s="114"/>
      <c r="AK289" s="114"/>
      <c r="AL289" s="114"/>
      <c r="AM289" s="114"/>
      <c r="AN289" s="114"/>
      <c r="AO289" s="114"/>
      <c r="AP289" s="114"/>
      <c r="AQ289" s="114"/>
      <c r="AR289" s="114"/>
      <c r="AS289" s="114"/>
      <c r="AT289" s="114"/>
      <c r="AU289" s="114"/>
      <c r="AV289" s="114"/>
      <c r="AW289" s="114"/>
      <c r="AX289" s="114"/>
      <c r="AY289" s="114"/>
      <c r="AZ289" s="114"/>
      <c r="BA289" s="114"/>
      <c r="BB289" s="114"/>
      <c r="BC289" s="114"/>
      <c r="BD289" s="114"/>
      <c r="BE289" s="114"/>
      <c r="BF289" s="114"/>
      <c r="BG289" s="114"/>
      <c r="BH289" s="114"/>
      <c r="BI289" s="114"/>
      <c r="BJ289" s="114"/>
      <c r="BK289" s="114"/>
      <c r="BL289" s="114"/>
      <c r="BM289" s="114"/>
      <c r="BN289" s="114"/>
      <c r="BO289" s="114"/>
      <c r="BP289" s="114"/>
      <c r="BQ289" s="114"/>
      <c r="BR289" s="114"/>
      <c r="BS289" s="114"/>
      <c r="BT289" s="114"/>
      <c r="BU289" s="114"/>
      <c r="BV289" s="114"/>
      <c r="BW289" s="114"/>
      <c r="BX289" s="114"/>
      <c r="BY289" s="114"/>
      <c r="BZ289" s="114"/>
      <c r="CA289" s="114"/>
      <c r="CB289" s="114"/>
      <c r="CC289" s="114"/>
      <c r="CD289" s="114"/>
      <c r="CE289" s="114"/>
      <c r="CF289" s="114"/>
      <c r="CG289" s="114"/>
      <c r="CH289" s="114"/>
      <c r="CI289" s="114"/>
    </row>
    <row r="290" spans="1:87" s="61" customFormat="1" ht="12" customHeight="1">
      <c r="A290" s="82"/>
      <c r="B290" s="484"/>
      <c r="C290" s="484"/>
      <c r="D290" s="59"/>
      <c r="E290" s="286"/>
      <c r="F290" s="37"/>
      <c r="G290" s="49"/>
      <c r="H290" s="160"/>
      <c r="I290" s="160"/>
      <c r="J290" s="160"/>
      <c r="K290" s="160"/>
      <c r="L290" s="160"/>
      <c r="M290" s="160"/>
      <c r="N290" s="160"/>
      <c r="O290" s="160"/>
      <c r="P290" s="160"/>
      <c r="Q290" s="160"/>
      <c r="R290" s="160"/>
      <c r="S290" s="160"/>
      <c r="T290" s="120"/>
      <c r="U290" s="120"/>
      <c r="V290" s="120"/>
      <c r="W290" s="250"/>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4"/>
      <c r="AY290" s="114"/>
      <c r="AZ290" s="114"/>
      <c r="BA290" s="114"/>
      <c r="BB290" s="114"/>
      <c r="BC290" s="114"/>
      <c r="BD290" s="114"/>
      <c r="BE290" s="114"/>
      <c r="BF290" s="114"/>
      <c r="BG290" s="114"/>
      <c r="BH290" s="114"/>
      <c r="BI290" s="114"/>
      <c r="BJ290" s="114"/>
      <c r="BK290" s="114"/>
      <c r="BL290" s="114"/>
      <c r="BM290" s="114"/>
      <c r="BN290" s="114"/>
      <c r="BO290" s="114"/>
      <c r="BP290" s="114"/>
      <c r="BQ290" s="114"/>
      <c r="BR290" s="114"/>
      <c r="BS290" s="114"/>
      <c r="BT290" s="114"/>
      <c r="BU290" s="114"/>
      <c r="BV290" s="114"/>
      <c r="BW290" s="114"/>
      <c r="BX290" s="114"/>
      <c r="BY290" s="114"/>
      <c r="BZ290" s="114"/>
      <c r="CA290" s="114"/>
      <c r="CB290" s="114"/>
      <c r="CC290" s="114"/>
      <c r="CD290" s="114"/>
      <c r="CE290" s="114"/>
      <c r="CF290" s="114"/>
      <c r="CG290" s="114"/>
      <c r="CH290" s="114"/>
      <c r="CI290" s="114"/>
    </row>
    <row r="291" spans="3:23" ht="12" customHeight="1">
      <c r="C291" s="8"/>
      <c r="D291" s="9"/>
      <c r="G291" s="49"/>
      <c r="W291" s="252"/>
    </row>
    <row r="292" spans="2:23" ht="12" customHeight="1">
      <c r="B292" s="8" t="str">
        <f>VLOOKUP(37,Textbausteine!$A$2:$E$67,Hilfsgrössen!$D$2,FALSE)</f>
        <v>Groupe Suisse</v>
      </c>
      <c r="D292" s="8"/>
      <c r="E292" s="286" t="s">
        <v>77</v>
      </c>
      <c r="G292" s="49"/>
      <c r="H292" s="117"/>
      <c r="I292" s="117"/>
      <c r="J292" s="117"/>
      <c r="K292" s="117"/>
      <c r="L292" s="117"/>
      <c r="M292" s="117"/>
      <c r="N292" s="117"/>
      <c r="O292" s="117"/>
      <c r="P292" s="117"/>
      <c r="Q292" s="117"/>
      <c r="R292" s="117"/>
      <c r="S292" s="117"/>
      <c r="T292" s="117"/>
      <c r="U292" s="117"/>
      <c r="V292" s="117"/>
      <c r="W292" s="256"/>
    </row>
    <row r="293" spans="3:23" ht="12" customHeight="1">
      <c r="C293" s="18" t="str">
        <f>VLOOKUP(211,Textbausteine!$M$2:$Q$345,Hilfsgrössen!$D$2,FALSE)</f>
        <v>Loi sur le personnel de la Confédération</v>
      </c>
      <c r="D293" s="18"/>
      <c r="G293" s="49"/>
      <c r="T293" s="117"/>
      <c r="U293" s="117"/>
      <c r="V293" s="117"/>
      <c r="W293" s="256"/>
    </row>
    <row r="294" spans="3:23" ht="12" customHeight="1">
      <c r="C294" s="19" t="str">
        <f>VLOOKUP(212,Textbausteine!$M$2:$Q$345,Hilfsgrössen!$D$2,FALSE)</f>
        <v>CCT Poste</v>
      </c>
      <c r="D294" s="18" t="str">
        <f>VLOOKUP(36,Textbausteine!$M$2:$Q$345,Hilfsgrössen!$D$2,FALSE)</f>
        <v>% des unités de personnel</v>
      </c>
      <c r="E294" s="286" t="s">
        <v>2588</v>
      </c>
      <c r="F294" s="37" t="s">
        <v>715</v>
      </c>
      <c r="G294" s="54"/>
      <c r="H294" s="182">
        <v>88.9</v>
      </c>
      <c r="I294" s="182">
        <v>86.6</v>
      </c>
      <c r="J294" s="182">
        <v>80.6</v>
      </c>
      <c r="K294" s="182">
        <v>74.06614651660568</v>
      </c>
      <c r="L294" s="20">
        <v>71.2</v>
      </c>
      <c r="M294" s="20">
        <v>66.5</v>
      </c>
      <c r="N294" s="140">
        <v>65.4</v>
      </c>
      <c r="O294" s="100">
        <v>64.3</v>
      </c>
      <c r="P294" s="100">
        <v>62.7</v>
      </c>
      <c r="Q294" s="100">
        <v>62.8</v>
      </c>
      <c r="R294" s="100">
        <v>61.1</v>
      </c>
      <c r="S294" s="100">
        <v>61.5</v>
      </c>
      <c r="T294" s="140">
        <v>53.8</v>
      </c>
      <c r="U294" s="140">
        <v>53.2</v>
      </c>
      <c r="V294" s="140">
        <v>52.9</v>
      </c>
      <c r="W294" s="257">
        <v>53.7</v>
      </c>
    </row>
    <row r="295" spans="3:23" ht="12" customHeight="1">
      <c r="C295" s="18" t="str">
        <f>VLOOKUP(213,Textbausteine!$M$2:$Q$345,Hilfsgrössen!$D$2,FALSE)</f>
        <v>Code des obligations</v>
      </c>
      <c r="D295" s="18"/>
      <c r="G295" s="54"/>
      <c r="H295" s="182"/>
      <c r="I295" s="182"/>
      <c r="J295" s="182"/>
      <c r="K295" s="182"/>
      <c r="L295" s="20"/>
      <c r="M295" s="20"/>
      <c r="N295" s="166"/>
      <c r="T295" s="140"/>
      <c r="U295" s="140"/>
      <c r="V295" s="140"/>
      <c r="W295" s="257"/>
    </row>
    <row r="296" spans="3:23" ht="12" customHeight="1">
      <c r="C296" s="15" t="str">
        <f>VLOOKUP(214,Textbausteine!$M$2:$Q$345,Hilfsgrössen!$D$2,FALSE)</f>
        <v>CCT Auxiliaires</v>
      </c>
      <c r="D296" s="18" t="str">
        <f>VLOOKUP(36,Textbausteine!$M$2:$Q$345,Hilfsgrössen!$D$2,FALSE)</f>
        <v>% des unités de personnel</v>
      </c>
      <c r="E296" s="286" t="s">
        <v>2588</v>
      </c>
      <c r="F296" s="37" t="s">
        <v>715</v>
      </c>
      <c r="G296" s="54"/>
      <c r="H296" s="397">
        <v>2.1</v>
      </c>
      <c r="I296" s="397">
        <v>2.3</v>
      </c>
      <c r="J296" s="397">
        <v>1.9</v>
      </c>
      <c r="K296" s="397">
        <v>1.8550484476052385</v>
      </c>
      <c r="L296" s="389">
        <v>2.2</v>
      </c>
      <c r="M296" s="389">
        <v>1.5</v>
      </c>
      <c r="N296" s="398">
        <v>1.673</v>
      </c>
      <c r="O296" s="390">
        <v>2.9</v>
      </c>
      <c r="P296" s="390">
        <v>3.04</v>
      </c>
      <c r="Q296" s="390">
        <v>2.96435438158939</v>
      </c>
      <c r="R296" s="390">
        <v>2.7</v>
      </c>
      <c r="S296" s="390">
        <v>2.3</v>
      </c>
      <c r="T296" s="383">
        <v>0.4</v>
      </c>
      <c r="U296" s="383">
        <v>0.4</v>
      </c>
      <c r="V296" s="383">
        <v>0.39</v>
      </c>
      <c r="W296" s="399">
        <v>0.4</v>
      </c>
    </row>
    <row r="297" spans="3:23" ht="12" customHeight="1">
      <c r="C297" s="15" t="str">
        <f>VLOOKUP(215,Textbausteine!$M$2:$Q$345,Hilfsgrössen!$D$2,FALSE)</f>
        <v>CCT sociétés du groupe</v>
      </c>
      <c r="D297" s="18" t="str">
        <f>VLOOKUP(36,Textbausteine!$M$2:$Q$345,Hilfsgrössen!$D$2,FALSE)</f>
        <v>% des unités de personnel</v>
      </c>
      <c r="E297" s="286" t="s">
        <v>2589</v>
      </c>
      <c r="F297" s="37" t="s">
        <v>715</v>
      </c>
      <c r="H297" s="397">
        <v>0</v>
      </c>
      <c r="I297" s="397">
        <v>0.1</v>
      </c>
      <c r="J297" s="397">
        <v>1.8</v>
      </c>
      <c r="K297" s="397">
        <v>3.1715344426799232</v>
      </c>
      <c r="L297" s="389">
        <v>5.5</v>
      </c>
      <c r="M297" s="389">
        <v>7.3</v>
      </c>
      <c r="N297" s="390">
        <v>9.93</v>
      </c>
      <c r="O297" s="390">
        <v>10</v>
      </c>
      <c r="P297" s="390">
        <v>9.857</v>
      </c>
      <c r="Q297" s="390">
        <v>9.46107470808298</v>
      </c>
      <c r="R297" s="390">
        <v>10.7</v>
      </c>
      <c r="S297" s="390">
        <v>10.6</v>
      </c>
      <c r="T297" s="383">
        <v>17.1</v>
      </c>
      <c r="U297" s="383">
        <v>17.8</v>
      </c>
      <c r="V297" s="383">
        <v>17.9</v>
      </c>
      <c r="W297" s="399">
        <v>18.2</v>
      </c>
    </row>
    <row r="298" spans="3:24" ht="12" customHeight="1">
      <c r="C298" s="15" t="str">
        <f>VLOOKUP(216,Textbausteine!$M$2:$Q$345,Hilfsgrössen!$D$2,FALSE)</f>
        <v>Poste CH SA</v>
      </c>
      <c r="D298" s="18" t="str">
        <f>VLOOKUP(36,Textbausteine!$M$2:$Q$345,Hilfsgrössen!$D$2,FALSE)</f>
        <v>% des unités de personnel</v>
      </c>
      <c r="E298" s="286" t="s">
        <v>2590</v>
      </c>
      <c r="F298" s="37" t="s">
        <v>715</v>
      </c>
      <c r="H298" s="397">
        <v>1.2</v>
      </c>
      <c r="I298" s="397">
        <v>1.3</v>
      </c>
      <c r="J298" s="400">
        <v>1.3</v>
      </c>
      <c r="K298" s="400">
        <v>0.9942691431333287</v>
      </c>
      <c r="L298" s="389">
        <v>1.1</v>
      </c>
      <c r="M298" s="389">
        <v>0.9</v>
      </c>
      <c r="N298" s="390">
        <v>0.9</v>
      </c>
      <c r="O298" s="390">
        <v>0.9</v>
      </c>
      <c r="P298" s="390">
        <v>1</v>
      </c>
      <c r="Q298" s="390">
        <v>0.672057400899369</v>
      </c>
      <c r="R298" s="390">
        <v>0.8</v>
      </c>
      <c r="S298" s="390">
        <v>1</v>
      </c>
      <c r="T298" s="383">
        <v>4.4</v>
      </c>
      <c r="U298" s="383">
        <v>4.6</v>
      </c>
      <c r="V298" s="383">
        <v>4.8</v>
      </c>
      <c r="W298" s="399">
        <v>5</v>
      </c>
      <c r="X298" s="11"/>
    </row>
    <row r="299" spans="3:24" ht="12" customHeight="1">
      <c r="C299" s="15" t="str">
        <f>VLOOKUP(217,Textbausteine!$M$2:$Q$345,Hilfsgrössen!$D$2,FALSE)</f>
        <v>PostFinance SA</v>
      </c>
      <c r="D299" s="18" t="str">
        <f>VLOOKUP(36,Textbausteine!$M$2:$Q$345,Hilfsgrössen!$D$2,FALSE)</f>
        <v>% des unités de personnel</v>
      </c>
      <c r="E299" s="286" t="s">
        <v>1443</v>
      </c>
      <c r="F299" s="37" t="s">
        <v>715</v>
      </c>
      <c r="H299" s="401" t="s">
        <v>1470</v>
      </c>
      <c r="I299" s="401" t="s">
        <v>1470</v>
      </c>
      <c r="J299" s="401" t="s">
        <v>1470</v>
      </c>
      <c r="K299" s="401" t="s">
        <v>1470</v>
      </c>
      <c r="L299" s="401" t="s">
        <v>1470</v>
      </c>
      <c r="M299" s="401" t="s">
        <v>1470</v>
      </c>
      <c r="N299" s="381" t="s">
        <v>1470</v>
      </c>
      <c r="O299" s="381" t="s">
        <v>1470</v>
      </c>
      <c r="P299" s="402" t="s">
        <v>1470</v>
      </c>
      <c r="Q299" s="390">
        <v>0.482653516230208</v>
      </c>
      <c r="R299" s="390">
        <v>0.5</v>
      </c>
      <c r="S299" s="390">
        <v>0.5</v>
      </c>
      <c r="T299" s="383">
        <v>2.1</v>
      </c>
      <c r="U299" s="383">
        <v>2</v>
      </c>
      <c r="V299" s="383">
        <v>2.1</v>
      </c>
      <c r="W299" s="399">
        <v>2.3</v>
      </c>
      <c r="X299" s="11"/>
    </row>
    <row r="300" spans="3:24" ht="12" customHeight="1">
      <c r="C300" s="15" t="str">
        <f>VLOOKUP(218,Textbausteine!$M$2:$Q$345,Hilfsgrössen!$D$2,FALSE)</f>
        <v>Sociétés du groupe en Suisse</v>
      </c>
      <c r="D300" s="18" t="str">
        <f>VLOOKUP(36,Textbausteine!$M$2:$Q$345,Hilfsgrössen!$D$2,FALSE)</f>
        <v>% des unités de personnel</v>
      </c>
      <c r="E300" s="286" t="s">
        <v>2588</v>
      </c>
      <c r="F300" s="37" t="s">
        <v>715</v>
      </c>
      <c r="H300" s="397">
        <v>5.1</v>
      </c>
      <c r="I300" s="397">
        <v>6.4</v>
      </c>
      <c r="J300" s="400">
        <v>6.4</v>
      </c>
      <c r="K300" s="400">
        <v>7.1</v>
      </c>
      <c r="L300" s="389">
        <v>5.8</v>
      </c>
      <c r="M300" s="389">
        <v>8.2</v>
      </c>
      <c r="N300" s="390">
        <v>6</v>
      </c>
      <c r="O300" s="390">
        <v>6.9</v>
      </c>
      <c r="P300" s="390">
        <v>8.6</v>
      </c>
      <c r="Q300" s="390">
        <v>8.26695971734119</v>
      </c>
      <c r="R300" s="390">
        <v>7.2</v>
      </c>
      <c r="S300" s="390">
        <v>7.2</v>
      </c>
      <c r="T300" s="383">
        <v>5.5</v>
      </c>
      <c r="U300" s="383">
        <v>5.4</v>
      </c>
      <c r="V300" s="383">
        <v>4.1</v>
      </c>
      <c r="W300" s="399">
        <v>4.4</v>
      </c>
      <c r="X300" s="11"/>
    </row>
    <row r="301" spans="3:23" ht="12" customHeight="1">
      <c r="C301" s="9" t="str">
        <f>VLOOKUP(219,Textbausteine!$M$2:$Q$345,Hilfsgrössen!$D$2,FALSE)</f>
        <v>Droit du travail étranger</v>
      </c>
      <c r="D301" s="18" t="str">
        <f>VLOOKUP(36,Textbausteine!$M$2:$Q$345,Hilfsgrössen!$D$2,FALSE)</f>
        <v>% des unités de personnel</v>
      </c>
      <c r="E301" s="286" t="s">
        <v>2588</v>
      </c>
      <c r="F301" s="37" t="s">
        <v>715</v>
      </c>
      <c r="H301" s="397">
        <v>2.7</v>
      </c>
      <c r="I301" s="397">
        <v>3.3</v>
      </c>
      <c r="J301" s="397">
        <v>8</v>
      </c>
      <c r="K301" s="397">
        <v>12.690740868604571</v>
      </c>
      <c r="L301" s="389">
        <v>14.2</v>
      </c>
      <c r="M301" s="389">
        <v>15.6</v>
      </c>
      <c r="N301" s="390">
        <v>16.1</v>
      </c>
      <c r="O301" s="390">
        <v>15</v>
      </c>
      <c r="P301" s="390">
        <v>14.8</v>
      </c>
      <c r="Q301" s="390">
        <v>15.4</v>
      </c>
      <c r="R301" s="390">
        <v>17.1</v>
      </c>
      <c r="S301" s="390">
        <v>16.9</v>
      </c>
      <c r="T301" s="383">
        <v>16.7</v>
      </c>
      <c r="U301" s="383">
        <v>16.6</v>
      </c>
      <c r="V301" s="383">
        <v>17.8</v>
      </c>
      <c r="W301" s="399">
        <v>16</v>
      </c>
    </row>
    <row r="302" ht="12" customHeight="1">
      <c r="W302" s="257"/>
    </row>
    <row r="303" spans="2:23" ht="12" customHeight="1">
      <c r="B303" s="8" t="str">
        <f>VLOOKUP(37,Textbausteine!$A$2:$E$67,Hilfsgrössen!$D$2,FALSE)</f>
        <v>Groupe Suisse</v>
      </c>
      <c r="D303" s="8"/>
      <c r="G303" s="49"/>
      <c r="H303" s="117"/>
      <c r="I303" s="117"/>
      <c r="J303" s="117"/>
      <c r="K303" s="117"/>
      <c r="L303" s="117"/>
      <c r="M303" s="117"/>
      <c r="N303" s="117"/>
      <c r="O303" s="117"/>
      <c r="P303" s="117"/>
      <c r="Q303" s="117"/>
      <c r="R303" s="117"/>
      <c r="S303" s="117"/>
      <c r="T303" s="117"/>
      <c r="U303" s="117"/>
      <c r="V303" s="117"/>
      <c r="W303" s="256"/>
    </row>
    <row r="304" spans="3:23" ht="12" customHeight="1">
      <c r="C304" s="18" t="str">
        <f>VLOOKUP(209,Textbausteine!$M$2:$Q$345,Hilfsgrössen!$D$2,FALSE)</f>
        <v>Provisoire</v>
      </c>
      <c r="D304" s="18" t="str">
        <f>VLOOKUP(37,Textbausteine!$M$2:$Q$345,Hilfsgrössen!$D$2,FALSE)</f>
        <v>% des personnes</v>
      </c>
      <c r="E304" s="286" t="s">
        <v>2591</v>
      </c>
      <c r="F304" s="37" t="s">
        <v>703</v>
      </c>
      <c r="G304" s="49"/>
      <c r="H304" s="100" t="s">
        <v>1470</v>
      </c>
      <c r="I304" s="100" t="s">
        <v>1470</v>
      </c>
      <c r="J304" s="100" t="s">
        <v>1470</v>
      </c>
      <c r="K304" s="100" t="s">
        <v>1470</v>
      </c>
      <c r="L304" s="100" t="s">
        <v>1470</v>
      </c>
      <c r="M304" s="100" t="s">
        <v>1470</v>
      </c>
      <c r="N304" s="100" t="s">
        <v>1470</v>
      </c>
      <c r="O304" s="100" t="s">
        <v>1470</v>
      </c>
      <c r="P304" s="100" t="s">
        <v>1470</v>
      </c>
      <c r="Q304" s="100" t="s">
        <v>1470</v>
      </c>
      <c r="R304" s="115">
        <v>1.2</v>
      </c>
      <c r="S304" s="115">
        <v>1.3</v>
      </c>
      <c r="T304" s="16">
        <v>1.2</v>
      </c>
      <c r="U304" s="16">
        <v>1.3</v>
      </c>
      <c r="V304" s="16">
        <v>1.84</v>
      </c>
      <c r="W304" s="403">
        <v>2.2</v>
      </c>
    </row>
    <row r="305" spans="3:23" ht="12" customHeight="1">
      <c r="C305" s="18" t="str">
        <f>VLOOKUP(210,Textbausteine!$M$2:$Q$345,Hilfsgrössen!$D$2,FALSE)</f>
        <v>Permanente</v>
      </c>
      <c r="D305" s="18" t="str">
        <f>VLOOKUP(37,Textbausteine!$M$2:$Q$345,Hilfsgrössen!$D$2,FALSE)</f>
        <v>% des personnes</v>
      </c>
      <c r="E305" s="286" t="s">
        <v>2591</v>
      </c>
      <c r="F305" s="37" t="s">
        <v>703</v>
      </c>
      <c r="G305" s="54"/>
      <c r="H305" s="100" t="s">
        <v>1470</v>
      </c>
      <c r="I305" s="100" t="s">
        <v>1470</v>
      </c>
      <c r="J305" s="100" t="s">
        <v>1470</v>
      </c>
      <c r="K305" s="100" t="s">
        <v>1470</v>
      </c>
      <c r="L305" s="100" t="s">
        <v>1470</v>
      </c>
      <c r="M305" s="100" t="s">
        <v>1470</v>
      </c>
      <c r="N305" s="100" t="s">
        <v>1470</v>
      </c>
      <c r="O305" s="100" t="s">
        <v>1470</v>
      </c>
      <c r="P305" s="100" t="s">
        <v>1470</v>
      </c>
      <c r="Q305" s="100" t="s">
        <v>1470</v>
      </c>
      <c r="R305" s="115">
        <v>98.8</v>
      </c>
      <c r="S305" s="115">
        <v>98.7</v>
      </c>
      <c r="T305" s="16">
        <v>98.8</v>
      </c>
      <c r="U305" s="16">
        <v>98.7</v>
      </c>
      <c r="V305" s="16">
        <v>98.16</v>
      </c>
      <c r="W305" s="403">
        <v>97.8</v>
      </c>
    </row>
    <row r="306" spans="3:23" ht="12" customHeight="1">
      <c r="C306" s="18" t="str">
        <f>VLOOKUP(209,Textbausteine!$M$2:$Q$345,Hilfsgrössen!$D$2,FALSE)</f>
        <v>Provisoire</v>
      </c>
      <c r="D306" s="18" t="str">
        <f>VLOOKUP(36,Textbausteine!$M$2:$Q$345,Hilfsgrössen!$D$2,FALSE)</f>
        <v>% des unités de personnel</v>
      </c>
      <c r="E306" s="286" t="s">
        <v>2592</v>
      </c>
      <c r="F306" s="11" t="s">
        <v>703</v>
      </c>
      <c r="H306" s="100" t="s">
        <v>1470</v>
      </c>
      <c r="I306" s="100" t="s">
        <v>1470</v>
      </c>
      <c r="J306" s="100" t="s">
        <v>1470</v>
      </c>
      <c r="K306" s="100" t="s">
        <v>1470</v>
      </c>
      <c r="L306" s="100" t="s">
        <v>1470</v>
      </c>
      <c r="M306" s="100" t="s">
        <v>1470</v>
      </c>
      <c r="N306" s="100" t="s">
        <v>1470</v>
      </c>
      <c r="O306" s="100" t="s">
        <v>1470</v>
      </c>
      <c r="P306" s="100" t="s">
        <v>1470</v>
      </c>
      <c r="Q306" s="100" t="s">
        <v>1470</v>
      </c>
      <c r="R306" s="115">
        <v>1.3</v>
      </c>
      <c r="S306" s="115">
        <v>1.4</v>
      </c>
      <c r="T306" s="16">
        <v>1.3</v>
      </c>
      <c r="U306" s="16">
        <v>1.4</v>
      </c>
      <c r="V306" s="16">
        <v>2.03</v>
      </c>
      <c r="W306" s="403">
        <v>2.3</v>
      </c>
    </row>
    <row r="307" spans="3:23" ht="12" customHeight="1">
      <c r="C307" s="18" t="str">
        <f>VLOOKUP(210,Textbausteine!$M$2:$Q$345,Hilfsgrössen!$D$2,FALSE)</f>
        <v>Permanente</v>
      </c>
      <c r="D307" s="18" t="str">
        <f>VLOOKUP(36,Textbausteine!$M$2:$Q$345,Hilfsgrössen!$D$2,FALSE)</f>
        <v>% des unités de personnel</v>
      </c>
      <c r="E307" s="286" t="s">
        <v>2592</v>
      </c>
      <c r="F307" s="11" t="s">
        <v>703</v>
      </c>
      <c r="H307" s="100" t="s">
        <v>1470</v>
      </c>
      <c r="I307" s="100" t="s">
        <v>1470</v>
      </c>
      <c r="J307" s="100" t="s">
        <v>1470</v>
      </c>
      <c r="K307" s="100" t="s">
        <v>1470</v>
      </c>
      <c r="L307" s="100" t="s">
        <v>1470</v>
      </c>
      <c r="M307" s="100" t="s">
        <v>1470</v>
      </c>
      <c r="N307" s="100" t="s">
        <v>1470</v>
      </c>
      <c r="O307" s="100" t="s">
        <v>1470</v>
      </c>
      <c r="P307" s="100" t="s">
        <v>1470</v>
      </c>
      <c r="Q307" s="100" t="s">
        <v>1470</v>
      </c>
      <c r="R307" s="115">
        <v>98.7</v>
      </c>
      <c r="S307" s="115">
        <v>98.6</v>
      </c>
      <c r="T307" s="16">
        <v>98.7</v>
      </c>
      <c r="U307" s="16">
        <v>98.6</v>
      </c>
      <c r="V307" s="16">
        <v>97.97</v>
      </c>
      <c r="W307" s="403">
        <v>97.7</v>
      </c>
    </row>
    <row r="308" spans="3:23" ht="12" customHeight="1">
      <c r="C308" s="19"/>
      <c r="E308" s="1"/>
      <c r="F308" s="1"/>
      <c r="G308" s="1"/>
      <c r="H308" s="1"/>
      <c r="I308" s="1"/>
      <c r="J308" s="1"/>
      <c r="K308" s="1"/>
      <c r="L308" s="1"/>
      <c r="M308" s="1"/>
      <c r="N308" s="1"/>
      <c r="O308" s="1"/>
      <c r="P308" s="1"/>
      <c r="Q308" s="1"/>
      <c r="R308" s="1"/>
      <c r="S308" s="1"/>
      <c r="T308" s="1"/>
      <c r="U308" s="1"/>
      <c r="V308" s="1"/>
      <c r="W308" s="256"/>
    </row>
    <row r="309" ht="12" customHeight="1">
      <c r="B309" s="26" t="str">
        <f>VLOOKUP(318,Textbausteine!$M$2:$Q$345,Hilfsgrössen!$D$2,FALSE)</f>
        <v>1) Sans les apprentis</v>
      </c>
    </row>
    <row r="310" ht="12" customHeight="1">
      <c r="B310" s="26" t="str">
        <f>VLOOKUP(319,Textbausteine!$M$2:$Q$345,Hilfsgrössen!$D$2,FALSE)</f>
        <v>2) Valeurs annuelles moyennes</v>
      </c>
    </row>
    <row r="311" ht="12" customHeight="1">
      <c r="B311" s="26" t="str">
        <f>VLOOKUP(320,Textbausteine!$M$2:$Q$345,Hilfsgrössen!$D$2,FALSE)</f>
        <v>3) Une unité de personnel correspond à un poste à plein temps.</v>
      </c>
    </row>
    <row r="312" ht="12" customHeight="1">
      <c r="B312" s="26" t="str">
        <f>VLOOKUP(321,Textbausteine!$M$2:$Q$345,Hilfsgrössen!$D$2,FALSE)</f>
        <v>4) Dans le segment PostMail, le calcul de l’effectif moyen en équivalents plein temps (hors apprentis) de deux filiales a été remanié, ce qui a entraîné l’ajustement de la valeur de 2018. Dans le segment CarPostal, la valeur de 2018 a été ajustée suite à la classification du groupe CarPostal France comme groupe sortant détenu en vue de la vente et activité abandonnée.</v>
      </c>
    </row>
    <row r="313" ht="12" customHeight="1">
      <c r="B313" s="26" t="str">
        <f>VLOOKUP(322,Textbausteine!$M$2:$Q$345,Hilfsgrössen!$D$2,FALSE)</f>
        <v>5) CarPostal SA, PostFinance SA, Swiss Post Solutions SA, SecurePost SA, Poste Immobilier Management et Services SA, Post Company Cars SA, Presto Presse-Vertriebs AG.</v>
      </c>
    </row>
    <row r="314" ht="12" customHeight="1">
      <c r="B314" s="26" t="str">
        <f>VLOOKUP(323,Textbausteine!$M$2:$Q$345,Hilfsgrössen!$D$2,FALSE)</f>
        <v>6) Pour le rapport de l'exercice 2013, les chiffres correspondants ont été corrigés rétroactivement jusqu'en 2010, car Presto Presse-Vertriebs AG figurait jusqu'alors sous CCT Auxiliaires.</v>
      </c>
    </row>
    <row r="315" ht="12" customHeight="1">
      <c r="B315" s="26" t="str">
        <f>VLOOKUP(324,Textbausteine!$M$2:$Q$345,Hilfsgrössen!$D$2,FALSE)</f>
        <v>7) Poste CH SA sans les sociétés du groupe en Suisse et à l'étranger.</v>
      </c>
    </row>
    <row r="316" ht="12" customHeight="1">
      <c r="B316" s="26" t="str">
        <f>VLOOKUP(325,Textbausteine!$M$2:$Q$345,Hilfsgrössen!$D$2,FALSE)</f>
        <v>8) PostFinance SA, y compris Débiteurs Services SA et Twint SA.</v>
      </c>
    </row>
    <row r="317" ht="12" customHeight="1">
      <c r="B317" s="26" t="str">
        <f>VLOOKUP(326,Textbausteine!$M$2:$Q$345,Hilfsgrössen!$D$2,FALSE)</f>
        <v>9) Groupe Suisse: données provenant du système du personnel; actuellement sans les données de 1000 unités de personnel ou 6113 personnes des sociétés du groupe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et notime Schweiz AG.</v>
      </c>
    </row>
    <row r="318" ht="12" customHeight="1">
      <c r="B318" s="26"/>
    </row>
    <row r="319" spans="5:7" ht="12" customHeight="1">
      <c r="E319" s="287"/>
      <c r="F319" s="40"/>
      <c r="G319" s="48"/>
    </row>
    <row r="320" spans="1:87" s="152" customFormat="1" ht="12" customHeight="1">
      <c r="A320" s="62" t="s">
        <v>807</v>
      </c>
      <c r="B320" s="479" t="str">
        <f>$C$16</f>
        <v>Chaîne de livraison</v>
      </c>
      <c r="C320" s="479"/>
      <c r="D320" s="59" t="str">
        <f>VLOOKUP(32,Textbausteine!$A$2:$E$67,Hilfsgrössen!$D$2,FALSE)</f>
        <v>Unité</v>
      </c>
      <c r="E320" s="289" t="str">
        <f>VLOOKUP(33,Textbausteine!$A$2:$E$67,Hilfsgrössen!$D$2,FALSE)</f>
        <v>Notes</v>
      </c>
      <c r="F320" s="40" t="str">
        <f>VLOOKUP(34,Textbausteine!$A$2:$E$67,Hilfsgrössen!$D$2,FALSE)</f>
        <v>GRI</v>
      </c>
      <c r="G320" s="48"/>
      <c r="H320" s="160">
        <v>2004</v>
      </c>
      <c r="I320" s="160">
        <v>2005</v>
      </c>
      <c r="J320" s="160">
        <v>2006</v>
      </c>
      <c r="K320" s="160">
        <v>2007</v>
      </c>
      <c r="L320" s="160">
        <v>2008</v>
      </c>
      <c r="M320" s="160">
        <v>2009</v>
      </c>
      <c r="N320" s="160">
        <v>2010</v>
      </c>
      <c r="O320" s="160">
        <v>2011</v>
      </c>
      <c r="P320" s="160">
        <v>2012</v>
      </c>
      <c r="Q320" s="160">
        <v>2013</v>
      </c>
      <c r="R320" s="160">
        <v>2014</v>
      </c>
      <c r="S320" s="160">
        <v>2015</v>
      </c>
      <c r="T320" s="120">
        <v>2016</v>
      </c>
      <c r="U320" s="120" t="s">
        <v>2351</v>
      </c>
      <c r="V320" s="120">
        <v>2018</v>
      </c>
      <c r="W320" s="250">
        <v>2019</v>
      </c>
      <c r="X320" s="113"/>
      <c r="Y320" s="113"/>
      <c r="Z320" s="113"/>
      <c r="AA320" s="113"/>
      <c r="AB320" s="113"/>
      <c r="AC320" s="113"/>
      <c r="AD320" s="113"/>
      <c r="AE320" s="113"/>
      <c r="AF320" s="113"/>
      <c r="AG320" s="113"/>
      <c r="AH320" s="113"/>
      <c r="AI320" s="113"/>
      <c r="AJ320" s="113"/>
      <c r="AK320" s="113"/>
      <c r="AL320" s="113"/>
      <c r="AM320" s="113"/>
      <c r="AN320" s="113"/>
      <c r="AO320" s="113"/>
      <c r="AP320" s="113"/>
      <c r="AQ320" s="113"/>
      <c r="AR320" s="113"/>
      <c r="AS320" s="113"/>
      <c r="AT320" s="113"/>
      <c r="AU320" s="113"/>
      <c r="AV320" s="113"/>
      <c r="AW320" s="113"/>
      <c r="AX320" s="113"/>
      <c r="AY320" s="113"/>
      <c r="AZ320" s="113"/>
      <c r="BA320" s="113"/>
      <c r="BB320" s="113"/>
      <c r="BC320" s="113"/>
      <c r="BD320" s="113"/>
      <c r="BE320" s="113"/>
      <c r="BF320" s="113"/>
      <c r="BG320" s="113"/>
      <c r="BH320" s="113"/>
      <c r="BI320" s="113"/>
      <c r="BJ320" s="113"/>
      <c r="BK320" s="113"/>
      <c r="BL320" s="113"/>
      <c r="BM320" s="113"/>
      <c r="BN320" s="113"/>
      <c r="BO320" s="113"/>
      <c r="BP320" s="113"/>
      <c r="BQ320" s="113"/>
      <c r="BR320" s="113"/>
      <c r="BS320" s="113"/>
      <c r="BT320" s="113"/>
      <c r="BU320" s="113"/>
      <c r="BV320" s="113"/>
      <c r="BW320" s="113"/>
      <c r="BX320" s="113"/>
      <c r="BY320" s="113"/>
      <c r="BZ320" s="113"/>
      <c r="CA320" s="113"/>
      <c r="CB320" s="113"/>
      <c r="CC320" s="113"/>
      <c r="CD320" s="113"/>
      <c r="CE320" s="113"/>
      <c r="CF320" s="113"/>
      <c r="CG320" s="113"/>
      <c r="CH320" s="113"/>
      <c r="CI320" s="113"/>
    </row>
    <row r="321" spans="1:87" s="61" customFormat="1" ht="12" customHeight="1">
      <c r="A321" s="82"/>
      <c r="B321" s="479"/>
      <c r="C321" s="479"/>
      <c r="D321" s="60"/>
      <c r="E321" s="285"/>
      <c r="F321" s="39"/>
      <c r="G321" s="49"/>
      <c r="H321" s="161"/>
      <c r="I321" s="161"/>
      <c r="J321" s="161"/>
      <c r="K321" s="161"/>
      <c r="L321" s="161"/>
      <c r="M321" s="161"/>
      <c r="N321" s="161"/>
      <c r="O321" s="161"/>
      <c r="P321" s="161"/>
      <c r="Q321" s="161"/>
      <c r="R321" s="161"/>
      <c r="S321" s="161"/>
      <c r="T321" s="119"/>
      <c r="U321" s="119"/>
      <c r="V321" s="119"/>
      <c r="W321" s="251"/>
      <c r="X321" s="114"/>
      <c r="Y321" s="114"/>
      <c r="Z321" s="114"/>
      <c r="AA321" s="114"/>
      <c r="AB321" s="114"/>
      <c r="AC321" s="114"/>
      <c r="AD321" s="114"/>
      <c r="AE321" s="114"/>
      <c r="AF321" s="114"/>
      <c r="AG321" s="114"/>
      <c r="AH321" s="114"/>
      <c r="AI321" s="114"/>
      <c r="AJ321" s="114"/>
      <c r="AK321" s="114"/>
      <c r="AL321" s="114"/>
      <c r="AM321" s="114"/>
      <c r="AN321" s="114"/>
      <c r="AO321" s="114"/>
      <c r="AP321" s="114"/>
      <c r="AQ321" s="114"/>
      <c r="AR321" s="114"/>
      <c r="AS321" s="114"/>
      <c r="AT321" s="114"/>
      <c r="AU321" s="114"/>
      <c r="AV321" s="114"/>
      <c r="AW321" s="114"/>
      <c r="AX321" s="114"/>
      <c r="AY321" s="114"/>
      <c r="AZ321" s="114"/>
      <c r="BA321" s="114"/>
      <c r="BB321" s="114"/>
      <c r="BC321" s="114"/>
      <c r="BD321" s="114"/>
      <c r="BE321" s="114"/>
      <c r="BF321" s="114"/>
      <c r="BG321" s="114"/>
      <c r="BH321" s="114"/>
      <c r="BI321" s="114"/>
      <c r="BJ321" s="114"/>
      <c r="BK321" s="114"/>
      <c r="BL321" s="114"/>
      <c r="BM321" s="114"/>
      <c r="BN321" s="114"/>
      <c r="BO321" s="114"/>
      <c r="BP321" s="114"/>
      <c r="BQ321" s="114"/>
      <c r="BR321" s="114"/>
      <c r="BS321" s="114"/>
      <c r="BT321" s="114"/>
      <c r="BU321" s="114"/>
      <c r="BV321" s="114"/>
      <c r="BW321" s="114"/>
      <c r="BX321" s="114"/>
      <c r="BY321" s="114"/>
      <c r="BZ321" s="114"/>
      <c r="CA321" s="114"/>
      <c r="CB321" s="114"/>
      <c r="CC321" s="114"/>
      <c r="CD321" s="114"/>
      <c r="CE321" s="114"/>
      <c r="CF321" s="114"/>
      <c r="CG321" s="114"/>
      <c r="CH321" s="114"/>
      <c r="CI321" s="114"/>
    </row>
    <row r="322" spans="2:23" ht="12" customHeight="1">
      <c r="B322" s="8"/>
      <c r="D322" s="9"/>
      <c r="E322" s="290"/>
      <c r="F322" s="11"/>
      <c r="G322" s="46"/>
      <c r="W322" s="252"/>
    </row>
    <row r="323" spans="2:23" ht="12" customHeight="1">
      <c r="B323" s="8" t="str">
        <f>VLOOKUP(37,Textbausteine!$A$2:$E$67,Hilfsgrössen!$D$2,FALSE)</f>
        <v>Groupe Suisse</v>
      </c>
      <c r="C323" s="8"/>
      <c r="D323" s="67"/>
      <c r="E323" s="290"/>
      <c r="F323" s="11"/>
      <c r="T323" s="107"/>
      <c r="U323" s="107"/>
      <c r="V323" s="107"/>
      <c r="W323" s="253"/>
    </row>
    <row r="324" spans="3:23" ht="12" customHeight="1">
      <c r="C324" s="18" t="str">
        <f>VLOOKUP(221,Textbausteine!$M$2:$Q$345,Hilfsgrössen!$D$2,FALSE)</f>
        <v>Nombre de fournisseurs Suisse</v>
      </c>
      <c r="D324" s="18" t="str">
        <f>VLOOKUP(28,Textbausteine!$M$2:$Q$345,Hilfsgrössen!$D$2,FALSE)</f>
        <v>Nombre</v>
      </c>
      <c r="E324" s="20" t="s">
        <v>77</v>
      </c>
      <c r="F324" s="11" t="s">
        <v>1317</v>
      </c>
      <c r="H324" s="168" t="s">
        <v>1470</v>
      </c>
      <c r="I324" s="168" t="s">
        <v>1470</v>
      </c>
      <c r="J324" s="168" t="s">
        <v>1470</v>
      </c>
      <c r="K324" s="168" t="s">
        <v>1470</v>
      </c>
      <c r="L324" s="168" t="s">
        <v>1470</v>
      </c>
      <c r="M324" s="168" t="s">
        <v>1470</v>
      </c>
      <c r="N324" s="138" t="s">
        <v>1470</v>
      </c>
      <c r="O324" s="100">
        <v>52154</v>
      </c>
      <c r="P324" s="100">
        <v>50306</v>
      </c>
      <c r="Q324" s="100">
        <v>48250</v>
      </c>
      <c r="R324" s="100">
        <v>45029</v>
      </c>
      <c r="S324" s="100">
        <v>47173</v>
      </c>
      <c r="T324" s="107">
        <v>43080</v>
      </c>
      <c r="U324" s="107">
        <v>40575</v>
      </c>
      <c r="V324" s="107">
        <v>40036</v>
      </c>
      <c r="W324" s="253">
        <v>28594</v>
      </c>
    </row>
    <row r="325" spans="3:23" ht="12" customHeight="1">
      <c r="C325" s="18" t="str">
        <f>VLOOKUP(222,Textbausteine!$M$2:$Q$345,Hilfsgrössen!$D$2,FALSE)</f>
        <v>Nombre de fournisseurs Etranger</v>
      </c>
      <c r="D325" s="18" t="str">
        <f>VLOOKUP(28,Textbausteine!$M$2:$Q$345,Hilfsgrössen!$D$2,FALSE)</f>
        <v>Nombre</v>
      </c>
      <c r="E325" s="290" t="s">
        <v>2551</v>
      </c>
      <c r="F325" s="11" t="s">
        <v>1317</v>
      </c>
      <c r="H325" s="168" t="s">
        <v>1470</v>
      </c>
      <c r="I325" s="168" t="s">
        <v>1470</v>
      </c>
      <c r="J325" s="168" t="s">
        <v>1470</v>
      </c>
      <c r="K325" s="168" t="s">
        <v>1470</v>
      </c>
      <c r="L325" s="168" t="s">
        <v>1470</v>
      </c>
      <c r="M325" s="168" t="s">
        <v>1470</v>
      </c>
      <c r="N325" s="138" t="s">
        <v>1470</v>
      </c>
      <c r="O325" s="100">
        <v>342</v>
      </c>
      <c r="P325" s="100">
        <v>339</v>
      </c>
      <c r="Q325" s="100">
        <v>340</v>
      </c>
      <c r="R325" s="100">
        <v>492</v>
      </c>
      <c r="S325" s="100">
        <v>2246</v>
      </c>
      <c r="T325" s="107">
        <v>2337</v>
      </c>
      <c r="U325" s="107">
        <v>2196</v>
      </c>
      <c r="V325" s="107">
        <v>2270</v>
      </c>
      <c r="W325" s="253">
        <v>1776</v>
      </c>
    </row>
    <row r="326" spans="3:23" ht="12" customHeight="1">
      <c r="C326" s="18" t="str">
        <f>VLOOKUP(223,Textbausteine!$M$2:$Q$345,Hilfsgrössen!$D$2,FALSE)</f>
        <v>Volume d'achats du groupe</v>
      </c>
      <c r="D326" s="67" t="str">
        <f>VLOOKUP(22,Textbausteine!$M$2:$Q$345,Hilfsgrössen!$D$2,FALSE)</f>
        <v>Millions de CHF</v>
      </c>
      <c r="E326" s="293"/>
      <c r="F326" s="11" t="s">
        <v>1317</v>
      </c>
      <c r="H326" s="168" t="s">
        <v>1470</v>
      </c>
      <c r="I326" s="168" t="s">
        <v>1470</v>
      </c>
      <c r="J326" s="168" t="s">
        <v>1470</v>
      </c>
      <c r="K326" s="168" t="s">
        <v>1470</v>
      </c>
      <c r="L326" s="168" t="s">
        <v>1470</v>
      </c>
      <c r="M326" s="168" t="s">
        <v>1470</v>
      </c>
      <c r="N326" s="20">
        <v>3082.31781</v>
      </c>
      <c r="O326" s="100">
        <v>3282.830808</v>
      </c>
      <c r="P326" s="100">
        <v>3366.23991202</v>
      </c>
      <c r="Q326" s="100">
        <v>3379.8509565500003</v>
      </c>
      <c r="R326" s="100">
        <v>3399.09152606</v>
      </c>
      <c r="S326" s="100">
        <v>4752</v>
      </c>
      <c r="T326" s="107">
        <v>2961</v>
      </c>
      <c r="U326" s="107">
        <v>2947</v>
      </c>
      <c r="V326" s="107">
        <v>2946</v>
      </c>
      <c r="W326" s="253">
        <v>3001</v>
      </c>
    </row>
    <row r="327" spans="3:23" ht="12" customHeight="1">
      <c r="C327" s="15"/>
      <c r="H327" s="162"/>
      <c r="I327" s="162"/>
      <c r="J327" s="162"/>
      <c r="K327" s="162"/>
      <c r="L327" s="162"/>
      <c r="M327" s="162"/>
      <c r="N327" s="20"/>
      <c r="O327" s="20"/>
      <c r="P327" s="107"/>
      <c r="Q327" s="163"/>
      <c r="R327" s="162"/>
      <c r="S327" s="162"/>
      <c r="T327" s="163"/>
      <c r="U327" s="163"/>
      <c r="V327" s="163"/>
      <c r="W327" s="163"/>
    </row>
    <row r="328" ht="12" customHeight="1">
      <c r="B328" s="26" t="str">
        <f>VLOOKUP(328,Textbausteine!$M$2:$Q$345,Hilfsgrössen!$D$2,FALSE)</f>
        <v>1) Les valeurs à partir du 1er janvier 2016 correspondent au volume de facturation des achats avec créanciers externes (hors impôts, droits de douane, Suva, caisse de pensions, autre prévoyance, redevances publiques, postes transitoires, comptes collecteurs pour créanciers occasionnels, etc.).</v>
      </c>
    </row>
    <row r="329" ht="12" customHeight="1">
      <c r="B329" s="26" t="str">
        <f>VLOOKUP(329,Textbausteine!$M$2:$Q$345,Hilfsgrössen!$D$2,FALSE)</f>
        <v>2) L’utilisation accrue de codes créditeurs (MDG-S) a eu pour effet à partir de 2019 une baisse du nombre des fournisseurs pertinents pour les achats.</v>
      </c>
    </row>
    <row r="330" ht="12" customHeight="1">
      <c r="B330" s="26"/>
    </row>
    <row r="331" spans="3:23" ht="12" customHeight="1">
      <c r="C331" s="15"/>
      <c r="H331" s="162"/>
      <c r="I331" s="162"/>
      <c r="J331" s="162"/>
      <c r="K331" s="162"/>
      <c r="L331" s="162"/>
      <c r="M331" s="162"/>
      <c r="N331" s="20"/>
      <c r="O331" s="20"/>
      <c r="P331" s="107"/>
      <c r="Q331" s="163"/>
      <c r="R331" s="162"/>
      <c r="S331" s="162"/>
      <c r="T331" s="163"/>
      <c r="U331" s="163"/>
      <c r="V331" s="163"/>
      <c r="W331" s="163"/>
    </row>
    <row r="332" spans="1:87" s="152" customFormat="1" ht="12" customHeight="1">
      <c r="A332" s="62" t="s">
        <v>807</v>
      </c>
      <c r="B332" s="480" t="str">
        <f>$C$17</f>
        <v>Satisfaction des clients</v>
      </c>
      <c r="C332" s="480"/>
      <c r="D332" s="59" t="str">
        <f>VLOOKUP(32,Textbausteine!$A$2:$E$67,Hilfsgrössen!$D$2,FALSE)</f>
        <v>Unité</v>
      </c>
      <c r="E332" s="289" t="str">
        <f>VLOOKUP(33,Textbausteine!$A$2:$E$67,Hilfsgrössen!$D$2,FALSE)</f>
        <v>Notes</v>
      </c>
      <c r="F332" s="40" t="str">
        <f>VLOOKUP(34,Textbausteine!$A$2:$E$67,Hilfsgrössen!$D$2,FALSE)</f>
        <v>GRI</v>
      </c>
      <c r="G332" s="48"/>
      <c r="H332" s="160">
        <v>2004</v>
      </c>
      <c r="I332" s="160">
        <v>2005</v>
      </c>
      <c r="J332" s="160">
        <v>2006</v>
      </c>
      <c r="K332" s="160">
        <v>2007</v>
      </c>
      <c r="L332" s="160">
        <v>2008</v>
      </c>
      <c r="M332" s="160">
        <v>2009</v>
      </c>
      <c r="N332" s="160">
        <v>2010</v>
      </c>
      <c r="O332" s="160">
        <v>2011</v>
      </c>
      <c r="P332" s="160">
        <v>2012</v>
      </c>
      <c r="Q332" s="160">
        <v>2013</v>
      </c>
      <c r="R332" s="160">
        <v>2014</v>
      </c>
      <c r="S332" s="160">
        <v>2015</v>
      </c>
      <c r="T332" s="120">
        <v>2016</v>
      </c>
      <c r="U332" s="120">
        <v>2017</v>
      </c>
      <c r="V332" s="120">
        <v>2018</v>
      </c>
      <c r="W332" s="250">
        <v>2019</v>
      </c>
      <c r="X332" s="113"/>
      <c r="Y332" s="113"/>
      <c r="Z332" s="113"/>
      <c r="AA332" s="113"/>
      <c r="AB332" s="113"/>
      <c r="AC332" s="113"/>
      <c r="AD332" s="113"/>
      <c r="AE332" s="113"/>
      <c r="AF332" s="113"/>
      <c r="AG332" s="113"/>
      <c r="AH332" s="113"/>
      <c r="AI332" s="113"/>
      <c r="AJ332" s="113"/>
      <c r="AK332" s="113"/>
      <c r="AL332" s="113"/>
      <c r="AM332" s="113"/>
      <c r="AN332" s="113"/>
      <c r="AO332" s="113"/>
      <c r="AP332" s="113"/>
      <c r="AQ332" s="113"/>
      <c r="AR332" s="113"/>
      <c r="AS332" s="113"/>
      <c r="AT332" s="113"/>
      <c r="AU332" s="113"/>
      <c r="AV332" s="113"/>
      <c r="AW332" s="113"/>
      <c r="AX332" s="113"/>
      <c r="AY332" s="113"/>
      <c r="AZ332" s="113"/>
      <c r="BA332" s="113"/>
      <c r="BB332" s="113"/>
      <c r="BC332" s="113"/>
      <c r="BD332" s="113"/>
      <c r="BE332" s="113"/>
      <c r="BF332" s="113"/>
      <c r="BG332" s="113"/>
      <c r="BH332" s="113"/>
      <c r="BI332" s="113"/>
      <c r="BJ332" s="113"/>
      <c r="BK332" s="113"/>
      <c r="BL332" s="113"/>
      <c r="BM332" s="113"/>
      <c r="BN332" s="113"/>
      <c r="BO332" s="113"/>
      <c r="BP332" s="113"/>
      <c r="BQ332" s="113"/>
      <c r="BR332" s="113"/>
      <c r="BS332" s="113"/>
      <c r="BT332" s="113"/>
      <c r="BU332" s="113"/>
      <c r="BV332" s="113"/>
      <c r="BW332" s="113"/>
      <c r="BX332" s="113"/>
      <c r="BY332" s="113"/>
      <c r="BZ332" s="113"/>
      <c r="CA332" s="113"/>
      <c r="CB332" s="113"/>
      <c r="CC332" s="113"/>
      <c r="CD332" s="113"/>
      <c r="CE332" s="113"/>
      <c r="CF332" s="113"/>
      <c r="CG332" s="113"/>
      <c r="CH332" s="113"/>
      <c r="CI332" s="113"/>
    </row>
    <row r="333" spans="1:87" s="61" customFormat="1" ht="12" customHeight="1">
      <c r="A333" s="82"/>
      <c r="B333" s="480"/>
      <c r="C333" s="480"/>
      <c r="D333" s="60"/>
      <c r="E333" s="285"/>
      <c r="F333" s="39"/>
      <c r="G333" s="49"/>
      <c r="H333" s="161"/>
      <c r="I333" s="161"/>
      <c r="J333" s="161"/>
      <c r="K333" s="161"/>
      <c r="L333" s="161"/>
      <c r="M333" s="161"/>
      <c r="N333" s="161"/>
      <c r="O333" s="161"/>
      <c r="P333" s="161"/>
      <c r="Q333" s="161"/>
      <c r="R333" s="161"/>
      <c r="S333" s="161"/>
      <c r="T333" s="119"/>
      <c r="U333" s="119"/>
      <c r="V333" s="119"/>
      <c r="W333" s="251"/>
      <c r="X333" s="114"/>
      <c r="Y333" s="114"/>
      <c r="Z333" s="114"/>
      <c r="AA333" s="114"/>
      <c r="AB333" s="114"/>
      <c r="AC333" s="114"/>
      <c r="AD333" s="114"/>
      <c r="AE333" s="114"/>
      <c r="AF333" s="114"/>
      <c r="AG333" s="114"/>
      <c r="AH333" s="114"/>
      <c r="AI333" s="114"/>
      <c r="AJ333" s="114"/>
      <c r="AK333" s="114"/>
      <c r="AL333" s="114"/>
      <c r="AM333" s="114"/>
      <c r="AN333" s="114"/>
      <c r="AO333" s="114"/>
      <c r="AP333" s="114"/>
      <c r="AQ333" s="114"/>
      <c r="AR333" s="114"/>
      <c r="AS333" s="114"/>
      <c r="AT333" s="114"/>
      <c r="AU333" s="114"/>
      <c r="AV333" s="114"/>
      <c r="AW333" s="114"/>
      <c r="AX333" s="114"/>
      <c r="AY333" s="114"/>
      <c r="AZ333" s="114"/>
      <c r="BA333" s="114"/>
      <c r="BB333" s="114"/>
      <c r="BC333" s="114"/>
      <c r="BD333" s="114"/>
      <c r="BE333" s="114"/>
      <c r="BF333" s="114"/>
      <c r="BG333" s="114"/>
      <c r="BH333" s="114"/>
      <c r="BI333" s="114"/>
      <c r="BJ333" s="114"/>
      <c r="BK333" s="114"/>
      <c r="BL333" s="114"/>
      <c r="BM333" s="114"/>
      <c r="BN333" s="114"/>
      <c r="BO333" s="114"/>
      <c r="BP333" s="114"/>
      <c r="BQ333" s="114"/>
      <c r="BR333" s="114"/>
      <c r="BS333" s="114"/>
      <c r="BT333" s="114"/>
      <c r="BU333" s="114"/>
      <c r="BV333" s="114"/>
      <c r="BW333" s="114"/>
      <c r="BX333" s="114"/>
      <c r="BY333" s="114"/>
      <c r="BZ333" s="114"/>
      <c r="CA333" s="114"/>
      <c r="CB333" s="114"/>
      <c r="CC333" s="114"/>
      <c r="CD333" s="114"/>
      <c r="CE333" s="114"/>
      <c r="CF333" s="114"/>
      <c r="CG333" s="114"/>
      <c r="CH333" s="114"/>
      <c r="CI333" s="114"/>
    </row>
    <row r="334" spans="2:23" ht="12" customHeight="1">
      <c r="B334" s="8"/>
      <c r="D334" s="9"/>
      <c r="E334" s="290"/>
      <c r="F334" s="11"/>
      <c r="G334" s="46"/>
      <c r="T334" s="119"/>
      <c r="U334" s="119"/>
      <c r="V334" s="119"/>
      <c r="W334" s="251"/>
    </row>
    <row r="335" spans="2:23" ht="12" customHeight="1">
      <c r="B335" s="8" t="str">
        <f>VLOOKUP(231,Textbausteine!$M$2:$Q$345,Hilfsgrössen!$D$2,FALSE)</f>
        <v>Clients privés</v>
      </c>
      <c r="D335" s="67"/>
      <c r="E335" s="290"/>
      <c r="F335" s="11"/>
      <c r="T335" s="119"/>
      <c r="U335" s="119"/>
      <c r="V335" s="119"/>
      <c r="W335" s="251"/>
    </row>
    <row r="336" spans="2:23" ht="12" customHeight="1">
      <c r="B336" s="8"/>
      <c r="C336" s="9" t="str">
        <f>VLOOKUP(47,Textbausteine!$A$2:$E$67,Hilfsgrössen!$D$2,FALSE)</f>
        <v>RéseauPostal</v>
      </c>
      <c r="D336" s="67"/>
      <c r="E336" s="290"/>
      <c r="F336" s="11"/>
      <c r="T336" s="119"/>
      <c r="U336" s="119"/>
      <c r="V336" s="119"/>
      <c r="W336" s="251"/>
    </row>
    <row r="337" spans="3:24" ht="12" customHeight="1">
      <c r="C337" s="15" t="str">
        <f>VLOOKUP(231,Textbausteine!$M$2:$Q$345,Hilfsgrössen!$D$2,FALSE)</f>
        <v>Clients privés</v>
      </c>
      <c r="D337" s="1" t="str">
        <f>VLOOKUP(38,Textbausteine!$M$2:$Q$345,Hilfsgrössen!$D$2,FALSE)</f>
        <v>Indice</v>
      </c>
      <c r="E337" s="286" t="s">
        <v>77</v>
      </c>
      <c r="F337" s="37" t="s">
        <v>1403</v>
      </c>
      <c r="H337" s="333">
        <v>84</v>
      </c>
      <c r="I337" s="333">
        <v>86</v>
      </c>
      <c r="J337" s="333">
        <v>87</v>
      </c>
      <c r="K337" s="333">
        <v>88</v>
      </c>
      <c r="L337" s="333">
        <v>86</v>
      </c>
      <c r="M337" s="333">
        <v>87</v>
      </c>
      <c r="N337" s="357">
        <v>87</v>
      </c>
      <c r="O337" s="357">
        <v>87</v>
      </c>
      <c r="P337" s="350">
        <v>86</v>
      </c>
      <c r="Q337" s="334">
        <v>86</v>
      </c>
      <c r="R337" s="333">
        <v>86</v>
      </c>
      <c r="S337" s="333">
        <v>87</v>
      </c>
      <c r="T337" s="375">
        <v>88</v>
      </c>
      <c r="U337" s="375">
        <v>89</v>
      </c>
      <c r="V337" s="375">
        <v>77</v>
      </c>
      <c r="W337" s="404">
        <v>78</v>
      </c>
      <c r="X337" s="11"/>
    </row>
    <row r="338" spans="3:24" ht="12" customHeight="1">
      <c r="C338" s="15" t="str">
        <f>VLOOKUP(232,Textbausteine!$M$2:$Q$345,Hilfsgrössen!$D$2,FALSE)</f>
        <v>Petites et moyennes entreprises</v>
      </c>
      <c r="D338" s="1" t="str">
        <f>VLOOKUP(38,Textbausteine!$M$2:$Q$345,Hilfsgrössen!$D$2,FALSE)</f>
        <v>Indice</v>
      </c>
      <c r="E338" s="286" t="s">
        <v>716</v>
      </c>
      <c r="F338" s="37" t="s">
        <v>1403</v>
      </c>
      <c r="H338" s="333">
        <v>79</v>
      </c>
      <c r="I338" s="333">
        <v>80</v>
      </c>
      <c r="J338" s="333">
        <v>81</v>
      </c>
      <c r="K338" s="333">
        <v>83</v>
      </c>
      <c r="L338" s="333">
        <v>80</v>
      </c>
      <c r="M338" s="333">
        <v>80</v>
      </c>
      <c r="N338" s="357">
        <v>81</v>
      </c>
      <c r="O338" s="357">
        <v>81</v>
      </c>
      <c r="P338" s="350">
        <v>80</v>
      </c>
      <c r="Q338" s="334">
        <v>82</v>
      </c>
      <c r="R338" s="333">
        <v>82</v>
      </c>
      <c r="S338" s="333">
        <v>82</v>
      </c>
      <c r="T338" s="375">
        <v>85</v>
      </c>
      <c r="U338" s="375">
        <v>86</v>
      </c>
      <c r="V338" s="375" t="s">
        <v>1310</v>
      </c>
      <c r="W338" s="405" t="s">
        <v>1310</v>
      </c>
      <c r="X338" s="11"/>
    </row>
    <row r="339" spans="3:24" ht="12" customHeight="1">
      <c r="C339" s="9" t="str">
        <f>VLOOKUP(49,Textbausteine!$A$2:$E$67,Hilfsgrössen!$D$2,FALSE)</f>
        <v>PostFinance</v>
      </c>
      <c r="D339" s="18" t="str">
        <f>VLOOKUP(38,Textbausteine!$M$2:$Q$345,Hilfsgrössen!$D$2,FALSE)</f>
        <v>Indice</v>
      </c>
      <c r="E339" s="290" t="s">
        <v>1402</v>
      </c>
      <c r="F339" s="37" t="s">
        <v>1403</v>
      </c>
      <c r="H339" s="357">
        <v>82</v>
      </c>
      <c r="I339" s="357">
        <v>84</v>
      </c>
      <c r="J339" s="357">
        <v>84</v>
      </c>
      <c r="K339" s="357">
        <v>84</v>
      </c>
      <c r="L339" s="357">
        <v>85</v>
      </c>
      <c r="M339" s="357">
        <v>84</v>
      </c>
      <c r="N339" s="357">
        <v>85</v>
      </c>
      <c r="O339" s="339">
        <v>86</v>
      </c>
      <c r="P339" s="339">
        <v>85</v>
      </c>
      <c r="Q339" s="339">
        <v>85</v>
      </c>
      <c r="R339" s="339">
        <v>84</v>
      </c>
      <c r="S339" s="339">
        <v>80</v>
      </c>
      <c r="T339" s="375">
        <v>83</v>
      </c>
      <c r="U339" s="375">
        <v>84</v>
      </c>
      <c r="V339" s="375">
        <v>82</v>
      </c>
      <c r="W339" s="404">
        <v>80</v>
      </c>
      <c r="X339" s="11"/>
    </row>
    <row r="340" spans="3:24" ht="12" customHeight="1">
      <c r="C340" s="9" t="str">
        <f>VLOOKUP(50,Textbausteine!$A$2:$E$67,Hilfsgrössen!$D$2,FALSE)</f>
        <v>CarPostal</v>
      </c>
      <c r="D340" s="18"/>
      <c r="E340" s="290"/>
      <c r="H340" s="357"/>
      <c r="I340" s="357"/>
      <c r="J340" s="357"/>
      <c r="K340" s="357"/>
      <c r="L340" s="357"/>
      <c r="M340" s="357"/>
      <c r="N340" s="357"/>
      <c r="O340" s="339"/>
      <c r="P340" s="339"/>
      <c r="Q340" s="339"/>
      <c r="R340" s="339"/>
      <c r="S340" s="339"/>
      <c r="T340" s="375"/>
      <c r="U340" s="375"/>
      <c r="V340" s="375"/>
      <c r="W340" s="404"/>
      <c r="X340" s="11"/>
    </row>
    <row r="341" spans="3:24" ht="12" customHeight="1">
      <c r="C341" s="70" t="str">
        <f>VLOOKUP(233,Textbausteine!$M$2:$Q$345,Hilfsgrössen!$D$2,FALSE)</f>
        <v>Voyageurs de loisirs</v>
      </c>
      <c r="D341" s="18" t="str">
        <f>VLOOKUP(38,Textbausteine!$M$2:$Q$345,Hilfsgrössen!$D$2,FALSE)</f>
        <v>Indice</v>
      </c>
      <c r="E341" s="290">
        <v>1</v>
      </c>
      <c r="F341" s="37" t="s">
        <v>1403</v>
      </c>
      <c r="H341" s="357">
        <v>83</v>
      </c>
      <c r="I341" s="357">
        <v>81</v>
      </c>
      <c r="J341" s="357">
        <v>81</v>
      </c>
      <c r="K341" s="357">
        <v>82</v>
      </c>
      <c r="L341" s="357">
        <v>82</v>
      </c>
      <c r="M341" s="357">
        <v>81</v>
      </c>
      <c r="N341" s="357">
        <v>83</v>
      </c>
      <c r="O341" s="339">
        <v>83</v>
      </c>
      <c r="P341" s="339">
        <v>83</v>
      </c>
      <c r="Q341" s="339">
        <v>83</v>
      </c>
      <c r="R341" s="339">
        <v>84</v>
      </c>
      <c r="S341" s="339">
        <v>83</v>
      </c>
      <c r="T341" s="375">
        <v>85</v>
      </c>
      <c r="U341" s="375">
        <v>86</v>
      </c>
      <c r="V341" s="375">
        <v>84</v>
      </c>
      <c r="W341" s="404">
        <v>85</v>
      </c>
      <c r="X341" s="11"/>
    </row>
    <row r="342" spans="3:24" ht="12" customHeight="1">
      <c r="C342" s="15" t="str">
        <f>VLOOKUP(234,Textbausteine!$M$2:$Q$345,Hilfsgrössen!$D$2,FALSE)</f>
        <v>Clients pendulaires</v>
      </c>
      <c r="D342" s="1" t="str">
        <f>VLOOKUP(38,Textbausteine!$M$2:$Q$345,Hilfsgrössen!$D$2,FALSE)</f>
        <v>Indice</v>
      </c>
      <c r="E342" s="290">
        <v>1</v>
      </c>
      <c r="F342" s="37" t="s">
        <v>1403</v>
      </c>
      <c r="H342" s="333">
        <v>75</v>
      </c>
      <c r="I342" s="333">
        <v>73</v>
      </c>
      <c r="J342" s="333">
        <v>73</v>
      </c>
      <c r="K342" s="333">
        <v>73</v>
      </c>
      <c r="L342" s="333">
        <v>75</v>
      </c>
      <c r="M342" s="333">
        <v>73</v>
      </c>
      <c r="N342" s="357">
        <v>75</v>
      </c>
      <c r="O342" s="357">
        <v>75</v>
      </c>
      <c r="P342" s="350">
        <v>74</v>
      </c>
      <c r="Q342" s="334">
        <v>74</v>
      </c>
      <c r="R342" s="333">
        <v>76</v>
      </c>
      <c r="S342" s="333">
        <v>74</v>
      </c>
      <c r="T342" s="375">
        <v>78</v>
      </c>
      <c r="U342" s="375">
        <v>77</v>
      </c>
      <c r="V342" s="375">
        <v>77</v>
      </c>
      <c r="W342" s="404">
        <v>77</v>
      </c>
      <c r="X342" s="11"/>
    </row>
    <row r="343" spans="3:24" ht="12" customHeight="1">
      <c r="C343" s="15"/>
      <c r="H343" s="333"/>
      <c r="I343" s="333"/>
      <c r="J343" s="333"/>
      <c r="K343" s="333"/>
      <c r="L343" s="333"/>
      <c r="M343" s="333"/>
      <c r="N343" s="357"/>
      <c r="O343" s="357"/>
      <c r="P343" s="350"/>
      <c r="Q343" s="334"/>
      <c r="R343" s="333"/>
      <c r="S343" s="333"/>
      <c r="T343" s="375"/>
      <c r="U343" s="375"/>
      <c r="V343" s="375"/>
      <c r="W343" s="404"/>
      <c r="X343" s="11"/>
    </row>
    <row r="344" spans="2:24" ht="12" customHeight="1">
      <c r="B344" s="8" t="str">
        <f>VLOOKUP(235,Textbausteine!$M$2:$Q$345,Hilfsgrössen!$D$2,FALSE)</f>
        <v>Clients commerciaux</v>
      </c>
      <c r="C344" s="15"/>
      <c r="H344" s="333"/>
      <c r="I344" s="333"/>
      <c r="J344" s="333"/>
      <c r="K344" s="333"/>
      <c r="L344" s="333"/>
      <c r="M344" s="333"/>
      <c r="N344" s="357"/>
      <c r="O344" s="357"/>
      <c r="P344" s="350"/>
      <c r="Q344" s="334"/>
      <c r="R344" s="333"/>
      <c r="S344" s="333"/>
      <c r="T344" s="375"/>
      <c r="U344" s="375"/>
      <c r="V344" s="375"/>
      <c r="W344" s="404"/>
      <c r="X344" s="11"/>
    </row>
    <row r="345" spans="3:24" ht="12" customHeight="1">
      <c r="C345" s="9" t="str">
        <f>VLOOKUP(45,Textbausteine!$A$2:$E$67,Hilfsgrössen!$D$2,FALSE)</f>
        <v>PostMail</v>
      </c>
      <c r="D345" s="30" t="str">
        <f>VLOOKUP(38,Textbausteine!$M$2:$Q$345,Hilfsgrössen!$D$2,FALSE)</f>
        <v>Indice</v>
      </c>
      <c r="E345" s="286" t="s">
        <v>708</v>
      </c>
      <c r="F345" s="37" t="s">
        <v>1403</v>
      </c>
      <c r="H345" s="333">
        <v>72</v>
      </c>
      <c r="I345" s="333">
        <v>74</v>
      </c>
      <c r="J345" s="333">
        <v>76</v>
      </c>
      <c r="K345" s="333">
        <v>78</v>
      </c>
      <c r="L345" s="333">
        <v>77</v>
      </c>
      <c r="M345" s="333">
        <v>76</v>
      </c>
      <c r="N345" s="357">
        <v>78</v>
      </c>
      <c r="O345" s="357">
        <v>78</v>
      </c>
      <c r="P345" s="350">
        <v>78</v>
      </c>
      <c r="Q345" s="334">
        <v>78</v>
      </c>
      <c r="R345" s="333">
        <v>79</v>
      </c>
      <c r="S345" s="333">
        <v>79</v>
      </c>
      <c r="T345" s="375">
        <v>80</v>
      </c>
      <c r="U345" s="375">
        <v>79</v>
      </c>
      <c r="V345" s="375">
        <v>81</v>
      </c>
      <c r="W345" s="404">
        <v>81</v>
      </c>
      <c r="X345" s="11"/>
    </row>
    <row r="346" spans="3:24" ht="12" customHeight="1">
      <c r="C346" s="9" t="str">
        <f>VLOOKUP(48,Textbausteine!$A$2:$E$67,Hilfsgrössen!$D$2,FALSE)</f>
        <v>PostLogistics</v>
      </c>
      <c r="D346" s="75" t="str">
        <f>VLOOKUP(38,Textbausteine!$M$2:$Q$345,Hilfsgrössen!$D$2,FALSE)</f>
        <v>Indice</v>
      </c>
      <c r="E346" s="290" t="s">
        <v>1359</v>
      </c>
      <c r="F346" s="37" t="s">
        <v>1403</v>
      </c>
      <c r="H346" s="339">
        <v>78</v>
      </c>
      <c r="I346" s="339">
        <v>79</v>
      </c>
      <c r="J346" s="339">
        <v>80</v>
      </c>
      <c r="K346" s="339">
        <v>79</v>
      </c>
      <c r="L346" s="339">
        <v>79</v>
      </c>
      <c r="M346" s="339">
        <v>79</v>
      </c>
      <c r="N346" s="339">
        <v>79</v>
      </c>
      <c r="O346" s="339">
        <v>78</v>
      </c>
      <c r="P346" s="339">
        <v>78</v>
      </c>
      <c r="Q346" s="339">
        <v>78</v>
      </c>
      <c r="R346" s="339">
        <v>77</v>
      </c>
      <c r="S346" s="339">
        <v>77</v>
      </c>
      <c r="T346" s="375">
        <v>80</v>
      </c>
      <c r="U346" s="375">
        <v>79</v>
      </c>
      <c r="V346" s="375">
        <v>80</v>
      </c>
      <c r="W346" s="404">
        <v>80</v>
      </c>
      <c r="X346" s="11"/>
    </row>
    <row r="347" spans="3:24" ht="12" customHeight="1">
      <c r="C347" s="9" t="str">
        <f>VLOOKUP(46,Textbausteine!$A$2:$E$67,Hilfsgrössen!$D$2,FALSE)</f>
        <v>Swiss Post Solutions</v>
      </c>
      <c r="D347" s="30" t="str">
        <f>VLOOKUP(38,Textbausteine!$M$2:$Q$345,Hilfsgrössen!$D$2,FALSE)</f>
        <v>Indice</v>
      </c>
      <c r="E347" s="286" t="s">
        <v>2702</v>
      </c>
      <c r="F347" s="37" t="s">
        <v>1403</v>
      </c>
      <c r="H347" s="333">
        <v>72</v>
      </c>
      <c r="I347" s="333">
        <v>76</v>
      </c>
      <c r="J347" s="333">
        <v>76</v>
      </c>
      <c r="K347" s="333">
        <v>75</v>
      </c>
      <c r="L347" s="333">
        <v>77</v>
      </c>
      <c r="M347" s="333">
        <v>78</v>
      </c>
      <c r="N347" s="357">
        <v>81</v>
      </c>
      <c r="O347" s="357">
        <v>82</v>
      </c>
      <c r="P347" s="350">
        <v>83</v>
      </c>
      <c r="Q347" s="334">
        <v>80</v>
      </c>
      <c r="R347" s="333">
        <v>82</v>
      </c>
      <c r="S347" s="333">
        <v>79</v>
      </c>
      <c r="T347" s="375">
        <v>86</v>
      </c>
      <c r="U347" s="375">
        <v>87</v>
      </c>
      <c r="V347" s="375">
        <v>87</v>
      </c>
      <c r="W347" s="404">
        <v>88</v>
      </c>
      <c r="X347" s="11"/>
    </row>
    <row r="348" spans="3:24" ht="12" customHeight="1">
      <c r="C348" s="9" t="str">
        <f>VLOOKUP(49,Textbausteine!$A$2:$E$67,Hilfsgrössen!$D$2,FALSE)</f>
        <v>PostFinance</v>
      </c>
      <c r="D348" s="30" t="str">
        <f>VLOOKUP(38,Textbausteine!$M$2:$Q$345,Hilfsgrössen!$D$2,FALSE)</f>
        <v>Indice</v>
      </c>
      <c r="E348" s="286">
        <v>1</v>
      </c>
      <c r="F348" s="37" t="s">
        <v>1403</v>
      </c>
      <c r="H348" s="333">
        <v>80</v>
      </c>
      <c r="I348" s="333">
        <v>81</v>
      </c>
      <c r="J348" s="333">
        <v>82</v>
      </c>
      <c r="K348" s="333">
        <v>82</v>
      </c>
      <c r="L348" s="333">
        <v>82</v>
      </c>
      <c r="M348" s="333">
        <v>83</v>
      </c>
      <c r="N348" s="357">
        <v>83</v>
      </c>
      <c r="O348" s="357">
        <v>83</v>
      </c>
      <c r="P348" s="350">
        <v>84</v>
      </c>
      <c r="Q348" s="334">
        <v>83</v>
      </c>
      <c r="R348" s="333">
        <v>82</v>
      </c>
      <c r="S348" s="333">
        <v>79</v>
      </c>
      <c r="T348" s="375">
        <v>81</v>
      </c>
      <c r="U348" s="375">
        <v>80</v>
      </c>
      <c r="V348" s="375">
        <v>80</v>
      </c>
      <c r="W348" s="404">
        <v>76</v>
      </c>
      <c r="X348" s="11"/>
    </row>
    <row r="349" spans="3:23" ht="12" customHeight="1">
      <c r="C349" s="15"/>
      <c r="H349" s="162"/>
      <c r="I349" s="162"/>
      <c r="J349" s="162"/>
      <c r="K349" s="162"/>
      <c r="L349" s="162"/>
      <c r="M349" s="162"/>
      <c r="N349" s="20"/>
      <c r="O349" s="20"/>
      <c r="P349" s="107"/>
      <c r="Q349" s="163"/>
      <c r="R349" s="162"/>
      <c r="S349" s="162"/>
      <c r="T349" s="163"/>
      <c r="U349" s="163"/>
      <c r="V349" s="163"/>
      <c r="W349" s="163"/>
    </row>
    <row r="350" ht="12" customHeight="1">
      <c r="B350" s="26" t="str">
        <f>VLOOKUP(338,Textbausteine!$M$2:$Q$345,Hilfsgrössen!$D$2,FALSE)</f>
        <v>1) La satisfaction des clients vis-à-vis des prestations de la Poste est mesurée chaque année au moyen d’une enquête ad hoc. Jusqu’au 31.12.2015, les résultats de cette enquête étaient présentés sous la forme d’une valeur d’indices moyenne exprimant la satisfaction des attentes, la proximité avec le prestataire idéal et la satisfaction globale. Depuis le 1.1.2016, la valeur d’indice correspond à la satisfaction globale.</v>
      </c>
    </row>
    <row r="351" ht="12" customHeight="1">
      <c r="B351" s="26" t="str">
        <f>VLOOKUP(339,Textbausteine!$M$2:$Q$345,Hilfsgrössen!$D$2,FALSE)</f>
        <v>2) Depuis 2019, RéseauPostal réalise son enquête auprès de la clientèle uniquement en ligne. La valeur de l’exercice 2018 a été ajustée à des fins de comparabilité. Les valeurs antérieures à 2018 ne sont pas comparables.</v>
      </c>
    </row>
    <row r="352" ht="12" customHeight="1">
      <c r="B352" s="26" t="str">
        <f>VLOOKUP(340,Textbausteine!$M$2:$Q$345,Hilfsgrössen!$D$2,FALSE)</f>
        <v>3) En raison de l'introduction d'une nouvelle méthode de relevé en 2018, aucune valeur offrant une base de comparaison avec l'année antérieure ne peut être proposée.</v>
      </c>
    </row>
    <row r="353" ht="12" customHeight="1">
      <c r="B353" s="26" t="str">
        <f>VLOOKUP(341,Textbausteine!$M$2:$Q$345,Hilfsgrössen!$D$2,FALSE)</f>
        <v>4) Le tirage au sort de l'échantillon ayant été modifié; les résultats de 2015 ne peuvent donc pas être comparés avec ceux des années précédentes.</v>
      </c>
    </row>
    <row r="354" ht="12" customHeight="1">
      <c r="B354" s="26" t="str">
        <f>VLOOKUP(342,Textbausteine!$M$2:$Q$345,Hilfsgrössen!$D$2,FALSE)</f>
        <v>5) Poste CH SA sans les sociétés du groupe en Suisse et à l'étranger.</v>
      </c>
    </row>
    <row r="355" spans="2:23" ht="12" customHeight="1">
      <c r="B355" s="26" t="str">
        <f>VLOOKUP(343,Textbausteine!$M$2:$Q$345,Hilfsgrössen!$D$2,FALSE)</f>
        <v>6) La satisfaction des clients de l'unité du groupe PostLogistics a été mesurée pour la première fois en 2007; les valeurs des années précédentes sont celles de l'ancienne unité PosteColis.</v>
      </c>
      <c r="C355" s="15"/>
      <c r="H355" s="162"/>
      <c r="I355" s="162"/>
      <c r="J355" s="162"/>
      <c r="K355" s="162"/>
      <c r="L355" s="162"/>
      <c r="M355" s="162"/>
      <c r="N355" s="20"/>
      <c r="O355" s="20"/>
      <c r="P355" s="107"/>
      <c r="Q355" s="163"/>
      <c r="R355" s="162"/>
      <c r="S355" s="162"/>
      <c r="T355" s="163"/>
      <c r="U355" s="163"/>
      <c r="V355" s="163"/>
      <c r="W355" s="163"/>
    </row>
    <row r="356" ht="12" customHeight="1">
      <c r="B356" s="26" t="str">
        <f>VLOOKUP(344,Textbausteine!$M$2:$Q$345,Hilfsgrössen!$D$2,FALSE)</f>
        <v>7) La satisfaction des clients de Swiss Post Solutions a été mesurée pour la première fois en 2009; les valeurs des années précédentes sont celles de l'unité Clients stratégiques et solutions y compris la section Gestion des clients stratégiques et pour les années 2005 à 2007, celles de la section Gestion des clients stratégiques.</v>
      </c>
    </row>
  </sheetData>
  <sheetProtection sheet="1" objects="1" scenarios="1"/>
  <mergeCells count="14">
    <mergeCell ref="B332:C333"/>
    <mergeCell ref="D2:E2"/>
    <mergeCell ref="B259:C260"/>
    <mergeCell ref="B289:C290"/>
    <mergeCell ref="B2:C2"/>
    <mergeCell ref="B3:C3"/>
    <mergeCell ref="B187:C188"/>
    <mergeCell ref="B245:C246"/>
    <mergeCell ref="B20:C21"/>
    <mergeCell ref="B320:C321"/>
    <mergeCell ref="B47:C48"/>
    <mergeCell ref="B59:C60"/>
    <mergeCell ref="B74:C75"/>
    <mergeCell ref="B166:C167"/>
  </mergeCells>
  <conditionalFormatting sqref="H20:CC23 X24:CC24 H25:CC52 X53:CC53 H54:CC65 X66:CC68 H69:CC82 H87:CC88 X83:CC86 H96:CC97 X89:CC95 H104:CC122 X98:CC103 H124:CC130 H123 N123:CC123 H133:CC135 X131:CC132 H139:CC145 X136:CC138 X146:CC146 H147:CC192 K193:CC193 H194:CC268 H271:CC278 N269:CC269 P270:CC270 H281:CC295 X280:CC280 H279:K280 T279:CC279 H302:CC303 X296:CC301 H304:Q307 X304:CC307 H308:CC336 H349:CC10012 X337:CC348">
    <cfRule type="expression" priority="1" dxfId="0">
      <formula>AND($D20&lt;&gt;"",H$20&lt;&gt;"",H20="")</formula>
    </cfRule>
    <cfRule type="expression" priority="35" dxfId="1">
      <formula>AND($A20="",ABS(H20)=0)</formula>
    </cfRule>
    <cfRule type="expression" priority="37" dxfId="1">
      <formula>AND($A20="",ABS(H20)&lt;10)</formula>
    </cfRule>
    <cfRule type="expression" priority="38" dxfId="35">
      <formula>AND($A20="",ABS(H20)&lt;100)</formula>
    </cfRule>
    <cfRule type="expression" priority="39" dxfId="1">
      <formula>AND($A20="",ABS(H20)&gt;=100)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D2" location="Home" display="Home"/>
    <hyperlink ref="A187" location="GRI_102" display="Ó"/>
    <hyperlink ref="A245" location="GRI_102" display="Ó"/>
    <hyperlink ref="A289" location="GRI_102" display="Ó"/>
    <hyperlink ref="A259" location="GRI_102" display="Ó"/>
    <hyperlink ref="C12" location="GRI_102_8a" display="GRI_102_8a"/>
    <hyperlink ref="C13" location="GRI_102_8b" display="GRI_102_8b"/>
    <hyperlink ref="C14" location="GRI_102_8c" display="GRI_102_8c"/>
    <hyperlink ref="C15" location="GRI_102_8d" display="GRI_102_8d"/>
    <hyperlink ref="A320" location="GRI_102" display="Ó"/>
    <hyperlink ref="A47" location="GRI_102" display="Ó"/>
    <hyperlink ref="A59" location="GRI_102" display="Ó"/>
    <hyperlink ref="A74" location="GRI_102" display="Ó"/>
    <hyperlink ref="A166" location="GRI_102" display="Ó"/>
    <hyperlink ref="A332" location="GRI_102" display="Ó"/>
    <hyperlink ref="C8" location="GRI_102_7a" display="Finanzierung"/>
    <hyperlink ref="C9" location="GRI_102_7b" display="Cashflow und Investitionen"/>
    <hyperlink ref="C10" location="GRI_102_7c" display="Mengenentwicklung Konzern, in den Segmenten und Bereichen"/>
    <hyperlink ref="C11" location="GRI_102_7d" display="Volumen Zahlungsverkehr"/>
    <hyperlink ref="A20" location="GRI_102" display="Ó"/>
    <hyperlink ref="C7" location="GRI_102_6a" display="GRI_102_6a"/>
    <hyperlink ref="C16" location="GRI_102_9a" display="Lieferkette"/>
    <hyperlink ref="C17" location="GRI_102_43a" display="Kundenzufriedenheit"/>
  </hyperlinks>
  <printOptions/>
  <pageMargins left="0.7" right="0.7" top="0.787401575" bottom="0.787401575" header="0.3" footer="0.3"/>
  <pageSetup horizontalDpi="600" verticalDpi="600" orientation="portrait" paperSize="9"/>
  <ignoredErrors>
    <ignoredError sqref="E28 E31 E34 E202:E207 E251:E252 E264:E281 E298:E303 E125" twoDigitTextYear="1"/>
    <ignoredError sqref="C250 C305:C306" formula="1"/>
    <ignoredError sqref="E295 E106:E118 E81 E147 E144" numberStoredAsText="1"/>
    <ignoredError sqref="E304:E305" numberStoredAsText="1" twoDigitTextYear="1"/>
  </ignoredErrors>
</worksheet>
</file>

<file path=xl/worksheets/sheet3.xml><?xml version="1.0" encoding="utf-8"?>
<worksheet xmlns="http://schemas.openxmlformats.org/spreadsheetml/2006/main" xmlns:r="http://schemas.openxmlformats.org/officeDocument/2006/relationships">
  <sheetPr>
    <tabColor rgb="FF523178"/>
  </sheetPr>
  <dimension ref="A2:AD163"/>
  <sheetViews>
    <sheetView showGridLines="0" showRowColHeaders="0" zoomScale="90" zoomScaleNormal="90" zoomScalePageLayoutView="0" workbookViewId="0" topLeftCell="A1">
      <pane xSplit="7" topLeftCell="H1" activePane="topRight" state="frozen"/>
      <selection pane="topLeft" activeCell="B73" sqref="B73"/>
      <selection pane="topRight" activeCell="B3" sqref="B3:C3"/>
    </sheetView>
  </sheetViews>
  <sheetFormatPr defaultColWidth="10.75390625" defaultRowHeight="12.75" customHeight="1"/>
  <cols>
    <col min="1" max="1" width="2.50390625" style="86" customWidth="1"/>
    <col min="2" max="2" width="2.50390625" style="1" customWidth="1"/>
    <col min="3" max="3" width="73.375" style="1" customWidth="1"/>
    <col min="4" max="4" width="23.50390625" style="1" customWidth="1"/>
    <col min="5" max="5" width="9.50390625" style="37" customWidth="1"/>
    <col min="6" max="6" width="14.125" style="37" customWidth="1"/>
    <col min="7" max="7" width="2.50390625" style="47" customWidth="1"/>
    <col min="8" max="21" width="11.75390625" style="101" customWidth="1"/>
    <col min="22" max="23" width="12.00390625" style="20" customWidth="1"/>
    <col min="24" max="25" width="11.75390625" style="9" customWidth="1"/>
    <col min="26" max="40" width="11.75390625" style="1" customWidth="1"/>
    <col min="41" max="16384" width="10.75390625" style="1" customWidth="1"/>
  </cols>
  <sheetData>
    <row r="2" spans="1:25" s="153" customFormat="1" ht="25.5" customHeight="1">
      <c r="A2" s="83"/>
      <c r="B2" s="485" t="str">
        <f>UPPER(RIGHT(Inhaltsverzeichnis!$C$12,LEN(Inhaltsverzeichnis!$C$12)-FIND(" – ",Inhaltsverzeichnis!$C$12,1)-2))</f>
        <v>PERFORMANCE ÉCONOMIQUE</v>
      </c>
      <c r="C2" s="485"/>
      <c r="D2" s="481" t="str">
        <f>VLOOKUP(35,Textbausteine!$A$2:$E$67,Hilfsgrössen!$D$2,FALSE)</f>
        <v>retour à la table des matières</v>
      </c>
      <c r="E2" s="482"/>
      <c r="F2" s="145" t="s">
        <v>86</v>
      </c>
      <c r="G2" s="171"/>
      <c r="H2" s="155"/>
      <c r="I2" s="155"/>
      <c r="J2" s="155"/>
      <c r="K2" s="155"/>
      <c r="L2" s="155"/>
      <c r="M2" s="155"/>
      <c r="N2" s="155"/>
      <c r="O2" s="155"/>
      <c r="P2" s="155"/>
      <c r="Q2" s="155"/>
      <c r="R2" s="155"/>
      <c r="S2" s="155"/>
      <c r="T2" s="155"/>
      <c r="U2" s="155"/>
      <c r="V2" s="116"/>
      <c r="W2" s="116"/>
      <c r="X2" s="369"/>
      <c r="Y2" s="454"/>
    </row>
    <row r="3" spans="1:25" s="154" customFormat="1" ht="25.5" customHeight="1">
      <c r="A3" s="84"/>
      <c r="B3" s="486" t="str">
        <f>UPPER("GRI "&amp;LEFT(Inhaltsverzeichnis!$C$12,3))</f>
        <v>GRI 201</v>
      </c>
      <c r="C3" s="486"/>
      <c r="E3" s="38"/>
      <c r="F3" s="38"/>
      <c r="G3" s="45"/>
      <c r="H3" s="156"/>
      <c r="I3" s="156"/>
      <c r="J3" s="156"/>
      <c r="K3" s="156"/>
      <c r="L3" s="156"/>
      <c r="M3" s="156"/>
      <c r="N3" s="156"/>
      <c r="O3" s="156"/>
      <c r="P3" s="156"/>
      <c r="Q3" s="156"/>
      <c r="R3" s="156"/>
      <c r="S3" s="156"/>
      <c r="T3" s="156"/>
      <c r="U3" s="156"/>
      <c r="V3" s="116"/>
      <c r="W3" s="116"/>
      <c r="X3" s="370"/>
      <c r="Y3" s="370"/>
    </row>
    <row r="6" spans="1:25" s="31" customFormat="1" ht="12.75" customHeight="1">
      <c r="A6" s="85"/>
      <c r="B6" s="31" t="str">
        <f>VLOOKUP(31,Textbausteine!$A$2:$E$67,Hilfsgrössen!$D$2,FALSE)</f>
        <v>Divulgations</v>
      </c>
      <c r="E6" s="39"/>
      <c r="F6" s="39"/>
      <c r="G6" s="46"/>
      <c r="H6" s="95"/>
      <c r="I6" s="95"/>
      <c r="J6" s="95"/>
      <c r="K6" s="95"/>
      <c r="L6" s="95"/>
      <c r="M6" s="95"/>
      <c r="N6" s="95"/>
      <c r="O6" s="95"/>
      <c r="P6" s="95"/>
      <c r="Q6" s="95"/>
      <c r="R6" s="95"/>
      <c r="S6" s="95"/>
      <c r="T6" s="95"/>
      <c r="U6" s="95"/>
      <c r="V6" s="20"/>
      <c r="W6" s="20"/>
      <c r="X6" s="6"/>
      <c r="Y6" s="6"/>
    </row>
    <row r="7" spans="2:4" ht="12.75" customHeight="1">
      <c r="B7" s="2"/>
      <c r="C7" s="3" t="str">
        <f>VLOOKUP(1,Textbausteine!$S$2:$W$160,Hilfsgrössen!$D$2,FALSE)</f>
        <v>Résultat financier</v>
      </c>
      <c r="D7" s="4"/>
    </row>
    <row r="8" spans="2:4" ht="12.75" customHeight="1">
      <c r="B8" s="2"/>
      <c r="C8" s="3" t="str">
        <f>VLOOKUP(3,Textbausteine!$S$2:$W$160,Hilfsgrössen!$D$2,FALSE)</f>
        <v>Répartition de la valeur ajoutée</v>
      </c>
      <c r="D8" s="4"/>
    </row>
    <row r="9" spans="2:3" ht="12.75" customHeight="1">
      <c r="B9" s="2"/>
      <c r="C9" s="5" t="str">
        <f>VLOOKUP(2,Textbausteine!$S$2:$W$160,Hilfsgrössen!$D$2,FALSE)</f>
        <v>Caisse de pensions</v>
      </c>
    </row>
    <row r="10" ht="12.75" customHeight="1">
      <c r="B10" s="2"/>
    </row>
    <row r="11" ht="12.75" customHeight="1">
      <c r="B11" s="2"/>
    </row>
    <row r="12" spans="1:26" s="31" customFormat="1" ht="12.75" customHeight="1">
      <c r="A12" s="81" t="s">
        <v>807</v>
      </c>
      <c r="B12" s="480" t="str">
        <f>$C$7</f>
        <v>Résultat financier</v>
      </c>
      <c r="C12" s="480"/>
      <c r="D12" s="6" t="str">
        <f>VLOOKUP(32,Textbausteine!$A$2:$E$67,Hilfsgrössen!$D$2,FALSE)</f>
        <v>Unité</v>
      </c>
      <c r="E12" s="40" t="str">
        <f>VLOOKUP(33,Textbausteine!$A$2:$E$67,Hilfsgrössen!$D$2,FALSE)</f>
        <v>Notes</v>
      </c>
      <c r="F12" s="40" t="str">
        <f>VLOOKUP(34,Textbausteine!$A$2:$E$67,Hilfsgrössen!$D$2,FALSE)</f>
        <v>GRI</v>
      </c>
      <c r="G12" s="48"/>
      <c r="H12" s="104">
        <v>2004</v>
      </c>
      <c r="I12" s="104">
        <v>2005</v>
      </c>
      <c r="J12" s="104">
        <v>2006</v>
      </c>
      <c r="K12" s="104">
        <v>2007</v>
      </c>
      <c r="L12" s="104">
        <v>2008</v>
      </c>
      <c r="M12" s="104">
        <v>2009</v>
      </c>
      <c r="N12" s="104">
        <v>2010</v>
      </c>
      <c r="O12" s="104">
        <v>2011</v>
      </c>
      <c r="P12" s="117">
        <v>2012</v>
      </c>
      <c r="Q12" s="104">
        <v>2013</v>
      </c>
      <c r="R12" s="117" t="s">
        <v>57</v>
      </c>
      <c r="S12" s="104">
        <v>2014</v>
      </c>
      <c r="T12" s="104">
        <v>2015</v>
      </c>
      <c r="U12" s="117" t="s">
        <v>58</v>
      </c>
      <c r="V12" s="117">
        <v>2016</v>
      </c>
      <c r="W12" s="117">
        <v>2017</v>
      </c>
      <c r="X12" s="117" t="s">
        <v>2529</v>
      </c>
      <c r="Y12" s="117" t="s">
        <v>2528</v>
      </c>
      <c r="Z12" s="258">
        <v>2019</v>
      </c>
    </row>
    <row r="13" spans="1:26" s="31" customFormat="1" ht="12.75" customHeight="1">
      <c r="A13" s="86"/>
      <c r="B13" s="480"/>
      <c r="C13" s="480"/>
      <c r="D13" s="6"/>
      <c r="E13" s="40"/>
      <c r="F13" s="40"/>
      <c r="G13" s="48"/>
      <c r="H13" s="104"/>
      <c r="I13" s="104"/>
      <c r="J13" s="104"/>
      <c r="K13" s="104"/>
      <c r="L13" s="104"/>
      <c r="M13" s="104"/>
      <c r="N13" s="104"/>
      <c r="O13" s="104"/>
      <c r="P13" s="117"/>
      <c r="Q13" s="104"/>
      <c r="R13" s="117"/>
      <c r="S13" s="104"/>
      <c r="T13" s="104"/>
      <c r="U13" s="117"/>
      <c r="V13" s="20"/>
      <c r="W13" s="20"/>
      <c r="X13" s="20"/>
      <c r="Y13" s="20"/>
      <c r="Z13" s="259"/>
    </row>
    <row r="14" spans="2:26" ht="12.75" customHeight="1">
      <c r="B14" s="8"/>
      <c r="C14" s="9"/>
      <c r="D14" s="9"/>
      <c r="E14" s="12"/>
      <c r="F14" s="11"/>
      <c r="G14" s="49"/>
      <c r="H14" s="104"/>
      <c r="I14" s="104"/>
      <c r="J14" s="104"/>
      <c r="K14" s="104"/>
      <c r="L14" s="104"/>
      <c r="M14" s="104"/>
      <c r="N14" s="106"/>
      <c r="O14" s="106"/>
      <c r="P14" s="107"/>
      <c r="Q14" s="107"/>
      <c r="R14" s="107"/>
      <c r="S14" s="107"/>
      <c r="T14" s="107"/>
      <c r="U14" s="107"/>
      <c r="X14" s="20"/>
      <c r="Y14" s="20"/>
      <c r="Z14" s="259"/>
    </row>
    <row r="15" spans="2:26" ht="12.75" customHeight="1">
      <c r="B15" s="8" t="str">
        <f>VLOOKUP(36,Textbausteine!$A$2:$E$67,Hilfsgrössen!$D$2,FALSE)</f>
        <v>Groupe</v>
      </c>
      <c r="D15" s="9"/>
      <c r="E15" s="11"/>
      <c r="F15" s="11"/>
      <c r="G15" s="49"/>
      <c r="H15" s="105"/>
      <c r="I15" s="105"/>
      <c r="J15" s="105"/>
      <c r="K15" s="105"/>
      <c r="L15" s="105"/>
      <c r="M15" s="105"/>
      <c r="N15" s="107"/>
      <c r="O15" s="107"/>
      <c r="P15" s="107"/>
      <c r="Q15" s="107"/>
      <c r="R15" s="107"/>
      <c r="S15" s="107"/>
      <c r="T15" s="107"/>
      <c r="U15" s="107"/>
      <c r="X15" s="20"/>
      <c r="Y15" s="20"/>
      <c r="Z15" s="259"/>
    </row>
    <row r="16" spans="3:26" ht="12.75" customHeight="1">
      <c r="C16" s="9" t="str">
        <f>VLOOKUP(31,Textbausteine!$S$2:$W$160,Hilfsgrössen!$D$2,FALSE)</f>
        <v>Produits d'exploitation</v>
      </c>
      <c r="D16" s="9" t="str">
        <f>VLOOKUP(11,Textbausteine!$S$2:$W$160,Hilfsgrössen!$D$2,FALSE)</f>
        <v>Millions de CHF</v>
      </c>
      <c r="E16" s="11"/>
      <c r="F16" s="11" t="s">
        <v>64</v>
      </c>
      <c r="G16" s="49"/>
      <c r="H16" s="181" t="s">
        <v>1470</v>
      </c>
      <c r="I16" s="14">
        <v>7499</v>
      </c>
      <c r="J16" s="14">
        <v>7895</v>
      </c>
      <c r="K16" s="14">
        <v>8712</v>
      </c>
      <c r="L16" s="14">
        <v>8980</v>
      </c>
      <c r="M16" s="14">
        <v>8558</v>
      </c>
      <c r="N16" s="14">
        <v>8736</v>
      </c>
      <c r="O16" s="14">
        <v>8599</v>
      </c>
      <c r="P16" s="14">
        <v>8576</v>
      </c>
      <c r="Q16" s="359">
        <v>8470</v>
      </c>
      <c r="R16" s="359">
        <v>8575</v>
      </c>
      <c r="S16" s="20" t="s">
        <v>73</v>
      </c>
      <c r="T16" s="14">
        <v>8224</v>
      </c>
      <c r="U16" s="14">
        <v>8224</v>
      </c>
      <c r="V16" s="14">
        <v>8188</v>
      </c>
      <c r="W16" s="14">
        <v>8007</v>
      </c>
      <c r="X16" s="14">
        <v>8064</v>
      </c>
      <c r="Y16" s="14">
        <v>7254</v>
      </c>
      <c r="Z16" s="414">
        <v>7164</v>
      </c>
    </row>
    <row r="17" spans="1:26" ht="12.75" customHeight="1">
      <c r="A17" s="63"/>
      <c r="C17" s="15" t="str">
        <f>VLOOKUP(32,Textbausteine!$S$2:$W$160,Hilfsgrössen!$D$2,FALSE)</f>
        <v>réalisés à l’étranger et transfrontalier</v>
      </c>
      <c r="D17" s="9" t="str">
        <f>VLOOKUP(11,Textbausteine!$S$2:$W$160,Hilfsgrössen!$D$2,FALSE)</f>
        <v>Millions de CHF</v>
      </c>
      <c r="E17" s="11">
        <v>1</v>
      </c>
      <c r="F17" s="11" t="s">
        <v>64</v>
      </c>
      <c r="G17" s="49"/>
      <c r="H17" s="181" t="s">
        <v>1470</v>
      </c>
      <c r="I17" s="14">
        <v>1089</v>
      </c>
      <c r="J17" s="14">
        <v>1391</v>
      </c>
      <c r="K17" s="14">
        <v>1741</v>
      </c>
      <c r="L17" s="14">
        <v>1608</v>
      </c>
      <c r="M17" s="14">
        <v>1391</v>
      </c>
      <c r="N17" s="14">
        <v>1218</v>
      </c>
      <c r="O17" s="14">
        <v>1095</v>
      </c>
      <c r="P17" s="14">
        <v>1025</v>
      </c>
      <c r="Q17" s="20" t="s">
        <v>59</v>
      </c>
      <c r="R17" s="20" t="s">
        <v>59</v>
      </c>
      <c r="S17" s="466">
        <v>1233</v>
      </c>
      <c r="T17" s="14">
        <v>1149</v>
      </c>
      <c r="U17" s="14">
        <v>1149</v>
      </c>
      <c r="V17" s="14">
        <v>1124</v>
      </c>
      <c r="W17" s="14">
        <v>1153</v>
      </c>
      <c r="X17" s="14">
        <v>1153</v>
      </c>
      <c r="Y17" s="14">
        <v>1061</v>
      </c>
      <c r="Z17" s="414">
        <v>1060</v>
      </c>
    </row>
    <row r="18" spans="1:26" ht="12.75" customHeight="1">
      <c r="A18" s="87"/>
      <c r="C18" s="35" t="str">
        <f>VLOOKUP(37,Textbausteine!$S$2:$W$160,Hilfsgrössen!$D$2,FALSE)</f>
        <v>en proportion des produits d'exploitation</v>
      </c>
      <c r="D18" s="9" t="str">
        <f>VLOOKUP(12,Textbausteine!$S$2:$W$160,Hilfsgrössen!$D$2,FALSE)</f>
        <v>%</v>
      </c>
      <c r="E18" s="11"/>
      <c r="F18" s="11" t="s">
        <v>64</v>
      </c>
      <c r="G18" s="49"/>
      <c r="H18" s="181" t="s">
        <v>1470</v>
      </c>
      <c r="I18" s="105">
        <v>14.1</v>
      </c>
      <c r="J18" s="105">
        <v>17.6</v>
      </c>
      <c r="K18" s="105">
        <v>20</v>
      </c>
      <c r="L18" s="105">
        <v>17.9</v>
      </c>
      <c r="M18" s="20">
        <v>16.3</v>
      </c>
      <c r="N18" s="20">
        <v>13.9</v>
      </c>
      <c r="O18" s="20">
        <v>12.7</v>
      </c>
      <c r="P18" s="408">
        <f>P17/P16*100</f>
        <v>11.95195895522388</v>
      </c>
      <c r="Q18" s="137">
        <v>13.4</v>
      </c>
      <c r="R18" s="137">
        <v>13.2</v>
      </c>
      <c r="S18" s="137">
        <v>14.7</v>
      </c>
      <c r="T18" s="137">
        <v>14</v>
      </c>
      <c r="U18" s="137">
        <v>14</v>
      </c>
      <c r="V18" s="119">
        <v>13.9</v>
      </c>
      <c r="W18" s="119">
        <v>14.4</v>
      </c>
      <c r="X18" s="119">
        <v>14.3</v>
      </c>
      <c r="Y18" s="119">
        <v>14.6</v>
      </c>
      <c r="Z18" s="422">
        <v>14.8</v>
      </c>
    </row>
    <row r="19" spans="3:26" ht="12.75" customHeight="1">
      <c r="C19" s="15" t="str">
        <f>VLOOKUP(33,Textbausteine!$S$2:$W$160,Hilfsgrössen!$D$2,FALSE)</f>
        <v>Services réservés</v>
      </c>
      <c r="D19" s="9" t="str">
        <f>VLOOKUP(11,Textbausteine!$S$2:$W$160,Hilfsgrössen!$D$2,FALSE)</f>
        <v>Millions de CHF</v>
      </c>
      <c r="E19" s="11">
        <v>2</v>
      </c>
      <c r="F19" s="11" t="s">
        <v>64</v>
      </c>
      <c r="G19" s="49"/>
      <c r="H19" s="181" t="s">
        <v>1470</v>
      </c>
      <c r="I19" s="412">
        <v>2395</v>
      </c>
      <c r="J19" s="412">
        <v>2028</v>
      </c>
      <c r="K19" s="412">
        <v>1893</v>
      </c>
      <c r="L19" s="412">
        <v>1835</v>
      </c>
      <c r="M19" s="14">
        <v>1641</v>
      </c>
      <c r="N19" s="14">
        <v>1469</v>
      </c>
      <c r="O19" s="14">
        <v>1378</v>
      </c>
      <c r="P19" s="359">
        <v>1360</v>
      </c>
      <c r="Q19" s="359">
        <v>1237</v>
      </c>
      <c r="R19" s="359">
        <v>1237</v>
      </c>
      <c r="S19" s="359">
        <v>1213</v>
      </c>
      <c r="T19" s="359">
        <v>1225</v>
      </c>
      <c r="U19" s="359">
        <v>1225</v>
      </c>
      <c r="V19" s="14">
        <v>1161</v>
      </c>
      <c r="W19" s="14">
        <v>1153</v>
      </c>
      <c r="X19" s="14">
        <v>1153</v>
      </c>
      <c r="Y19" s="14">
        <v>1106</v>
      </c>
      <c r="Z19" s="428">
        <v>1046</v>
      </c>
    </row>
    <row r="20" spans="3:26" ht="12.75" customHeight="1">
      <c r="C20" s="35" t="str">
        <f>VLOOKUP(37,Textbausteine!$S$2:$W$160,Hilfsgrössen!$D$2,FALSE)</f>
        <v>en proportion des produits d'exploitation</v>
      </c>
      <c r="D20" s="9" t="str">
        <f>VLOOKUP(12,Textbausteine!$S$2:$W$160,Hilfsgrössen!$D$2,FALSE)</f>
        <v>%</v>
      </c>
      <c r="E20" s="11"/>
      <c r="F20" s="11" t="s">
        <v>64</v>
      </c>
      <c r="G20" s="49"/>
      <c r="H20" s="181" t="s">
        <v>1470</v>
      </c>
      <c r="I20" s="105">
        <v>31.9</v>
      </c>
      <c r="J20" s="105">
        <v>25.7</v>
      </c>
      <c r="K20" s="105">
        <v>21.728650137741045</v>
      </c>
      <c r="L20" s="105">
        <v>20.4</v>
      </c>
      <c r="M20" s="20">
        <v>19.2</v>
      </c>
      <c r="N20" s="20">
        <v>16.8</v>
      </c>
      <c r="O20" s="20">
        <v>16</v>
      </c>
      <c r="P20" s="408">
        <f>P19/P16*100</f>
        <v>15.858208955223882</v>
      </c>
      <c r="Q20" s="408">
        <f>Q19/Q16*100</f>
        <v>14.604486422668241</v>
      </c>
      <c r="R20" s="408">
        <f>R19/R16*100</f>
        <v>14.425655976676385</v>
      </c>
      <c r="S20" s="408">
        <f>S19/8371*100</f>
        <v>14.490502926770995</v>
      </c>
      <c r="T20" s="137">
        <v>14.9</v>
      </c>
      <c r="U20" s="137">
        <v>14.9</v>
      </c>
      <c r="V20" s="107">
        <v>14.2</v>
      </c>
      <c r="W20" s="107">
        <v>14.4</v>
      </c>
      <c r="X20" s="107">
        <v>14.3</v>
      </c>
      <c r="Y20" s="107">
        <v>15.2</v>
      </c>
      <c r="Z20" s="261">
        <v>14.6</v>
      </c>
    </row>
    <row r="21" spans="3:26" ht="12.75" customHeight="1">
      <c r="C21" s="10" t="str">
        <f>VLOOKUP(34,Textbausteine!$S$2:$W$160,Hilfsgrössen!$D$2,FALSE)</f>
        <v>Charges d'exploitation</v>
      </c>
      <c r="D21" s="9" t="str">
        <f>VLOOKUP(11,Textbausteine!$S$2:$W$160,Hilfsgrössen!$D$2,FALSE)</f>
        <v>Millions de CHF</v>
      </c>
      <c r="E21" s="11"/>
      <c r="F21" s="11" t="s">
        <v>64</v>
      </c>
      <c r="G21" s="49"/>
      <c r="H21" s="181" t="s">
        <v>1470</v>
      </c>
      <c r="I21" s="412">
        <v>6694</v>
      </c>
      <c r="J21" s="14">
        <v>7072</v>
      </c>
      <c r="K21" s="14">
        <v>7846</v>
      </c>
      <c r="L21" s="14">
        <v>8168</v>
      </c>
      <c r="M21" s="14">
        <v>7837</v>
      </c>
      <c r="N21" s="14">
        <v>7806</v>
      </c>
      <c r="O21" s="14">
        <v>7691</v>
      </c>
      <c r="P21" s="359">
        <v>7717</v>
      </c>
      <c r="Q21" s="359">
        <v>7229</v>
      </c>
      <c r="R21" s="359">
        <v>7664</v>
      </c>
      <c r="S21" s="359">
        <v>7654</v>
      </c>
      <c r="T21" s="17">
        <v>7348</v>
      </c>
      <c r="U21" s="17">
        <v>7401</v>
      </c>
      <c r="V21" s="17">
        <v>7484</v>
      </c>
      <c r="W21" s="17">
        <v>7346</v>
      </c>
      <c r="X21" s="17">
        <v>7346</v>
      </c>
      <c r="Y21" s="17">
        <v>6749</v>
      </c>
      <c r="Z21" s="414">
        <v>6714</v>
      </c>
    </row>
    <row r="22" spans="3:26" ht="12.75" customHeight="1">
      <c r="C22" s="15" t="str">
        <f>VLOOKUP(35,Textbausteine!$S$2:$W$160,Hilfsgrössen!$D$2,FALSE)</f>
        <v>Charges de personnel</v>
      </c>
      <c r="D22" s="9" t="str">
        <f>VLOOKUP(11,Textbausteine!$S$2:$W$160,Hilfsgrössen!$D$2,FALSE)</f>
        <v>Millions de CHF</v>
      </c>
      <c r="E22" s="11"/>
      <c r="F22" s="11" t="s">
        <v>64</v>
      </c>
      <c r="G22" s="49"/>
      <c r="H22" s="181" t="s">
        <v>1470</v>
      </c>
      <c r="I22" s="412">
        <v>3704</v>
      </c>
      <c r="J22" s="14">
        <v>3711</v>
      </c>
      <c r="K22" s="14">
        <v>3851</v>
      </c>
      <c r="L22" s="14">
        <v>3873</v>
      </c>
      <c r="M22" s="14">
        <v>4032</v>
      </c>
      <c r="N22" s="14">
        <v>4076</v>
      </c>
      <c r="O22" s="14">
        <v>4026</v>
      </c>
      <c r="P22" s="359">
        <v>4161</v>
      </c>
      <c r="Q22" s="359">
        <v>3701</v>
      </c>
      <c r="R22" s="359">
        <v>4131</v>
      </c>
      <c r="S22" s="359">
        <v>4108</v>
      </c>
      <c r="T22" s="17">
        <v>4022</v>
      </c>
      <c r="U22" s="17">
        <v>4074</v>
      </c>
      <c r="V22" s="17">
        <v>4034</v>
      </c>
      <c r="W22" s="17">
        <v>3989</v>
      </c>
      <c r="X22" s="17">
        <v>3989</v>
      </c>
      <c r="Y22" s="17">
        <v>3802</v>
      </c>
      <c r="Z22" s="414">
        <v>3764</v>
      </c>
    </row>
    <row r="23" spans="3:27" ht="12.75" customHeight="1">
      <c r="C23" s="10" t="str">
        <f>VLOOKUP(36,Textbausteine!$S$2:$W$160,Hilfsgrössen!$D$2,FALSE)</f>
        <v>Résultat d'exploitation</v>
      </c>
      <c r="D23" s="9" t="str">
        <f>VLOOKUP(11,Textbausteine!$S$2:$W$160,Hilfsgrössen!$D$2,FALSE)</f>
        <v>Millions de CHF</v>
      </c>
      <c r="E23" s="11"/>
      <c r="F23" s="11" t="s">
        <v>64</v>
      </c>
      <c r="G23" s="49"/>
      <c r="H23" s="181" t="s">
        <v>1470</v>
      </c>
      <c r="I23" s="105">
        <v>805</v>
      </c>
      <c r="J23" s="105">
        <v>823</v>
      </c>
      <c r="K23" s="105">
        <v>866</v>
      </c>
      <c r="L23" s="105">
        <v>812</v>
      </c>
      <c r="M23" s="20">
        <v>721</v>
      </c>
      <c r="N23" s="20">
        <v>930</v>
      </c>
      <c r="O23" s="20">
        <v>908</v>
      </c>
      <c r="P23" s="137">
        <v>860</v>
      </c>
      <c r="Q23" s="137">
        <v>1241</v>
      </c>
      <c r="R23" s="137">
        <v>911</v>
      </c>
      <c r="S23" s="137">
        <v>803</v>
      </c>
      <c r="T23" s="107">
        <v>876</v>
      </c>
      <c r="U23" s="107">
        <v>823</v>
      </c>
      <c r="V23" s="107">
        <v>704</v>
      </c>
      <c r="W23" s="107">
        <v>661</v>
      </c>
      <c r="X23" s="107">
        <v>718</v>
      </c>
      <c r="Y23" s="107">
        <v>505</v>
      </c>
      <c r="Z23" s="261">
        <v>450</v>
      </c>
      <c r="AA23" s="9"/>
    </row>
    <row r="24" spans="3:27" ht="12.75" customHeight="1">
      <c r="C24" s="15" t="str">
        <f>VLOOKUP(37,Textbausteine!$S$2:$W$160,Hilfsgrössen!$D$2,FALSE)</f>
        <v>en proportion des produits d'exploitation</v>
      </c>
      <c r="D24" s="9" t="str">
        <f>VLOOKUP(12,Textbausteine!$S$2:$W$160,Hilfsgrössen!$D$2,FALSE)</f>
        <v>%</v>
      </c>
      <c r="E24" s="11"/>
      <c r="F24" s="11" t="s">
        <v>64</v>
      </c>
      <c r="G24" s="49"/>
      <c r="H24" s="406" t="s">
        <v>1470</v>
      </c>
      <c r="I24" s="407">
        <v>10.7</v>
      </c>
      <c r="J24" s="407">
        <v>10.4</v>
      </c>
      <c r="K24" s="407">
        <v>9.9</v>
      </c>
      <c r="L24" s="407">
        <v>9</v>
      </c>
      <c r="M24" s="389">
        <v>8.3</v>
      </c>
      <c r="N24" s="389">
        <v>10.7</v>
      </c>
      <c r="O24" s="389">
        <v>10.6</v>
      </c>
      <c r="P24" s="408">
        <f>P23/P16*100</f>
        <v>10.027985074626866</v>
      </c>
      <c r="Q24" s="408">
        <v>14.651711924439201</v>
      </c>
      <c r="R24" s="408">
        <f>R23/R16*100</f>
        <v>10.623906705539358</v>
      </c>
      <c r="S24" s="367">
        <v>9.6</v>
      </c>
      <c r="T24" s="367">
        <v>10.7</v>
      </c>
      <c r="U24" s="367">
        <v>10</v>
      </c>
      <c r="V24" s="367">
        <v>8.6</v>
      </c>
      <c r="W24" s="367">
        <v>8.3</v>
      </c>
      <c r="X24" s="367">
        <v>8.9</v>
      </c>
      <c r="Y24" s="367">
        <v>7</v>
      </c>
      <c r="Z24" s="409">
        <v>6.3</v>
      </c>
      <c r="AA24" s="9"/>
    </row>
    <row r="25" spans="3:27" ht="12.75" customHeight="1">
      <c r="C25" s="15" t="str">
        <f>VLOOKUP(39,Textbausteine!$S$2:$W$160,Hilfsgrössen!$D$2,FALSE)</f>
        <v>réalisés à l’étranger et transfrontalier</v>
      </c>
      <c r="D25" s="9" t="str">
        <f>VLOOKUP(11,Textbausteine!$S$2:$W$160,Hilfsgrössen!$D$2,FALSE)</f>
        <v>Millions de CHF</v>
      </c>
      <c r="E25" s="11">
        <v>1</v>
      </c>
      <c r="F25" s="11" t="s">
        <v>64</v>
      </c>
      <c r="G25" s="49"/>
      <c r="H25" s="181" t="s">
        <v>1470</v>
      </c>
      <c r="I25" s="105">
        <v>38</v>
      </c>
      <c r="J25" s="105">
        <v>54.2</v>
      </c>
      <c r="K25" s="105">
        <v>60.6</v>
      </c>
      <c r="L25" s="105">
        <v>32.7</v>
      </c>
      <c r="M25" s="105">
        <v>35</v>
      </c>
      <c r="N25" s="20">
        <v>24.4</v>
      </c>
      <c r="O25" s="20">
        <v>52</v>
      </c>
      <c r="P25" s="137">
        <v>35</v>
      </c>
      <c r="Q25" s="20" t="s">
        <v>2383</v>
      </c>
      <c r="R25" s="20" t="s">
        <v>2383</v>
      </c>
      <c r="S25" s="137">
        <v>72</v>
      </c>
      <c r="T25" s="107">
        <v>57</v>
      </c>
      <c r="U25" s="107">
        <v>57</v>
      </c>
      <c r="V25" s="107">
        <v>64</v>
      </c>
      <c r="W25" s="107">
        <v>82</v>
      </c>
      <c r="X25" s="107">
        <v>82</v>
      </c>
      <c r="Y25" s="107">
        <v>91</v>
      </c>
      <c r="Z25" s="261">
        <v>67</v>
      </c>
      <c r="AA25" s="9"/>
    </row>
    <row r="26" spans="3:27" ht="12.75" customHeight="1">
      <c r="C26" s="35" t="str">
        <f>VLOOKUP(38,Textbausteine!$S$2:$W$160,Hilfsgrössen!$D$2,FALSE)</f>
        <v>en proportion des produits d'exploitation</v>
      </c>
      <c r="D26" s="9" t="str">
        <f>VLOOKUP(12,Textbausteine!$S$2:$W$160,Hilfsgrössen!$D$2,FALSE)</f>
        <v>%</v>
      </c>
      <c r="E26" s="11"/>
      <c r="F26" s="11" t="s">
        <v>64</v>
      </c>
      <c r="G26" s="49"/>
      <c r="H26" s="406" t="s">
        <v>1470</v>
      </c>
      <c r="I26" s="407">
        <v>4.7</v>
      </c>
      <c r="J26" s="407">
        <v>6.6</v>
      </c>
      <c r="K26" s="407">
        <v>7</v>
      </c>
      <c r="L26" s="407">
        <v>4</v>
      </c>
      <c r="M26" s="389">
        <v>4.9</v>
      </c>
      <c r="N26" s="389">
        <v>2.6</v>
      </c>
      <c r="O26" s="389">
        <v>5.7</v>
      </c>
      <c r="P26" s="408">
        <f>P25/P23*100</f>
        <v>4.069767441860465</v>
      </c>
      <c r="Q26" s="408">
        <v>4.8</v>
      </c>
      <c r="R26" s="408">
        <v>6.6</v>
      </c>
      <c r="S26" s="408">
        <v>9</v>
      </c>
      <c r="T26" s="367">
        <v>6.5</v>
      </c>
      <c r="U26" s="367">
        <v>6.9</v>
      </c>
      <c r="V26" s="367">
        <v>9.1</v>
      </c>
      <c r="W26" s="367">
        <v>12.4</v>
      </c>
      <c r="X26" s="367">
        <v>11.4</v>
      </c>
      <c r="Y26" s="367">
        <v>18</v>
      </c>
      <c r="Z26" s="409">
        <v>14.9</v>
      </c>
      <c r="AA26" s="9"/>
    </row>
    <row r="27" spans="3:27" ht="12.75" customHeight="1">
      <c r="C27" s="9" t="str">
        <f>VLOOKUP(40,Textbausteine!$S$2:$W$160,Hilfsgrössen!$D$2,FALSE)</f>
        <v>Bénéfice consolidé</v>
      </c>
      <c r="D27" s="9" t="str">
        <f>VLOOKUP(11,Textbausteine!$S$2:$W$160,Hilfsgrössen!$D$2,FALSE)</f>
        <v>Millions de CHF</v>
      </c>
      <c r="E27" s="11"/>
      <c r="F27" s="11" t="s">
        <v>64</v>
      </c>
      <c r="G27" s="49"/>
      <c r="H27" s="181" t="s">
        <v>1470</v>
      </c>
      <c r="I27" s="105">
        <v>811</v>
      </c>
      <c r="J27" s="105">
        <v>837</v>
      </c>
      <c r="K27" s="105">
        <v>909</v>
      </c>
      <c r="L27" s="105">
        <v>825</v>
      </c>
      <c r="M27" s="20">
        <v>728</v>
      </c>
      <c r="N27" s="20">
        <v>910</v>
      </c>
      <c r="O27" s="20">
        <v>904</v>
      </c>
      <c r="P27" s="137">
        <v>772</v>
      </c>
      <c r="Q27" s="137">
        <v>1751</v>
      </c>
      <c r="R27" s="137">
        <v>626</v>
      </c>
      <c r="S27" s="137">
        <v>638</v>
      </c>
      <c r="T27" s="107">
        <v>631</v>
      </c>
      <c r="U27" s="107">
        <v>645</v>
      </c>
      <c r="V27" s="107">
        <v>558</v>
      </c>
      <c r="W27" s="107">
        <v>482</v>
      </c>
      <c r="X27" s="107">
        <v>527</v>
      </c>
      <c r="Y27" s="107">
        <v>404</v>
      </c>
      <c r="Z27" s="261">
        <v>255</v>
      </c>
      <c r="AA27" s="9"/>
    </row>
    <row r="28" spans="3:27" ht="12.75" customHeight="1">
      <c r="C28" s="9" t="str">
        <f>VLOOKUP(41,Textbausteine!$S$2:$W$160,Hilfsgrössen!$D$2,FALSE)</f>
        <v>Flux de trésorerie des activités opérationnelles</v>
      </c>
      <c r="D28" s="9" t="str">
        <f>VLOOKUP(11,Textbausteine!$S$2:$W$160,Hilfsgrössen!$D$2,FALSE)</f>
        <v>Millions de CHF</v>
      </c>
      <c r="E28" s="11"/>
      <c r="F28" s="11" t="s">
        <v>64</v>
      </c>
      <c r="G28" s="49"/>
      <c r="H28" s="181" t="s">
        <v>1470</v>
      </c>
      <c r="I28" s="412">
        <v>3603</v>
      </c>
      <c r="J28" s="412">
        <v>3247</v>
      </c>
      <c r="K28" s="412">
        <v>-3312</v>
      </c>
      <c r="L28" s="412">
        <v>8281</v>
      </c>
      <c r="M28" s="14">
        <v>-357</v>
      </c>
      <c r="N28" s="14">
        <v>-2271</v>
      </c>
      <c r="O28" s="14">
        <v>19679</v>
      </c>
      <c r="P28" s="359">
        <v>13424</v>
      </c>
      <c r="Q28" s="359">
        <v>-367</v>
      </c>
      <c r="R28" s="359">
        <v>-367</v>
      </c>
      <c r="S28" s="359">
        <v>-1925</v>
      </c>
      <c r="T28" s="17">
        <v>-2990</v>
      </c>
      <c r="U28" s="17">
        <v>-2990</v>
      </c>
      <c r="V28" s="17">
        <v>-385</v>
      </c>
      <c r="W28" s="17">
        <v>1941</v>
      </c>
      <c r="X28" s="17">
        <v>1941</v>
      </c>
      <c r="Y28" s="17">
        <v>-1309</v>
      </c>
      <c r="Z28" s="414">
        <v>10289</v>
      </c>
      <c r="AA28" s="9"/>
    </row>
    <row r="29" spans="1:27" ht="12.75" customHeight="1">
      <c r="A29" s="58"/>
      <c r="C29" s="9" t="str">
        <f>VLOOKUP(42,Textbausteine!$S$2:$W$160,Hilfsgrössen!$D$2,FALSE)</f>
        <v>Valeur ajoutée de l'entreprise</v>
      </c>
      <c r="D29" s="9" t="str">
        <f>VLOOKUP(11,Textbausteine!$S$2:$W$160,Hilfsgrössen!$D$2,FALSE)</f>
        <v>Millions de CHF</v>
      </c>
      <c r="E29" s="11">
        <v>3</v>
      </c>
      <c r="F29" s="11" t="s">
        <v>64</v>
      </c>
      <c r="G29" s="49"/>
      <c r="H29" s="181" t="s">
        <v>1470</v>
      </c>
      <c r="I29" s="105">
        <v>532</v>
      </c>
      <c r="J29" s="105">
        <v>532</v>
      </c>
      <c r="K29" s="105">
        <v>559</v>
      </c>
      <c r="L29" s="105">
        <v>416</v>
      </c>
      <c r="M29" s="20">
        <v>272</v>
      </c>
      <c r="N29" s="20">
        <v>452</v>
      </c>
      <c r="O29" s="20">
        <v>390</v>
      </c>
      <c r="P29" s="137">
        <v>269</v>
      </c>
      <c r="Q29" s="20" t="s">
        <v>60</v>
      </c>
      <c r="R29" s="20" t="s">
        <v>60</v>
      </c>
      <c r="S29" s="107">
        <v>207</v>
      </c>
      <c r="T29" s="107">
        <v>169</v>
      </c>
      <c r="U29" s="107">
        <v>169</v>
      </c>
      <c r="V29" s="107">
        <v>121</v>
      </c>
      <c r="W29" s="107">
        <v>102</v>
      </c>
      <c r="X29" s="107">
        <v>102</v>
      </c>
      <c r="Y29" s="107">
        <v>-24</v>
      </c>
      <c r="Z29" s="261">
        <v>-17</v>
      </c>
      <c r="AA29" s="9"/>
    </row>
    <row r="30" spans="3:27" ht="12.75" customHeight="1">
      <c r="C30" s="9"/>
      <c r="D30" s="9"/>
      <c r="E30" s="11"/>
      <c r="F30" s="11"/>
      <c r="G30" s="49"/>
      <c r="H30" s="105"/>
      <c r="I30" s="105"/>
      <c r="J30" s="105"/>
      <c r="K30" s="105"/>
      <c r="L30" s="105"/>
      <c r="M30" s="20"/>
      <c r="N30" s="107"/>
      <c r="O30" s="107"/>
      <c r="P30" s="107"/>
      <c r="Q30" s="107"/>
      <c r="R30" s="107"/>
      <c r="S30" s="107"/>
      <c r="T30" s="107"/>
      <c r="U30" s="107"/>
      <c r="V30" s="107"/>
      <c r="W30" s="107"/>
      <c r="X30" s="107"/>
      <c r="Y30" s="107"/>
      <c r="Z30" s="261"/>
      <c r="AA30" s="9"/>
    </row>
    <row r="31" spans="2:27" ht="12.75" customHeight="1">
      <c r="B31" s="8" t="str">
        <f>VLOOKUP(45,Textbausteine!$A$2:$E$67,Hilfsgrössen!$D$2,FALSE)</f>
        <v>PostMail</v>
      </c>
      <c r="D31" s="9"/>
      <c r="E31" s="11"/>
      <c r="F31" s="13"/>
      <c r="G31" s="50"/>
      <c r="H31" s="105"/>
      <c r="I31" s="105"/>
      <c r="J31" s="105"/>
      <c r="K31" s="105"/>
      <c r="L31" s="107"/>
      <c r="M31" s="20"/>
      <c r="N31" s="107"/>
      <c r="O31" s="107"/>
      <c r="P31" s="20"/>
      <c r="Q31" s="20"/>
      <c r="R31" s="20"/>
      <c r="S31" s="20"/>
      <c r="T31" s="20"/>
      <c r="U31" s="20"/>
      <c r="V31" s="107"/>
      <c r="W31" s="107"/>
      <c r="X31" s="107"/>
      <c r="Y31" s="107"/>
      <c r="Z31" s="261"/>
      <c r="AA31" s="9"/>
    </row>
    <row r="32" spans="3:27" ht="12.75" customHeight="1">
      <c r="C32" s="9" t="str">
        <f>VLOOKUP(31,Textbausteine!$S$2:$W$160,Hilfsgrössen!$D$2,FALSE)</f>
        <v>Produits d'exploitation</v>
      </c>
      <c r="D32" s="9" t="str">
        <f>VLOOKUP(11,Textbausteine!$S$2:$W$160,Hilfsgrössen!$D$2,FALSE)</f>
        <v>Millions de CHF</v>
      </c>
      <c r="E32" s="11"/>
      <c r="F32" s="11" t="s">
        <v>64</v>
      </c>
      <c r="G32" s="49"/>
      <c r="H32" s="181" t="s">
        <v>1470</v>
      </c>
      <c r="I32" s="14">
        <v>3178</v>
      </c>
      <c r="J32" s="14">
        <v>3028</v>
      </c>
      <c r="K32" s="14">
        <v>3008</v>
      </c>
      <c r="L32" s="14">
        <v>2916</v>
      </c>
      <c r="M32" s="14">
        <v>2808</v>
      </c>
      <c r="N32" s="14">
        <v>2619</v>
      </c>
      <c r="O32" s="14">
        <v>3141</v>
      </c>
      <c r="P32" s="14">
        <v>3102</v>
      </c>
      <c r="Q32" s="14">
        <v>2959</v>
      </c>
      <c r="R32" s="14">
        <v>2959</v>
      </c>
      <c r="S32" s="14">
        <v>2887</v>
      </c>
      <c r="T32" s="14">
        <v>2820</v>
      </c>
      <c r="U32" s="14">
        <v>2820</v>
      </c>
      <c r="V32" s="14">
        <v>2906</v>
      </c>
      <c r="W32" s="14">
        <v>2779</v>
      </c>
      <c r="X32" s="14">
        <v>2835</v>
      </c>
      <c r="Y32" s="14">
        <v>2721</v>
      </c>
      <c r="Z32" s="414">
        <v>2615</v>
      </c>
      <c r="AA32" s="9"/>
    </row>
    <row r="33" spans="3:27" ht="12.75" customHeight="1">
      <c r="C33" s="15" t="str">
        <f>VLOOKUP(33,Textbausteine!$S$2:$W$160,Hilfsgrössen!$D$2,FALSE)</f>
        <v>Services réservés</v>
      </c>
      <c r="D33" s="9" t="str">
        <f>VLOOKUP(12,Textbausteine!$S$2:$W$160,Hilfsgrössen!$D$2,FALSE)</f>
        <v>%</v>
      </c>
      <c r="E33" s="11" t="s">
        <v>1585</v>
      </c>
      <c r="F33" s="11" t="s">
        <v>64</v>
      </c>
      <c r="G33" s="49"/>
      <c r="H33" s="181" t="s">
        <v>1470</v>
      </c>
      <c r="I33" s="107">
        <v>68.3</v>
      </c>
      <c r="J33" s="107">
        <v>59.5</v>
      </c>
      <c r="K33" s="107">
        <v>56.800000000000004</v>
      </c>
      <c r="L33" s="107">
        <v>58.1</v>
      </c>
      <c r="M33" s="20">
        <v>53.5</v>
      </c>
      <c r="N33" s="20">
        <v>39.1</v>
      </c>
      <c r="O33" s="20">
        <v>34</v>
      </c>
      <c r="P33" s="107">
        <v>34.4</v>
      </c>
      <c r="Q33" s="137">
        <v>33</v>
      </c>
      <c r="R33" s="137">
        <v>33</v>
      </c>
      <c r="S33" s="107">
        <v>33.4</v>
      </c>
      <c r="T33" s="107">
        <v>34.8</v>
      </c>
      <c r="U33" s="107">
        <v>34.8</v>
      </c>
      <c r="V33" s="107">
        <v>40</v>
      </c>
      <c r="W33" s="107">
        <v>41.5</v>
      </c>
      <c r="X33" s="107">
        <v>41.5</v>
      </c>
      <c r="Y33" s="107">
        <v>40.6</v>
      </c>
      <c r="Z33" s="261">
        <v>40</v>
      </c>
      <c r="AA33" s="9"/>
    </row>
    <row r="34" spans="3:27" ht="12.75" customHeight="1">
      <c r="C34" s="9" t="str">
        <f>VLOOKUP(36,Textbausteine!$S$2:$W$160,Hilfsgrössen!$D$2,FALSE)</f>
        <v>Résultat d'exploitation</v>
      </c>
      <c r="D34" s="9" t="str">
        <f>VLOOKUP(11,Textbausteine!$S$2:$W$160,Hilfsgrössen!$D$2,FALSE)</f>
        <v>Millions de CHF</v>
      </c>
      <c r="E34" s="11"/>
      <c r="F34" s="11" t="s">
        <v>64</v>
      </c>
      <c r="G34" s="49"/>
      <c r="H34" s="181" t="s">
        <v>1470</v>
      </c>
      <c r="I34" s="107">
        <v>218</v>
      </c>
      <c r="J34" s="107">
        <v>383</v>
      </c>
      <c r="K34" s="107">
        <v>236</v>
      </c>
      <c r="L34" s="107">
        <v>249</v>
      </c>
      <c r="M34" s="20">
        <v>198</v>
      </c>
      <c r="N34" s="20">
        <v>199</v>
      </c>
      <c r="O34" s="20">
        <v>251</v>
      </c>
      <c r="P34" s="107">
        <v>346</v>
      </c>
      <c r="Q34" s="137">
        <v>491</v>
      </c>
      <c r="R34" s="137">
        <v>324</v>
      </c>
      <c r="S34" s="107">
        <v>334</v>
      </c>
      <c r="T34" s="107">
        <v>383</v>
      </c>
      <c r="U34" s="107">
        <v>358</v>
      </c>
      <c r="V34" s="107">
        <v>317</v>
      </c>
      <c r="W34" s="107">
        <v>315</v>
      </c>
      <c r="X34" s="107">
        <v>370</v>
      </c>
      <c r="Y34" s="107">
        <v>388</v>
      </c>
      <c r="Z34" s="261">
        <v>370</v>
      </c>
      <c r="AA34" s="9"/>
    </row>
    <row r="35" spans="3:27" ht="12.75" customHeight="1">
      <c r="C35" s="9"/>
      <c r="D35" s="9"/>
      <c r="E35" s="11"/>
      <c r="F35" s="13"/>
      <c r="G35" s="50"/>
      <c r="H35" s="105"/>
      <c r="I35" s="105"/>
      <c r="J35" s="105"/>
      <c r="K35" s="105"/>
      <c r="L35" s="107"/>
      <c r="M35" s="107"/>
      <c r="N35" s="107"/>
      <c r="O35" s="107"/>
      <c r="P35" s="20"/>
      <c r="Q35" s="140"/>
      <c r="R35" s="140"/>
      <c r="S35" s="20"/>
      <c r="T35" s="20"/>
      <c r="U35" s="20"/>
      <c r="V35" s="107"/>
      <c r="W35" s="107"/>
      <c r="X35" s="107"/>
      <c r="Y35" s="107"/>
      <c r="Z35" s="261"/>
      <c r="AA35" s="9"/>
    </row>
    <row r="36" spans="2:27" ht="12.75" customHeight="1">
      <c r="B36" s="8" t="str">
        <f>VLOOKUP(46,Textbausteine!$A$2:$E$67,Hilfsgrössen!$D$2,FALSE)</f>
        <v>Swiss Post Solutions</v>
      </c>
      <c r="D36" s="8"/>
      <c r="E36" s="13"/>
      <c r="F36" s="13"/>
      <c r="G36" s="50"/>
      <c r="H36" s="105"/>
      <c r="I36" s="105"/>
      <c r="J36" s="105"/>
      <c r="K36" s="105"/>
      <c r="L36" s="107"/>
      <c r="M36" s="20"/>
      <c r="N36" s="20"/>
      <c r="O36" s="20"/>
      <c r="P36" s="20"/>
      <c r="Q36" s="140"/>
      <c r="R36" s="140"/>
      <c r="S36" s="20"/>
      <c r="T36" s="20"/>
      <c r="U36" s="20"/>
      <c r="V36" s="107"/>
      <c r="W36" s="107"/>
      <c r="X36" s="107"/>
      <c r="Y36" s="107"/>
      <c r="Z36" s="261"/>
      <c r="AA36" s="9"/>
    </row>
    <row r="37" spans="3:27" ht="12.75" customHeight="1">
      <c r="C37" s="9" t="str">
        <f>VLOOKUP(31,Textbausteine!$S$2:$W$160,Hilfsgrössen!$D$2,FALSE)</f>
        <v>Produits d'exploitation</v>
      </c>
      <c r="D37" s="18" t="str">
        <f>VLOOKUP(11,Textbausteine!$S$2:$W$160,Hilfsgrössen!$D$2,FALSE)</f>
        <v>Millions de CHF</v>
      </c>
      <c r="E37" s="13">
        <v>5</v>
      </c>
      <c r="F37" s="11" t="s">
        <v>64</v>
      </c>
      <c r="G37" s="49"/>
      <c r="H37" s="181" t="s">
        <v>1470</v>
      </c>
      <c r="I37" s="181" t="s">
        <v>1470</v>
      </c>
      <c r="J37" s="181" t="s">
        <v>1470</v>
      </c>
      <c r="K37" s="105">
        <v>692</v>
      </c>
      <c r="L37" s="107">
        <v>708</v>
      </c>
      <c r="M37" s="20">
        <v>696</v>
      </c>
      <c r="N37" s="20">
        <v>665</v>
      </c>
      <c r="O37" s="20">
        <v>549</v>
      </c>
      <c r="P37" s="107">
        <v>549</v>
      </c>
      <c r="Q37" s="137">
        <v>616</v>
      </c>
      <c r="R37" s="137">
        <v>616</v>
      </c>
      <c r="S37" s="107">
        <v>659</v>
      </c>
      <c r="T37" s="107">
        <v>609</v>
      </c>
      <c r="U37" s="107">
        <v>609</v>
      </c>
      <c r="V37" s="107">
        <v>558</v>
      </c>
      <c r="W37" s="107">
        <v>551</v>
      </c>
      <c r="X37" s="107">
        <v>551</v>
      </c>
      <c r="Y37" s="107">
        <v>583</v>
      </c>
      <c r="Z37" s="261">
        <v>599</v>
      </c>
      <c r="AA37" s="9"/>
    </row>
    <row r="38" spans="3:27" ht="12.75" customHeight="1">
      <c r="C38" s="9" t="str">
        <f>VLOOKUP(36,Textbausteine!$S$2:$W$160,Hilfsgrössen!$D$2,FALSE)</f>
        <v>Résultat d'exploitation</v>
      </c>
      <c r="D38" s="18" t="str">
        <f>VLOOKUP(11,Textbausteine!$S$2:$W$160,Hilfsgrössen!$D$2,FALSE)</f>
        <v>Millions de CHF</v>
      </c>
      <c r="E38" s="13">
        <v>5</v>
      </c>
      <c r="F38" s="11" t="s">
        <v>64</v>
      </c>
      <c r="G38" s="49"/>
      <c r="H38" s="181" t="s">
        <v>1470</v>
      </c>
      <c r="I38" s="181" t="s">
        <v>1470</v>
      </c>
      <c r="J38" s="377" t="s">
        <v>1470</v>
      </c>
      <c r="K38" s="376">
        <v>-1</v>
      </c>
      <c r="L38" s="350">
        <v>9</v>
      </c>
      <c r="M38" s="357">
        <v>-25</v>
      </c>
      <c r="N38" s="357">
        <v>7</v>
      </c>
      <c r="O38" s="357">
        <v>11</v>
      </c>
      <c r="P38" s="350">
        <v>3</v>
      </c>
      <c r="Q38" s="410">
        <v>15</v>
      </c>
      <c r="R38" s="410">
        <v>5</v>
      </c>
      <c r="S38" s="350">
        <v>12</v>
      </c>
      <c r="T38" s="350">
        <v>16</v>
      </c>
      <c r="U38" s="350">
        <v>15</v>
      </c>
      <c r="V38" s="350">
        <v>20</v>
      </c>
      <c r="W38" s="350">
        <v>25</v>
      </c>
      <c r="X38" s="350">
        <v>25</v>
      </c>
      <c r="Y38" s="350">
        <v>31</v>
      </c>
      <c r="Z38" s="411">
        <v>32</v>
      </c>
      <c r="AA38" s="9"/>
    </row>
    <row r="39" spans="3:27" ht="12.75" customHeight="1">
      <c r="C39" s="9"/>
      <c r="D39" s="9"/>
      <c r="E39" s="11"/>
      <c r="F39" s="13"/>
      <c r="G39" s="50"/>
      <c r="H39" s="105"/>
      <c r="I39" s="105"/>
      <c r="J39" s="105"/>
      <c r="K39" s="105"/>
      <c r="L39" s="107"/>
      <c r="M39" s="107"/>
      <c r="N39" s="107"/>
      <c r="O39" s="107"/>
      <c r="P39" s="20"/>
      <c r="Q39" s="140"/>
      <c r="R39" s="140"/>
      <c r="S39" s="20"/>
      <c r="T39" s="20"/>
      <c r="U39" s="20"/>
      <c r="V39" s="107"/>
      <c r="W39" s="107"/>
      <c r="X39" s="107"/>
      <c r="Y39" s="107"/>
      <c r="Z39" s="261"/>
      <c r="AA39" s="9"/>
    </row>
    <row r="40" spans="2:27" ht="12.75" customHeight="1">
      <c r="B40" s="8" t="str">
        <f>VLOOKUP(47,Textbausteine!$A$2:$E$67,Hilfsgrössen!$D$2,FALSE)</f>
        <v>RéseauPostal</v>
      </c>
      <c r="D40" s="9"/>
      <c r="E40" s="13"/>
      <c r="F40" s="13"/>
      <c r="G40" s="50"/>
      <c r="H40" s="105"/>
      <c r="I40" s="105"/>
      <c r="J40" s="105"/>
      <c r="K40" s="105"/>
      <c r="L40" s="107"/>
      <c r="M40" s="20"/>
      <c r="N40" s="20"/>
      <c r="O40" s="20"/>
      <c r="P40" s="20"/>
      <c r="Q40" s="140"/>
      <c r="R40" s="140"/>
      <c r="S40" s="20"/>
      <c r="T40" s="20"/>
      <c r="U40" s="20"/>
      <c r="V40" s="107"/>
      <c r="W40" s="107"/>
      <c r="X40" s="107"/>
      <c r="Y40" s="107"/>
      <c r="Z40" s="261"/>
      <c r="AA40" s="9"/>
    </row>
    <row r="41" spans="3:27" ht="12.75" customHeight="1">
      <c r="C41" s="9" t="str">
        <f>VLOOKUP(31,Textbausteine!$S$2:$W$160,Hilfsgrössen!$D$2,FALSE)</f>
        <v>Produits d'exploitation</v>
      </c>
      <c r="D41" s="9" t="str">
        <f>VLOOKUP(11,Textbausteine!$S$2:$W$160,Hilfsgrössen!$D$2,FALSE)</f>
        <v>Millions de CHF</v>
      </c>
      <c r="E41" s="13"/>
      <c r="F41" s="11" t="s">
        <v>64</v>
      </c>
      <c r="G41" s="49"/>
      <c r="H41" s="181" t="s">
        <v>1470</v>
      </c>
      <c r="I41" s="14">
        <v>1875</v>
      </c>
      <c r="J41" s="14">
        <v>1651</v>
      </c>
      <c r="K41" s="14">
        <v>1736</v>
      </c>
      <c r="L41" s="14">
        <v>1337</v>
      </c>
      <c r="M41" s="14">
        <v>1359</v>
      </c>
      <c r="N41" s="14">
        <v>1769</v>
      </c>
      <c r="O41" s="14">
        <v>1706</v>
      </c>
      <c r="P41" s="14">
        <v>1509</v>
      </c>
      <c r="Q41" s="14">
        <v>1592</v>
      </c>
      <c r="R41" s="14">
        <v>1697</v>
      </c>
      <c r="S41" s="14">
        <v>1663</v>
      </c>
      <c r="T41" s="14">
        <v>1601</v>
      </c>
      <c r="U41" s="14">
        <v>1601</v>
      </c>
      <c r="V41" s="14">
        <v>1196</v>
      </c>
      <c r="W41" s="14">
        <v>1102</v>
      </c>
      <c r="X41" s="14">
        <v>1102</v>
      </c>
      <c r="Y41" s="14">
        <v>753</v>
      </c>
      <c r="Z41" s="414">
        <v>693</v>
      </c>
      <c r="AA41" s="9"/>
    </row>
    <row r="42" spans="3:27" ht="12.75" customHeight="1">
      <c r="C42" s="19" t="str">
        <f>VLOOKUP(33,Textbausteine!$S$2:$W$160,Hilfsgrössen!$D$2,FALSE)</f>
        <v>Services réservés</v>
      </c>
      <c r="D42" s="9" t="str">
        <f>VLOOKUP(12,Textbausteine!$S$2:$W$160,Hilfsgrössen!$D$2,FALSE)</f>
        <v>%</v>
      </c>
      <c r="E42" s="13">
        <v>4</v>
      </c>
      <c r="F42" s="11" t="s">
        <v>64</v>
      </c>
      <c r="G42" s="49"/>
      <c r="H42" s="181" t="s">
        <v>1470</v>
      </c>
      <c r="I42" s="20" t="s">
        <v>51</v>
      </c>
      <c r="J42" s="20" t="s">
        <v>51</v>
      </c>
      <c r="K42" s="20" t="s">
        <v>51</v>
      </c>
      <c r="L42" s="183" t="s">
        <v>51</v>
      </c>
      <c r="M42" s="20" t="s">
        <v>51</v>
      </c>
      <c r="N42" s="20" t="s">
        <v>51</v>
      </c>
      <c r="O42" s="20">
        <v>18.2</v>
      </c>
      <c r="P42" s="107">
        <v>17.3</v>
      </c>
      <c r="Q42" s="137">
        <v>16.5</v>
      </c>
      <c r="R42" s="137">
        <v>15.5</v>
      </c>
      <c r="S42" s="107">
        <v>15</v>
      </c>
      <c r="T42" s="107">
        <v>15.2</v>
      </c>
      <c r="U42" s="107">
        <v>15.2</v>
      </c>
      <c r="V42" s="107" t="s">
        <v>51</v>
      </c>
      <c r="W42" s="107" t="s">
        <v>51</v>
      </c>
      <c r="X42" s="107" t="s">
        <v>51</v>
      </c>
      <c r="Y42" s="107" t="s">
        <v>51</v>
      </c>
      <c r="Z42" s="261" t="s">
        <v>51</v>
      </c>
      <c r="AA42" s="9"/>
    </row>
    <row r="43" spans="3:26" ht="12.75" customHeight="1">
      <c r="C43" s="15" t="str">
        <f>VLOOKUP(43,Textbausteine!$S$2:$W$160,Hilfsgrössen!$D$2,FALSE)</f>
        <v>Chiffre d'affaires net autres articles de marque</v>
      </c>
      <c r="D43" s="9" t="str">
        <f>VLOOKUP(11,Textbausteine!$S$2:$W$160,Hilfsgrössen!$D$2,FALSE)</f>
        <v>Millions de CHF</v>
      </c>
      <c r="E43" s="13"/>
      <c r="F43" s="11" t="s">
        <v>64</v>
      </c>
      <c r="G43" s="49"/>
      <c r="H43" s="181" t="s">
        <v>1470</v>
      </c>
      <c r="I43" s="105">
        <v>390</v>
      </c>
      <c r="J43" s="105">
        <v>405</v>
      </c>
      <c r="K43" s="105">
        <v>420</v>
      </c>
      <c r="L43" s="183">
        <v>444</v>
      </c>
      <c r="M43" s="20">
        <v>462</v>
      </c>
      <c r="N43" s="20">
        <v>482</v>
      </c>
      <c r="O43" s="20">
        <v>495</v>
      </c>
      <c r="P43" s="107">
        <v>498</v>
      </c>
      <c r="Q43" s="137">
        <v>497</v>
      </c>
      <c r="R43" s="137">
        <v>497</v>
      </c>
      <c r="S43" s="137">
        <v>509</v>
      </c>
      <c r="T43" s="107">
        <v>480</v>
      </c>
      <c r="U43" s="107">
        <v>480</v>
      </c>
      <c r="V43" s="107">
        <v>473</v>
      </c>
      <c r="W43" s="107">
        <v>425</v>
      </c>
      <c r="X43" s="107">
        <v>425</v>
      </c>
      <c r="Y43" s="107">
        <v>97.1</v>
      </c>
      <c r="Z43" s="261">
        <v>78.2</v>
      </c>
    </row>
    <row r="44" spans="3:26" ht="12.75" customHeight="1">
      <c r="C44" s="9" t="str">
        <f>VLOOKUP(36,Textbausteine!$S$2:$W$160,Hilfsgrössen!$D$2,FALSE)</f>
        <v>Résultat d'exploitation</v>
      </c>
      <c r="D44" s="9" t="str">
        <f>VLOOKUP(11,Textbausteine!$S$2:$W$160,Hilfsgrössen!$D$2,FALSE)</f>
        <v>Millions de CHF</v>
      </c>
      <c r="E44" s="13"/>
      <c r="F44" s="11" t="s">
        <v>64</v>
      </c>
      <c r="G44" s="49"/>
      <c r="H44" s="181" t="s">
        <v>1470</v>
      </c>
      <c r="I44" s="412">
        <v>27</v>
      </c>
      <c r="J44" s="412">
        <v>-111</v>
      </c>
      <c r="K44" s="412">
        <v>-25</v>
      </c>
      <c r="L44" s="413">
        <v>-95</v>
      </c>
      <c r="M44" s="14">
        <v>-113</v>
      </c>
      <c r="N44" s="14">
        <v>-108</v>
      </c>
      <c r="O44" s="14">
        <v>-151</v>
      </c>
      <c r="P44" s="17">
        <v>-307</v>
      </c>
      <c r="Q44" s="359">
        <v>-110</v>
      </c>
      <c r="R44" s="359">
        <v>-91</v>
      </c>
      <c r="S44" s="359">
        <v>-100</v>
      </c>
      <c r="T44" s="17">
        <v>-100</v>
      </c>
      <c r="U44" s="17">
        <v>-110</v>
      </c>
      <c r="V44" s="17">
        <v>-193</v>
      </c>
      <c r="W44" s="17">
        <v>-159</v>
      </c>
      <c r="X44" s="17">
        <v>-159</v>
      </c>
      <c r="Y44" s="17">
        <v>-94</v>
      </c>
      <c r="Z44" s="414">
        <v>-132</v>
      </c>
    </row>
    <row r="45" spans="3:26" ht="12.75" customHeight="1">
      <c r="C45" s="9"/>
      <c r="D45" s="9"/>
      <c r="E45" s="11"/>
      <c r="F45" s="11"/>
      <c r="G45" s="49"/>
      <c r="H45" s="105"/>
      <c r="I45" s="105"/>
      <c r="J45" s="105"/>
      <c r="K45" s="105"/>
      <c r="L45" s="107"/>
      <c r="M45" s="107"/>
      <c r="N45" s="107"/>
      <c r="O45" s="107"/>
      <c r="P45" s="105"/>
      <c r="Q45" s="184"/>
      <c r="R45" s="184"/>
      <c r="S45" s="105"/>
      <c r="T45" s="105"/>
      <c r="U45" s="105"/>
      <c r="V45" s="107"/>
      <c r="W45" s="107"/>
      <c r="X45" s="107"/>
      <c r="Y45" s="107"/>
      <c r="Z45" s="261"/>
    </row>
    <row r="46" spans="2:26" ht="12.75" customHeight="1">
      <c r="B46" s="8" t="str">
        <f>VLOOKUP(48,Textbausteine!$A$2:$E$67,Hilfsgrössen!$D$2,FALSE)</f>
        <v>PostLogistics</v>
      </c>
      <c r="D46" s="9"/>
      <c r="E46" s="11"/>
      <c r="F46" s="13"/>
      <c r="G46" s="50"/>
      <c r="H46" s="181"/>
      <c r="I46" s="107"/>
      <c r="J46" s="107"/>
      <c r="K46" s="107"/>
      <c r="L46" s="107"/>
      <c r="M46" s="20"/>
      <c r="N46" s="107"/>
      <c r="O46" s="107"/>
      <c r="P46" s="20"/>
      <c r="Q46" s="140"/>
      <c r="R46" s="140"/>
      <c r="S46" s="20"/>
      <c r="T46" s="20"/>
      <c r="U46" s="20"/>
      <c r="V46" s="107"/>
      <c r="W46" s="107"/>
      <c r="X46" s="107"/>
      <c r="Y46" s="107"/>
      <c r="Z46" s="261"/>
    </row>
    <row r="47" spans="3:26" ht="12.75" customHeight="1">
      <c r="C47" s="9" t="str">
        <f>VLOOKUP(31,Textbausteine!$S$2:$W$160,Hilfsgrössen!$D$2,FALSE)</f>
        <v>Produits d'exploitation</v>
      </c>
      <c r="D47" s="9" t="str">
        <f>VLOOKUP(11,Textbausteine!$S$2:$W$160,Hilfsgrössen!$D$2,FALSE)</f>
        <v>Millions de CHF</v>
      </c>
      <c r="E47" s="11"/>
      <c r="F47" s="11" t="s">
        <v>64</v>
      </c>
      <c r="G47" s="49"/>
      <c r="H47" s="181" t="s">
        <v>1470</v>
      </c>
      <c r="I47" s="14">
        <v>1368</v>
      </c>
      <c r="J47" s="14">
        <v>1375</v>
      </c>
      <c r="K47" s="14">
        <v>1461</v>
      </c>
      <c r="L47" s="14">
        <v>1516</v>
      </c>
      <c r="M47" s="14">
        <v>1488</v>
      </c>
      <c r="N47" s="14">
        <v>1478</v>
      </c>
      <c r="O47" s="14">
        <v>1501</v>
      </c>
      <c r="P47" s="14">
        <v>1535</v>
      </c>
      <c r="Q47" s="14">
        <v>1581</v>
      </c>
      <c r="R47" s="14">
        <v>1581</v>
      </c>
      <c r="S47" s="14">
        <v>1562</v>
      </c>
      <c r="T47" s="14">
        <v>1552</v>
      </c>
      <c r="U47" s="14">
        <v>1552</v>
      </c>
      <c r="V47" s="14">
        <v>1572</v>
      </c>
      <c r="W47" s="14">
        <v>1618</v>
      </c>
      <c r="X47" s="14">
        <v>1619</v>
      </c>
      <c r="Y47" s="14">
        <v>1664</v>
      </c>
      <c r="Z47" s="414">
        <v>1708</v>
      </c>
    </row>
    <row r="48" spans="3:26" ht="12.75" customHeight="1">
      <c r="C48" s="9" t="str">
        <f>VLOOKUP(36,Textbausteine!$S$2:$W$160,Hilfsgrössen!$D$2,FALSE)</f>
        <v>Résultat d'exploitation</v>
      </c>
      <c r="D48" s="9" t="str">
        <f>VLOOKUP(11,Textbausteine!$S$2:$W$160,Hilfsgrössen!$D$2,FALSE)</f>
        <v>Millions de CHF</v>
      </c>
      <c r="E48" s="11"/>
      <c r="F48" s="11" t="s">
        <v>64</v>
      </c>
      <c r="G48" s="49"/>
      <c r="H48" s="181" t="s">
        <v>1470</v>
      </c>
      <c r="I48" s="107">
        <v>87</v>
      </c>
      <c r="J48" s="107">
        <v>93</v>
      </c>
      <c r="K48" s="107">
        <v>76</v>
      </c>
      <c r="L48" s="107">
        <v>39</v>
      </c>
      <c r="M48" s="20">
        <v>45</v>
      </c>
      <c r="N48" s="20">
        <v>164</v>
      </c>
      <c r="O48" s="20">
        <v>162</v>
      </c>
      <c r="P48" s="107">
        <v>149</v>
      </c>
      <c r="Q48" s="137">
        <v>189</v>
      </c>
      <c r="R48" s="137">
        <v>133</v>
      </c>
      <c r="S48" s="137">
        <v>141</v>
      </c>
      <c r="T48" s="107">
        <v>152</v>
      </c>
      <c r="U48" s="107">
        <v>145</v>
      </c>
      <c r="V48" s="107">
        <v>117</v>
      </c>
      <c r="W48" s="107">
        <v>117</v>
      </c>
      <c r="X48" s="107">
        <v>119</v>
      </c>
      <c r="Y48" s="107">
        <v>145</v>
      </c>
      <c r="Z48" s="261">
        <v>128</v>
      </c>
    </row>
    <row r="49" spans="1:26" ht="12.75" customHeight="1">
      <c r="A49" s="58"/>
      <c r="C49" s="9"/>
      <c r="D49" s="9"/>
      <c r="E49" s="11"/>
      <c r="F49" s="13"/>
      <c r="G49" s="50"/>
      <c r="H49" s="105"/>
      <c r="I49" s="105"/>
      <c r="J49" s="105"/>
      <c r="K49" s="105"/>
      <c r="L49" s="107"/>
      <c r="M49" s="107"/>
      <c r="N49" s="107"/>
      <c r="O49" s="107"/>
      <c r="P49" s="20"/>
      <c r="Q49" s="140"/>
      <c r="R49" s="140"/>
      <c r="S49" s="140"/>
      <c r="T49" s="20"/>
      <c r="U49" s="20"/>
      <c r="V49" s="107"/>
      <c r="W49" s="107"/>
      <c r="X49" s="107"/>
      <c r="Y49" s="107"/>
      <c r="Z49" s="261"/>
    </row>
    <row r="50" spans="2:26" ht="12.75" customHeight="1">
      <c r="B50" s="8" t="str">
        <f>VLOOKUP(49,Textbausteine!$A$2:$E$67,Hilfsgrössen!$D$2,FALSE)</f>
        <v>PostFinance</v>
      </c>
      <c r="D50" s="9"/>
      <c r="E50" s="11"/>
      <c r="F50" s="11"/>
      <c r="G50" s="49"/>
      <c r="H50" s="105"/>
      <c r="I50" s="105"/>
      <c r="J50" s="105"/>
      <c r="K50" s="105"/>
      <c r="L50" s="107"/>
      <c r="M50" s="20"/>
      <c r="N50" s="107"/>
      <c r="O50" s="107"/>
      <c r="P50" s="105"/>
      <c r="Q50" s="184"/>
      <c r="R50" s="184"/>
      <c r="S50" s="184"/>
      <c r="T50" s="105"/>
      <c r="U50" s="105"/>
      <c r="V50" s="107"/>
      <c r="W50" s="107"/>
      <c r="X50" s="107"/>
      <c r="Y50" s="107"/>
      <c r="Z50" s="261"/>
    </row>
    <row r="51" spans="3:26" ht="12.75" customHeight="1">
      <c r="C51" s="9" t="str">
        <f>VLOOKUP(31,Textbausteine!$S$2:$W$160,Hilfsgrössen!$D$2,FALSE)</f>
        <v>Produits d'exploitation</v>
      </c>
      <c r="D51" s="9" t="str">
        <f>VLOOKUP(11,Textbausteine!$S$2:$W$160,Hilfsgrössen!$D$2,FALSE)</f>
        <v>Millions de CHF</v>
      </c>
      <c r="E51" s="11"/>
      <c r="F51" s="11" t="s">
        <v>64</v>
      </c>
      <c r="G51" s="49"/>
      <c r="H51" s="181" t="s">
        <v>1470</v>
      </c>
      <c r="I51" s="14">
        <v>1529</v>
      </c>
      <c r="J51" s="14">
        <v>1587</v>
      </c>
      <c r="K51" s="14">
        <v>1937</v>
      </c>
      <c r="L51" s="14">
        <v>2191</v>
      </c>
      <c r="M51" s="14">
        <v>2160</v>
      </c>
      <c r="N51" s="14">
        <v>2389</v>
      </c>
      <c r="O51" s="14">
        <v>2451</v>
      </c>
      <c r="P51" s="14">
        <v>2356</v>
      </c>
      <c r="Q51" s="14">
        <v>2377</v>
      </c>
      <c r="R51" s="14">
        <v>2377</v>
      </c>
      <c r="S51" s="14" t="s">
        <v>61</v>
      </c>
      <c r="T51" s="14">
        <v>2143</v>
      </c>
      <c r="U51" s="14">
        <v>2143</v>
      </c>
      <c r="V51" s="14">
        <v>2155</v>
      </c>
      <c r="W51" s="14">
        <v>2076</v>
      </c>
      <c r="X51" s="14">
        <v>2076</v>
      </c>
      <c r="Y51" s="14">
        <v>1704</v>
      </c>
      <c r="Z51" s="414">
        <v>1660</v>
      </c>
    </row>
    <row r="52" spans="3:26" ht="12.75" customHeight="1">
      <c r="C52" s="9" t="str">
        <f>VLOOKUP(36,Textbausteine!$S$2:$W$160,Hilfsgrössen!$D$2,FALSE)</f>
        <v>Résultat d'exploitation</v>
      </c>
      <c r="D52" s="9" t="str">
        <f>VLOOKUP(11,Textbausteine!$S$2:$W$160,Hilfsgrössen!$D$2,FALSE)</f>
        <v>Millions de CHF</v>
      </c>
      <c r="E52" s="11"/>
      <c r="F52" s="11" t="s">
        <v>64</v>
      </c>
      <c r="G52" s="49"/>
      <c r="H52" s="181" t="s">
        <v>1470</v>
      </c>
      <c r="I52" s="184">
        <v>312</v>
      </c>
      <c r="J52" s="184">
        <v>245</v>
      </c>
      <c r="K52" s="184">
        <v>318</v>
      </c>
      <c r="L52" s="185">
        <v>229</v>
      </c>
      <c r="M52" s="20">
        <v>441</v>
      </c>
      <c r="N52" s="20">
        <v>571</v>
      </c>
      <c r="O52" s="20">
        <v>591</v>
      </c>
      <c r="P52" s="107">
        <v>623</v>
      </c>
      <c r="Q52" s="137">
        <v>588</v>
      </c>
      <c r="R52" s="137">
        <v>537</v>
      </c>
      <c r="S52" s="137">
        <v>382</v>
      </c>
      <c r="T52" s="107">
        <v>463</v>
      </c>
      <c r="U52" s="107">
        <v>459</v>
      </c>
      <c r="V52" s="107">
        <v>542</v>
      </c>
      <c r="W52" s="107">
        <v>549</v>
      </c>
      <c r="X52" s="107">
        <v>549</v>
      </c>
      <c r="Y52" s="107">
        <v>220</v>
      </c>
      <c r="Z52" s="261">
        <v>240</v>
      </c>
    </row>
    <row r="53" spans="3:26" ht="12.75" customHeight="1">
      <c r="C53" s="9"/>
      <c r="D53" s="9"/>
      <c r="E53" s="11"/>
      <c r="F53" s="11"/>
      <c r="G53" s="49"/>
      <c r="H53" s="105"/>
      <c r="I53" s="105"/>
      <c r="J53" s="105"/>
      <c r="K53" s="105"/>
      <c r="L53" s="107"/>
      <c r="M53" s="107"/>
      <c r="N53" s="107"/>
      <c r="O53" s="107"/>
      <c r="P53" s="107"/>
      <c r="Q53" s="137"/>
      <c r="R53" s="137"/>
      <c r="S53" s="137"/>
      <c r="T53" s="107"/>
      <c r="U53" s="107"/>
      <c r="V53" s="107"/>
      <c r="W53" s="107"/>
      <c r="X53" s="107"/>
      <c r="Y53" s="107"/>
      <c r="Z53" s="261"/>
    </row>
    <row r="54" spans="2:26" ht="12.75" customHeight="1">
      <c r="B54" s="8" t="str">
        <f>VLOOKUP(50,Textbausteine!$A$2:$E$67,Hilfsgrössen!$D$2,FALSE)</f>
        <v>CarPostal</v>
      </c>
      <c r="D54" s="9"/>
      <c r="E54" s="11"/>
      <c r="F54" s="11"/>
      <c r="G54" s="49"/>
      <c r="H54" s="105"/>
      <c r="I54" s="105"/>
      <c r="J54" s="105"/>
      <c r="K54" s="105"/>
      <c r="L54" s="107"/>
      <c r="M54" s="20"/>
      <c r="N54" s="107"/>
      <c r="O54" s="107"/>
      <c r="P54" s="107"/>
      <c r="Q54" s="137"/>
      <c r="R54" s="137"/>
      <c r="S54" s="137"/>
      <c r="T54" s="107"/>
      <c r="U54" s="107"/>
      <c r="V54" s="107"/>
      <c r="W54" s="107"/>
      <c r="X54" s="107"/>
      <c r="Y54" s="107"/>
      <c r="Z54" s="261"/>
    </row>
    <row r="55" spans="3:26" ht="12.75" customHeight="1">
      <c r="C55" s="9" t="str">
        <f>VLOOKUP(31,Textbausteine!$S$2:$W$160,Hilfsgrössen!$D$2,FALSE)</f>
        <v>Produits d'exploitation</v>
      </c>
      <c r="D55" s="9" t="str">
        <f>VLOOKUP(11,Textbausteine!$S$2:$W$160,Hilfsgrössen!$D$2,FALSE)</f>
        <v>Millions de CHF</v>
      </c>
      <c r="E55" s="11"/>
      <c r="F55" s="11" t="s">
        <v>64</v>
      </c>
      <c r="G55" s="49"/>
      <c r="H55" s="181" t="s">
        <v>1470</v>
      </c>
      <c r="I55" s="107">
        <v>559</v>
      </c>
      <c r="J55" s="107">
        <v>579</v>
      </c>
      <c r="K55" s="107">
        <v>585</v>
      </c>
      <c r="L55" s="107">
        <v>604</v>
      </c>
      <c r="M55" s="20">
        <v>640</v>
      </c>
      <c r="N55" s="20">
        <v>702</v>
      </c>
      <c r="O55" s="20">
        <v>719</v>
      </c>
      <c r="P55" s="107">
        <v>778</v>
      </c>
      <c r="Q55" s="137">
        <v>812</v>
      </c>
      <c r="R55" s="137">
        <v>812</v>
      </c>
      <c r="S55" s="137">
        <v>835</v>
      </c>
      <c r="T55" s="107">
        <v>849</v>
      </c>
      <c r="U55" s="107">
        <v>849</v>
      </c>
      <c r="V55" s="107">
        <v>923</v>
      </c>
      <c r="W55" s="107">
        <v>925</v>
      </c>
      <c r="X55" s="107">
        <v>925</v>
      </c>
      <c r="Y55" s="107">
        <v>823</v>
      </c>
      <c r="Z55" s="414">
        <v>841</v>
      </c>
    </row>
    <row r="56" spans="3:26" ht="12.75" customHeight="1">
      <c r="C56" s="15" t="str">
        <f>VLOOKUP(32,Textbausteine!$S$2:$W$160,Hilfsgrössen!$D$2,FALSE)</f>
        <v>réalisés à l’étranger et transfrontalier</v>
      </c>
      <c r="D56" s="9" t="str">
        <f>VLOOKUP(12,Textbausteine!$S$2:$W$160,Hilfsgrössen!$D$2,FALSE)</f>
        <v>%</v>
      </c>
      <c r="E56" s="11"/>
      <c r="F56" s="11" t="s">
        <v>64</v>
      </c>
      <c r="G56" s="49"/>
      <c r="H56" s="341" t="s">
        <v>1470</v>
      </c>
      <c r="I56" s="415">
        <v>3.2</v>
      </c>
      <c r="J56" s="415">
        <v>4.7</v>
      </c>
      <c r="K56" s="415">
        <v>5.6</v>
      </c>
      <c r="L56" s="415">
        <v>5.4</v>
      </c>
      <c r="M56" s="16">
        <v>7.2</v>
      </c>
      <c r="N56" s="16">
        <v>9.3</v>
      </c>
      <c r="O56" s="16">
        <v>9</v>
      </c>
      <c r="P56" s="415">
        <v>10.9</v>
      </c>
      <c r="Q56" s="416">
        <v>12</v>
      </c>
      <c r="R56" s="416">
        <v>12</v>
      </c>
      <c r="S56" s="416">
        <v>13.2</v>
      </c>
      <c r="T56" s="416">
        <v>13</v>
      </c>
      <c r="U56" s="415">
        <v>12.2</v>
      </c>
      <c r="V56" s="415">
        <v>14.3</v>
      </c>
      <c r="W56" s="415">
        <v>14.7</v>
      </c>
      <c r="X56" s="415">
        <v>14.7</v>
      </c>
      <c r="Y56" s="415">
        <v>2.2</v>
      </c>
      <c r="Z56" s="453">
        <v>2.1</v>
      </c>
    </row>
    <row r="57" spans="3:26" ht="12.75" customHeight="1">
      <c r="C57" s="9" t="str">
        <f>VLOOKUP(36,Textbausteine!$S$2:$W$160,Hilfsgrössen!$D$2,FALSE)</f>
        <v>Résultat d'exploitation</v>
      </c>
      <c r="D57" s="9" t="str">
        <f>VLOOKUP(11,Textbausteine!$S$2:$W$160,Hilfsgrössen!$D$2,FALSE)</f>
        <v>Millions de CHF</v>
      </c>
      <c r="E57" s="11"/>
      <c r="F57" s="11" t="s">
        <v>64</v>
      </c>
      <c r="G57" s="49"/>
      <c r="H57" s="377" t="s">
        <v>1470</v>
      </c>
      <c r="I57" s="350">
        <v>29</v>
      </c>
      <c r="J57" s="350">
        <v>28</v>
      </c>
      <c r="K57" s="350">
        <v>32</v>
      </c>
      <c r="L57" s="350">
        <v>27</v>
      </c>
      <c r="M57" s="357">
        <v>27</v>
      </c>
      <c r="N57" s="357">
        <v>28</v>
      </c>
      <c r="O57" s="357">
        <v>33</v>
      </c>
      <c r="P57" s="350">
        <v>35</v>
      </c>
      <c r="Q57" s="410">
        <v>65</v>
      </c>
      <c r="R57" s="410">
        <v>28</v>
      </c>
      <c r="S57" s="410">
        <v>30</v>
      </c>
      <c r="T57" s="350">
        <v>33</v>
      </c>
      <c r="U57" s="350">
        <v>29</v>
      </c>
      <c r="V57" s="350">
        <v>36</v>
      </c>
      <c r="W57" s="350">
        <v>19</v>
      </c>
      <c r="X57" s="350">
        <v>19</v>
      </c>
      <c r="Y57" s="350">
        <v>-51</v>
      </c>
      <c r="Z57" s="411">
        <v>-24</v>
      </c>
    </row>
    <row r="58" spans="3:26" ht="12.75" customHeight="1">
      <c r="C58" s="9"/>
      <c r="D58" s="9"/>
      <c r="E58" s="11"/>
      <c r="F58" s="11"/>
      <c r="G58" s="49"/>
      <c r="H58" s="105"/>
      <c r="I58" s="105"/>
      <c r="J58" s="105"/>
      <c r="K58" s="105"/>
      <c r="L58" s="107"/>
      <c r="M58" s="107"/>
      <c r="N58" s="107"/>
      <c r="O58" s="107"/>
      <c r="P58" s="107"/>
      <c r="Q58" s="137"/>
      <c r="R58" s="137"/>
      <c r="S58" s="137"/>
      <c r="T58" s="107"/>
      <c r="U58" s="107"/>
      <c r="V58" s="107"/>
      <c r="W58" s="107"/>
      <c r="X58" s="107"/>
      <c r="Y58" s="107"/>
      <c r="Z58" s="261"/>
    </row>
    <row r="59" spans="2:26" ht="12.75" customHeight="1">
      <c r="B59" s="8" t="str">
        <f>VLOOKUP(51,Textbausteine!$A$2:$E$67,Hilfsgrössen!$D$2,FALSE)</f>
        <v>Autres</v>
      </c>
      <c r="D59" s="9"/>
      <c r="E59" s="13"/>
      <c r="F59" s="11"/>
      <c r="G59" s="49"/>
      <c r="H59" s="105"/>
      <c r="I59" s="105"/>
      <c r="J59" s="105"/>
      <c r="K59" s="105"/>
      <c r="L59" s="107"/>
      <c r="M59" s="20"/>
      <c r="N59" s="20"/>
      <c r="O59" s="20"/>
      <c r="P59" s="107"/>
      <c r="Q59" s="137"/>
      <c r="R59" s="137"/>
      <c r="S59" s="137"/>
      <c r="T59" s="107"/>
      <c r="U59" s="107"/>
      <c r="V59" s="107"/>
      <c r="W59" s="107"/>
      <c r="X59" s="107"/>
      <c r="Y59" s="107"/>
      <c r="Z59" s="261"/>
    </row>
    <row r="60" spans="3:26" ht="12.75" customHeight="1">
      <c r="C60" s="9" t="str">
        <f>VLOOKUP(31,Textbausteine!$S$2:$W$160,Hilfsgrössen!$D$2,FALSE)</f>
        <v>Produits d'exploitation</v>
      </c>
      <c r="D60" s="9" t="str">
        <f>VLOOKUP(11,Textbausteine!$S$2:$W$160,Hilfsgrössen!$D$2,FALSE)</f>
        <v>Millions de CHF</v>
      </c>
      <c r="E60" s="13"/>
      <c r="F60" s="11" t="s">
        <v>64</v>
      </c>
      <c r="G60" s="49"/>
      <c r="H60" s="181" t="s">
        <v>1470</v>
      </c>
      <c r="I60" s="20">
        <v>858</v>
      </c>
      <c r="J60" s="20">
        <v>882</v>
      </c>
      <c r="K60" s="20">
        <v>1018</v>
      </c>
      <c r="L60" s="20">
        <v>1176</v>
      </c>
      <c r="M60" s="20">
        <v>1030</v>
      </c>
      <c r="N60" s="20">
        <v>968</v>
      </c>
      <c r="O60" s="20">
        <v>945</v>
      </c>
      <c r="P60" s="107">
        <v>937</v>
      </c>
      <c r="Q60" s="137">
        <v>897</v>
      </c>
      <c r="R60" s="137">
        <v>897</v>
      </c>
      <c r="S60" s="137">
        <v>886</v>
      </c>
      <c r="T60" s="107">
        <v>941</v>
      </c>
      <c r="U60" s="107">
        <v>941</v>
      </c>
      <c r="V60" s="107">
        <v>919</v>
      </c>
      <c r="W60" s="107">
        <v>889</v>
      </c>
      <c r="X60" s="107">
        <v>889</v>
      </c>
      <c r="Y60" s="107">
        <v>926</v>
      </c>
      <c r="Z60" s="261">
        <v>929</v>
      </c>
    </row>
    <row r="61" spans="3:26" ht="12.75" customHeight="1">
      <c r="C61" s="9" t="str">
        <f>VLOOKUP(36,Textbausteine!$S$2:$W$160,Hilfsgrössen!$D$2,FALSE)</f>
        <v>Résultat d'exploitation</v>
      </c>
      <c r="D61" s="9" t="str">
        <f>VLOOKUP(11,Textbausteine!$S$2:$W$160,Hilfsgrössen!$D$2,FALSE)</f>
        <v>Millions de CHF</v>
      </c>
      <c r="E61" s="13"/>
      <c r="F61" s="11" t="s">
        <v>64</v>
      </c>
      <c r="G61" s="49"/>
      <c r="H61" s="181" t="s">
        <v>1470</v>
      </c>
      <c r="I61" s="20">
        <v>92</v>
      </c>
      <c r="J61" s="20">
        <v>136</v>
      </c>
      <c r="K61" s="20">
        <v>196</v>
      </c>
      <c r="L61" s="20">
        <v>318</v>
      </c>
      <c r="M61" s="20">
        <v>95</v>
      </c>
      <c r="N61" s="20">
        <v>20</v>
      </c>
      <c r="O61" s="20">
        <v>11</v>
      </c>
      <c r="P61" s="107">
        <v>7</v>
      </c>
      <c r="Q61" s="137">
        <v>3</v>
      </c>
      <c r="R61" s="137">
        <v>-25</v>
      </c>
      <c r="S61" s="137">
        <v>4</v>
      </c>
      <c r="T61" s="107">
        <v>-71</v>
      </c>
      <c r="U61" s="107">
        <v>-73</v>
      </c>
      <c r="V61" s="107">
        <v>-135</v>
      </c>
      <c r="W61" s="107">
        <v>-201</v>
      </c>
      <c r="X61" s="107">
        <v>-201</v>
      </c>
      <c r="Y61" s="107">
        <v>-130</v>
      </c>
      <c r="Z61" s="261">
        <v>-163</v>
      </c>
    </row>
    <row r="62" spans="2:23" ht="12.75" customHeight="1">
      <c r="B62" s="9"/>
      <c r="C62" s="9"/>
      <c r="D62" s="9"/>
      <c r="E62" s="11"/>
      <c r="F62" s="11"/>
      <c r="G62" s="49"/>
      <c r="H62" s="105"/>
      <c r="I62" s="105"/>
      <c r="J62" s="105"/>
      <c r="K62" s="105"/>
      <c r="L62" s="105"/>
      <c r="M62" s="105"/>
      <c r="N62" s="107"/>
      <c r="O62" s="107"/>
      <c r="P62" s="107"/>
      <c r="Q62" s="107"/>
      <c r="R62" s="107"/>
      <c r="S62" s="107"/>
      <c r="T62" s="107"/>
      <c r="U62" s="107"/>
      <c r="V62" s="107"/>
      <c r="W62" s="107"/>
    </row>
    <row r="63" spans="2:23" ht="12.75" customHeight="1">
      <c r="B63" s="22" t="str">
        <f>VLOOKUP(131,Textbausteine!$S$2:$W$160,Hilfsgrössen!$D$2,FALSE)</f>
        <v>1) En adéquation avec le segment 2 dans le rapport financier: l'étranger inclut le trafic transfrontalier.</v>
      </c>
      <c r="C63" s="9"/>
      <c r="D63" s="9"/>
      <c r="E63" s="11"/>
      <c r="F63" s="11"/>
      <c r="G63" s="49"/>
      <c r="H63" s="105"/>
      <c r="I63" s="105"/>
      <c r="J63" s="105"/>
      <c r="K63" s="105"/>
      <c r="L63" s="105"/>
      <c r="M63" s="105"/>
      <c r="N63" s="107"/>
      <c r="O63" s="107"/>
      <c r="P63" s="107"/>
      <c r="Q63" s="107"/>
      <c r="R63" s="105"/>
      <c r="S63" s="105"/>
      <c r="T63" s="105"/>
      <c r="U63" s="105"/>
      <c r="V63" s="107"/>
      <c r="W63" s="107"/>
    </row>
    <row r="64" spans="1:25" s="21" customFormat="1" ht="12.75" customHeight="1">
      <c r="A64" s="86"/>
      <c r="B64" s="22" t="str">
        <f>VLOOKUP(132,Textbausteine!$S$2:$W$160,Hilfsgrössen!$D$2,FALSE)</f>
        <v>2) Les services réservés sont des services faisant partie du service universel postal. Ils sont proposés exclusivement par la Poste, qui est tenue de les fournir. Ils relèvent du monopole.</v>
      </c>
      <c r="D64" s="23"/>
      <c r="E64" s="41"/>
      <c r="F64" s="41"/>
      <c r="G64" s="51"/>
      <c r="H64" s="186"/>
      <c r="I64" s="186"/>
      <c r="J64" s="186"/>
      <c r="K64" s="186"/>
      <c r="L64" s="186"/>
      <c r="M64" s="186"/>
      <c r="N64" s="186"/>
      <c r="O64" s="186"/>
      <c r="P64" s="186"/>
      <c r="Q64" s="186"/>
      <c r="R64" s="186"/>
      <c r="S64" s="186"/>
      <c r="T64" s="186"/>
      <c r="U64" s="186"/>
      <c r="V64" s="107"/>
      <c r="W64" s="107"/>
      <c r="X64" s="371"/>
      <c r="Y64" s="371"/>
    </row>
    <row r="65" spans="1:25" s="21" customFormat="1" ht="12.75" customHeight="1">
      <c r="A65" s="86"/>
      <c r="B65" s="22" t="str">
        <f>VLOOKUP(133,Textbausteine!$S$2:$W$160,Hilfsgrössen!$D$2,FALSE)</f>
        <v>3) La valeur ajoutée de l'entreprise (Post Value Added, PVA) s'exprime en valeur absolue (millions de francs) et rend compte de la plus-value dégagée par l'ensemble de l'entreprise ou par un segment. Il y a plus-value lorsque le résultat d'exploitation après impôt est supérieur à la rémunération exigée du capital investi.</v>
      </c>
      <c r="D65" s="23"/>
      <c r="E65" s="41"/>
      <c r="F65" s="41"/>
      <c r="G65" s="51"/>
      <c r="H65" s="186"/>
      <c r="I65" s="186"/>
      <c r="J65" s="186"/>
      <c r="K65" s="186"/>
      <c r="L65" s="186"/>
      <c r="M65" s="186"/>
      <c r="N65" s="186"/>
      <c r="O65" s="186"/>
      <c r="P65" s="186"/>
      <c r="Q65" s="186"/>
      <c r="R65" s="186"/>
      <c r="S65" s="186"/>
      <c r="T65" s="186"/>
      <c r="U65" s="186"/>
      <c r="V65" s="107"/>
      <c r="W65" s="107"/>
      <c r="X65" s="371"/>
      <c r="Y65" s="371"/>
    </row>
    <row r="66" spans="1:25" s="21" customFormat="1" ht="12.75" customHeight="1">
      <c r="A66" s="86"/>
      <c r="B66" s="22" t="str">
        <f>VLOOKUP(134,Textbausteine!$S$2:$W$160,Hilfsgrössen!$D$2,FALSE)</f>
        <v>4) La responsabilité des produits pour particuliers a été transférée de RéseauPostal à PostMail et à PostLogistics avec effet au 1er janvier 2016. RéseauPostal ne présente donc plus de produits d'exploitation provenant des services réservés; ceux-ci figurent désormais exclusivement dans les produits d'exploitation de PostMail.</v>
      </c>
      <c r="D66" s="23"/>
      <c r="E66" s="41"/>
      <c r="F66" s="41"/>
      <c r="G66" s="51"/>
      <c r="H66" s="186"/>
      <c r="I66" s="186"/>
      <c r="J66" s="186"/>
      <c r="K66" s="186"/>
      <c r="L66" s="186"/>
      <c r="M66" s="186"/>
      <c r="N66" s="186"/>
      <c r="O66" s="186"/>
      <c r="P66" s="186"/>
      <c r="Q66" s="186"/>
      <c r="R66" s="186"/>
      <c r="S66" s="186"/>
      <c r="T66" s="186"/>
      <c r="U66" s="186"/>
      <c r="V66" s="107"/>
      <c r="W66" s="107"/>
      <c r="X66" s="371"/>
      <c r="Y66" s="371"/>
    </row>
    <row r="67" spans="1:25" s="21" customFormat="1" ht="12.75" customHeight="1">
      <c r="A67" s="86"/>
      <c r="B67" s="22" t="str">
        <f>VLOOKUP(135,Textbausteine!$S$2:$W$160,Hilfsgrössen!$D$2,FALSE)</f>
        <v>5) En 2007, des sociétés du groupe des segments PostMail (DocumentServices SA, SwissSign SA) et PostLogistics (yellowworld SA) ont été transférées au segment Swiss Post Solutions.</v>
      </c>
      <c r="D67" s="25"/>
      <c r="E67" s="42"/>
      <c r="F67" s="42"/>
      <c r="G67" s="52"/>
      <c r="H67" s="187"/>
      <c r="I67" s="187"/>
      <c r="J67" s="187"/>
      <c r="K67" s="187"/>
      <c r="L67" s="187"/>
      <c r="M67" s="187"/>
      <c r="N67" s="187"/>
      <c r="O67" s="187"/>
      <c r="P67" s="187"/>
      <c r="Q67" s="187"/>
      <c r="R67" s="187"/>
      <c r="S67" s="187"/>
      <c r="T67" s="187"/>
      <c r="U67" s="187"/>
      <c r="V67" s="20"/>
      <c r="W67" s="20"/>
      <c r="X67" s="371"/>
      <c r="Y67" s="371"/>
    </row>
    <row r="68" spans="1:25" s="21" customFormat="1" ht="12.75" customHeight="1">
      <c r="A68" s="86"/>
      <c r="B68" s="22" t="str">
        <f>VLOOKUP(136,Textbausteine!$S$2:$W$160,Hilfsgrössen!$D$2,FALSE)</f>
        <v>6) Valeurs normalisées 2017, 2015 et 2013</v>
      </c>
      <c r="D68" s="25"/>
      <c r="E68" s="42"/>
      <c r="F68" s="42"/>
      <c r="G68" s="52"/>
      <c r="H68" s="187"/>
      <c r="I68" s="187"/>
      <c r="J68" s="187"/>
      <c r="K68" s="187"/>
      <c r="L68" s="187"/>
      <c r="M68" s="187"/>
      <c r="N68" s="187"/>
      <c r="O68" s="187"/>
      <c r="P68" s="187"/>
      <c r="Q68" s="187"/>
      <c r="R68" s="187"/>
      <c r="S68" s="187"/>
      <c r="T68" s="187"/>
      <c r="U68" s="187"/>
      <c r="V68" s="20"/>
      <c r="W68" s="20"/>
      <c r="X68" s="371"/>
      <c r="Y68" s="371"/>
    </row>
    <row r="69" ht="12.75" customHeight="1">
      <c r="B69" s="22" t="str">
        <f>VLOOKUP(137,Textbausteine!$S$2:$W$160,Hilfsgrössen!$D$2,FALSE)</f>
        <v>7) Valeurs de l'exercice précédent partiellement adaptées.</v>
      </c>
    </row>
    <row r="72" spans="1:27" s="31" customFormat="1" ht="12.75" customHeight="1">
      <c r="A72" s="81" t="s">
        <v>807</v>
      </c>
      <c r="B72" s="487" t="str">
        <f>$C$8</f>
        <v>Répartition de la valeur ajoutée</v>
      </c>
      <c r="C72" s="487"/>
      <c r="D72" s="6" t="str">
        <f>VLOOKUP(32,Textbausteine!$A$2:$E$67,Hilfsgrössen!$D$2,FALSE)</f>
        <v>Unité</v>
      </c>
      <c r="E72" s="40" t="str">
        <f>VLOOKUP(33,Textbausteine!$A$2:$E$67,Hilfsgrössen!$D$2,FALSE)</f>
        <v>Notes</v>
      </c>
      <c r="F72" s="40" t="str">
        <f>VLOOKUP(34,Textbausteine!$A$2:$E$67,Hilfsgrössen!$D$2,FALSE)</f>
        <v>GRI</v>
      </c>
      <c r="G72" s="48"/>
      <c r="H72" s="95">
        <v>2004</v>
      </c>
      <c r="I72" s="95">
        <v>2005</v>
      </c>
      <c r="J72" s="117">
        <v>2006</v>
      </c>
      <c r="K72" s="117">
        <v>2007</v>
      </c>
      <c r="L72" s="117">
        <v>2008</v>
      </c>
      <c r="M72" s="117">
        <v>2009</v>
      </c>
      <c r="N72" s="117">
        <v>2010</v>
      </c>
      <c r="O72" s="117">
        <v>2011</v>
      </c>
      <c r="P72" s="117">
        <v>2012</v>
      </c>
      <c r="Q72" s="117">
        <v>2013</v>
      </c>
      <c r="R72" s="117" t="s">
        <v>2376</v>
      </c>
      <c r="S72" s="104">
        <v>2014</v>
      </c>
      <c r="T72" s="104">
        <v>2015</v>
      </c>
      <c r="U72" s="117" t="s">
        <v>2377</v>
      </c>
      <c r="V72" s="117">
        <v>2016</v>
      </c>
      <c r="W72" s="372">
        <v>2017</v>
      </c>
      <c r="X72" s="373" t="s">
        <v>2530</v>
      </c>
      <c r="Y72" s="373" t="s">
        <v>2531</v>
      </c>
      <c r="Z72" s="343">
        <v>2019</v>
      </c>
      <c r="AA72" s="6"/>
    </row>
    <row r="73" spans="1:27" s="31" customFormat="1" ht="12.75" customHeight="1">
      <c r="A73" s="86"/>
      <c r="B73" s="487"/>
      <c r="C73" s="487"/>
      <c r="D73" s="6"/>
      <c r="E73" s="40"/>
      <c r="F73" s="40"/>
      <c r="G73" s="48"/>
      <c r="H73" s="95"/>
      <c r="I73" s="95"/>
      <c r="J73" s="117"/>
      <c r="K73" s="117"/>
      <c r="L73" s="117"/>
      <c r="M73" s="117"/>
      <c r="N73" s="117"/>
      <c r="O73" s="117"/>
      <c r="P73" s="117"/>
      <c r="Q73" s="117"/>
      <c r="R73" s="117"/>
      <c r="S73" s="104"/>
      <c r="T73" s="104"/>
      <c r="U73" s="104"/>
      <c r="V73" s="20"/>
      <c r="W73" s="357"/>
      <c r="X73" s="374"/>
      <c r="Y73" s="374"/>
      <c r="Z73" s="344"/>
      <c r="AA73" s="6"/>
    </row>
    <row r="74" spans="1:27" ht="12.75" customHeight="1">
      <c r="A74" s="63"/>
      <c r="C74" s="27"/>
      <c r="D74" s="18"/>
      <c r="E74" s="13"/>
      <c r="F74" s="11"/>
      <c r="G74" s="49"/>
      <c r="J74" s="20"/>
      <c r="K74" s="20"/>
      <c r="L74" s="20"/>
      <c r="M74" s="20"/>
      <c r="N74" s="20"/>
      <c r="O74" s="20"/>
      <c r="P74" s="20"/>
      <c r="Q74" s="20"/>
      <c r="R74" s="107"/>
      <c r="S74" s="107"/>
      <c r="T74" s="107"/>
      <c r="U74" s="107"/>
      <c r="V74" s="119"/>
      <c r="W74" s="375"/>
      <c r="X74" s="376"/>
      <c r="Y74" s="376"/>
      <c r="Z74" s="345"/>
      <c r="AA74" s="9"/>
    </row>
    <row r="75" spans="1:27" s="31" customFormat="1" ht="12.75" customHeight="1">
      <c r="A75" s="87"/>
      <c r="B75" s="8" t="str">
        <f>VLOOKUP(36,Textbausteine!$A$2:$E$67,Hilfsgrössen!$D$2,FALSE)</f>
        <v>Groupe</v>
      </c>
      <c r="E75" s="39"/>
      <c r="F75" s="39"/>
      <c r="G75" s="46"/>
      <c r="H75" s="95"/>
      <c r="I75" s="95"/>
      <c r="J75" s="95"/>
      <c r="K75" s="95"/>
      <c r="L75" s="95"/>
      <c r="M75" s="95"/>
      <c r="N75" s="95"/>
      <c r="O75" s="95"/>
      <c r="P75" s="95"/>
      <c r="Q75" s="95"/>
      <c r="R75" s="95"/>
      <c r="S75" s="95"/>
      <c r="T75" s="95"/>
      <c r="U75" s="95"/>
      <c r="V75" s="119"/>
      <c r="W75" s="375"/>
      <c r="X75" s="374"/>
      <c r="Y75" s="374"/>
      <c r="Z75" s="344"/>
      <c r="AA75" s="6"/>
    </row>
    <row r="76" spans="1:27" ht="12.75" customHeight="1">
      <c r="A76" s="87"/>
      <c r="B76" s="18"/>
      <c r="C76" s="1" t="str">
        <f>VLOOKUP(61,Textbausteine!$S$2:$W$160,Hilfsgrössen!$D$2,FALSE)</f>
        <v>Valeur ajoutée</v>
      </c>
      <c r="D76" s="1" t="str">
        <f>VLOOKUP(11,Textbausteine!$S$2:$W$160,Hilfsgrössen!$D$2,FALSE)</f>
        <v>Millions de CHF</v>
      </c>
      <c r="E76" s="37">
        <v>1</v>
      </c>
      <c r="F76" s="37" t="s">
        <v>64</v>
      </c>
      <c r="H76" s="417">
        <v>4786</v>
      </c>
      <c r="I76" s="417">
        <v>4716</v>
      </c>
      <c r="J76" s="417">
        <v>4735</v>
      </c>
      <c r="K76" s="417">
        <v>4925</v>
      </c>
      <c r="L76" s="417">
        <v>4875</v>
      </c>
      <c r="M76" s="417">
        <v>4983</v>
      </c>
      <c r="N76" s="417">
        <v>5268</v>
      </c>
      <c r="O76" s="417">
        <v>5187</v>
      </c>
      <c r="P76" s="417">
        <v>5314</v>
      </c>
      <c r="Q76" s="418" t="s">
        <v>1470</v>
      </c>
      <c r="R76" s="417">
        <v>5328</v>
      </c>
      <c r="S76" s="417">
        <v>5220</v>
      </c>
      <c r="T76" s="418" t="s">
        <v>1470</v>
      </c>
      <c r="U76" s="417">
        <v>5193</v>
      </c>
      <c r="V76" s="361">
        <v>5145</v>
      </c>
      <c r="W76" s="418" t="s">
        <v>1470</v>
      </c>
      <c r="X76" s="361">
        <v>5143</v>
      </c>
      <c r="Y76" s="361">
        <v>4613</v>
      </c>
      <c r="Z76" s="419">
        <v>4616</v>
      </c>
      <c r="AA76" s="9"/>
    </row>
    <row r="77" spans="1:30" ht="12.75" customHeight="1">
      <c r="A77" s="87"/>
      <c r="B77" s="18"/>
      <c r="C77" s="36" t="str">
        <f>VLOOKUP(62,Textbausteine!$S$2:$W$160,Hilfsgrössen!$D$2,FALSE)</f>
        <v>dont aux collaborateurs</v>
      </c>
      <c r="D77" s="1" t="str">
        <f>VLOOKUP(11,Textbausteine!$S$2:$W$160,Hilfsgrössen!$D$2,FALSE)</f>
        <v>Millions de CHF</v>
      </c>
      <c r="E77" s="37">
        <v>2</v>
      </c>
      <c r="F77" s="37" t="s">
        <v>64</v>
      </c>
      <c r="H77" s="417">
        <v>3738</v>
      </c>
      <c r="I77" s="417">
        <v>3704</v>
      </c>
      <c r="J77" s="417">
        <v>3711</v>
      </c>
      <c r="K77" s="417">
        <v>3851</v>
      </c>
      <c r="L77" s="417">
        <v>3873</v>
      </c>
      <c r="M77" s="417">
        <v>4032</v>
      </c>
      <c r="N77" s="417">
        <v>4076</v>
      </c>
      <c r="O77" s="417">
        <v>4026</v>
      </c>
      <c r="P77" s="417">
        <v>4161</v>
      </c>
      <c r="Q77" s="418" t="s">
        <v>1470</v>
      </c>
      <c r="R77" s="417">
        <v>4131</v>
      </c>
      <c r="S77" s="417">
        <v>4108</v>
      </c>
      <c r="T77" s="418" t="s">
        <v>1470</v>
      </c>
      <c r="U77" s="417">
        <v>4074</v>
      </c>
      <c r="V77" s="361">
        <v>4034</v>
      </c>
      <c r="W77" s="418" t="s">
        <v>1470</v>
      </c>
      <c r="X77" s="361">
        <v>3989</v>
      </c>
      <c r="Y77" s="361">
        <v>3802</v>
      </c>
      <c r="Z77" s="419">
        <v>3764</v>
      </c>
      <c r="AA77" s="9"/>
      <c r="AD77" s="181"/>
    </row>
    <row r="78" spans="1:30" ht="12.75" customHeight="1">
      <c r="A78" s="87"/>
      <c r="B78" s="18"/>
      <c r="C78" s="36" t="str">
        <f>VLOOKUP(63,Textbausteine!$S$2:$W$160,Hilfsgrössen!$D$2,FALSE)</f>
        <v>dont aux bailleurs de fonds externes</v>
      </c>
      <c r="D78" s="1" t="str">
        <f>VLOOKUP(11,Textbausteine!$S$2:$W$160,Hilfsgrössen!$D$2,FALSE)</f>
        <v>Millions de CHF</v>
      </c>
      <c r="E78" s="37">
        <v>3</v>
      </c>
      <c r="F78" s="37" t="s">
        <v>64</v>
      </c>
      <c r="H78" s="417">
        <v>11</v>
      </c>
      <c r="I78" s="417">
        <v>9</v>
      </c>
      <c r="J78" s="417">
        <v>11</v>
      </c>
      <c r="K78" s="417">
        <v>20</v>
      </c>
      <c r="L78" s="417">
        <v>22</v>
      </c>
      <c r="M78" s="417">
        <v>14</v>
      </c>
      <c r="N78" s="417">
        <v>20</v>
      </c>
      <c r="O78" s="417">
        <v>19</v>
      </c>
      <c r="P78" s="417">
        <v>82</v>
      </c>
      <c r="Q78" s="418" t="s">
        <v>1470</v>
      </c>
      <c r="R78" s="417">
        <v>93</v>
      </c>
      <c r="S78" s="417">
        <v>57</v>
      </c>
      <c r="T78" s="418" t="s">
        <v>1470</v>
      </c>
      <c r="U78" s="417">
        <v>69</v>
      </c>
      <c r="V78" s="361">
        <v>64</v>
      </c>
      <c r="W78" s="418" t="s">
        <v>1470</v>
      </c>
      <c r="X78" s="361">
        <v>48</v>
      </c>
      <c r="Y78" s="361">
        <v>48</v>
      </c>
      <c r="Z78" s="419">
        <v>75</v>
      </c>
      <c r="AA78" s="9"/>
      <c r="AD78" s="181"/>
    </row>
    <row r="79" spans="1:30" ht="12.75" customHeight="1">
      <c r="A79" s="87"/>
      <c r="B79" s="18"/>
      <c r="C79" s="36" t="str">
        <f>VLOOKUP(64,Textbausteine!$S$2:$W$160,Hilfsgrössen!$D$2,FALSE)</f>
        <v>dont aux pouvoirs publics</v>
      </c>
      <c r="D79" s="1" t="str">
        <f>VLOOKUP(11,Textbausteine!$S$2:$W$160,Hilfsgrössen!$D$2,FALSE)</f>
        <v>Millions de CHF</v>
      </c>
      <c r="E79" s="37">
        <v>4</v>
      </c>
      <c r="F79" s="37" t="s">
        <v>64</v>
      </c>
      <c r="H79" s="417">
        <v>2</v>
      </c>
      <c r="I79" s="417">
        <v>4</v>
      </c>
      <c r="J79" s="417">
        <v>9</v>
      </c>
      <c r="K79" s="417">
        <v>13</v>
      </c>
      <c r="L79" s="417">
        <v>10</v>
      </c>
      <c r="M79" s="417">
        <v>9</v>
      </c>
      <c r="N79" s="417">
        <v>12</v>
      </c>
      <c r="O79" s="417">
        <v>13</v>
      </c>
      <c r="P79" s="417">
        <v>34</v>
      </c>
      <c r="Q79" s="418" t="s">
        <v>1470</v>
      </c>
      <c r="R79" s="417">
        <v>94</v>
      </c>
      <c r="S79" s="417">
        <v>79</v>
      </c>
      <c r="T79" s="418" t="s">
        <v>1470</v>
      </c>
      <c r="U79" s="417">
        <v>94</v>
      </c>
      <c r="V79" s="361">
        <v>118</v>
      </c>
      <c r="W79" s="418" t="s">
        <v>1470</v>
      </c>
      <c r="X79" s="361">
        <f>74-11</f>
        <v>63</v>
      </c>
      <c r="Y79" s="361">
        <v>42</v>
      </c>
      <c r="Z79" s="419">
        <v>32</v>
      </c>
      <c r="AA79" s="9"/>
      <c r="AD79" s="181"/>
    </row>
    <row r="80" spans="1:30" ht="12.75">
      <c r="A80" s="87"/>
      <c r="B80" s="18"/>
      <c r="C80" s="36" t="str">
        <f>VLOOKUP(65,Textbausteine!$S$2:$W$160,Hilfsgrössen!$D$2,FALSE)</f>
        <v>dont au propriétaire</v>
      </c>
      <c r="D80" s="1" t="str">
        <f>VLOOKUP(11,Textbausteine!$S$2:$W$160,Hilfsgrössen!$D$2,FALSE)</f>
        <v>Millions de CHF</v>
      </c>
      <c r="E80" s="37">
        <v>5</v>
      </c>
      <c r="F80" s="37" t="s">
        <v>64</v>
      </c>
      <c r="H80" s="417">
        <v>0</v>
      </c>
      <c r="I80" s="417">
        <v>0</v>
      </c>
      <c r="J80" s="417">
        <v>0</v>
      </c>
      <c r="K80" s="417">
        <v>300</v>
      </c>
      <c r="L80" s="417">
        <v>200</v>
      </c>
      <c r="M80" s="417">
        <v>200</v>
      </c>
      <c r="N80" s="417">
        <v>200</v>
      </c>
      <c r="O80" s="417">
        <v>200</v>
      </c>
      <c r="P80" s="417">
        <v>200</v>
      </c>
      <c r="Q80" s="418" t="s">
        <v>1470</v>
      </c>
      <c r="R80" s="417">
        <v>180</v>
      </c>
      <c r="S80" s="417">
        <v>200</v>
      </c>
      <c r="T80" s="418" t="s">
        <v>1470</v>
      </c>
      <c r="U80" s="417">
        <v>200</v>
      </c>
      <c r="V80" s="361">
        <v>200</v>
      </c>
      <c r="W80" s="418" t="s">
        <v>1470</v>
      </c>
      <c r="X80" s="361">
        <v>200</v>
      </c>
      <c r="Y80" s="361">
        <v>200</v>
      </c>
      <c r="Z80" s="419">
        <v>50</v>
      </c>
      <c r="AA80" s="9"/>
      <c r="AD80" s="181"/>
    </row>
    <row r="81" spans="1:30" ht="12.75" customHeight="1">
      <c r="A81" s="87"/>
      <c r="B81" s="18"/>
      <c r="C81" s="36" t="str">
        <f>VLOOKUP(66,Textbausteine!$S$2:$W$160,Hilfsgrössen!$D$2,FALSE)</f>
        <v>dont à l'entreprise</v>
      </c>
      <c r="D81" s="1" t="str">
        <f>VLOOKUP(11,Textbausteine!$S$2:$W$160,Hilfsgrössen!$D$2,FALSE)</f>
        <v>Millions de CHF</v>
      </c>
      <c r="E81" s="37">
        <v>7</v>
      </c>
      <c r="F81" s="37" t="s">
        <v>64</v>
      </c>
      <c r="H81" s="417">
        <v>1036</v>
      </c>
      <c r="I81" s="417">
        <v>999</v>
      </c>
      <c r="J81" s="417">
        <v>1004</v>
      </c>
      <c r="K81" s="417">
        <v>741</v>
      </c>
      <c r="L81" s="417">
        <v>770</v>
      </c>
      <c r="M81" s="417">
        <v>728</v>
      </c>
      <c r="N81" s="417">
        <v>960</v>
      </c>
      <c r="O81" s="417">
        <v>929</v>
      </c>
      <c r="P81" s="417">
        <v>837</v>
      </c>
      <c r="Q81" s="418" t="s">
        <v>1470</v>
      </c>
      <c r="R81" s="417">
        <v>830</v>
      </c>
      <c r="S81" s="417">
        <v>776</v>
      </c>
      <c r="T81" s="418" t="s">
        <v>1470</v>
      </c>
      <c r="U81" s="417">
        <v>756</v>
      </c>
      <c r="V81" s="361">
        <v>729</v>
      </c>
      <c r="W81" s="418" t="s">
        <v>1470</v>
      </c>
      <c r="X81" s="361">
        <v>843</v>
      </c>
      <c r="Y81" s="361">
        <v>521</v>
      </c>
      <c r="Z81" s="419">
        <v>695</v>
      </c>
      <c r="AA81" s="9"/>
      <c r="AD81" s="181"/>
    </row>
    <row r="82" spans="1:30" ht="12.75" customHeight="1">
      <c r="A82" s="87"/>
      <c r="B82" s="18"/>
      <c r="C82" s="144" t="str">
        <f>VLOOKUP(67,Textbausteine!$S$2:$W$160,Hilfsgrössen!$D$2,FALSE)</f>
        <v>dont pour amortissements</v>
      </c>
      <c r="D82" s="1" t="str">
        <f>VLOOKUP(11,Textbausteine!$S$2:$W$160,Hilfsgrössen!$D$2,FALSE)</f>
        <v>Millions de CHF</v>
      </c>
      <c r="F82" s="37" t="s">
        <v>64</v>
      </c>
      <c r="H82" s="417">
        <v>255</v>
      </c>
      <c r="I82" s="417">
        <v>252</v>
      </c>
      <c r="J82" s="417">
        <v>257</v>
      </c>
      <c r="K82" s="417">
        <v>284</v>
      </c>
      <c r="L82" s="417">
        <v>279</v>
      </c>
      <c r="M82" s="417">
        <v>325</v>
      </c>
      <c r="N82" s="417">
        <v>309</v>
      </c>
      <c r="O82" s="417">
        <v>293</v>
      </c>
      <c r="P82" s="417">
        <v>312</v>
      </c>
      <c r="Q82" s="418" t="s">
        <v>1470</v>
      </c>
      <c r="R82" s="417">
        <v>333</v>
      </c>
      <c r="S82" s="417">
        <v>329</v>
      </c>
      <c r="T82" s="418" t="s">
        <v>1470</v>
      </c>
      <c r="U82" s="417">
        <v>336</v>
      </c>
      <c r="V82" s="361">
        <v>447</v>
      </c>
      <c r="W82" s="418" t="s">
        <v>1470</v>
      </c>
      <c r="X82" s="361">
        <v>467</v>
      </c>
      <c r="Y82" s="361">
        <v>348</v>
      </c>
      <c r="Z82" s="419">
        <v>451</v>
      </c>
      <c r="AA82" s="9"/>
      <c r="AD82" s="181"/>
    </row>
    <row r="83" spans="1:30" ht="12.75" customHeight="1">
      <c r="A83" s="87"/>
      <c r="B83" s="18"/>
      <c r="C83" s="144" t="str">
        <f>VLOOKUP(68,Textbausteine!$S$2:$W$160,Hilfsgrössen!$D$2,FALSE)</f>
        <v>dont pour renforcement de la Caisse de pensions Poste</v>
      </c>
      <c r="D83" s="1" t="str">
        <f>VLOOKUP(11,Textbausteine!$S$2:$W$160,Hilfsgrössen!$D$2,FALSE)</f>
        <v>Millions de CHF</v>
      </c>
      <c r="F83" s="37" t="s">
        <v>64</v>
      </c>
      <c r="H83" s="417">
        <v>350</v>
      </c>
      <c r="I83" s="417">
        <v>350</v>
      </c>
      <c r="J83" s="417">
        <v>212</v>
      </c>
      <c r="K83" s="417">
        <v>250</v>
      </c>
      <c r="L83" s="417">
        <v>250</v>
      </c>
      <c r="M83" s="417">
        <v>250</v>
      </c>
      <c r="N83" s="417">
        <v>100</v>
      </c>
      <c r="O83" s="417">
        <v>100</v>
      </c>
      <c r="P83" s="417">
        <v>100</v>
      </c>
      <c r="Q83" s="418" t="s">
        <v>1470</v>
      </c>
      <c r="R83" s="417">
        <v>0</v>
      </c>
      <c r="S83" s="417">
        <v>0</v>
      </c>
      <c r="T83" s="418" t="s">
        <v>1470</v>
      </c>
      <c r="U83" s="417">
        <v>0</v>
      </c>
      <c r="V83" s="361">
        <v>0</v>
      </c>
      <c r="W83" s="418" t="s">
        <v>1470</v>
      </c>
      <c r="X83" s="361">
        <v>0</v>
      </c>
      <c r="Y83" s="361">
        <v>0</v>
      </c>
      <c r="Z83" s="419">
        <v>0</v>
      </c>
      <c r="AA83" s="9"/>
      <c r="AD83" s="181"/>
    </row>
    <row r="84" spans="1:30" ht="12.75" customHeight="1">
      <c r="A84" s="87"/>
      <c r="B84" s="18"/>
      <c r="C84" s="144" t="str">
        <f>VLOOKUP(69,Textbausteine!$S$2:$W$160,Hilfsgrössen!$D$2,FALSE)</f>
        <v>dont pour constitution de fonds propres</v>
      </c>
      <c r="D84" s="1" t="str">
        <f>VLOOKUP(11,Textbausteine!$S$2:$W$160,Hilfsgrössen!$D$2,FALSE)</f>
        <v>Millions de CHF</v>
      </c>
      <c r="F84" s="37" t="s">
        <v>64</v>
      </c>
      <c r="H84" s="417">
        <v>480</v>
      </c>
      <c r="I84" s="417">
        <v>461</v>
      </c>
      <c r="J84" s="417">
        <v>625</v>
      </c>
      <c r="K84" s="417">
        <v>359</v>
      </c>
      <c r="L84" s="417">
        <v>375</v>
      </c>
      <c r="M84" s="417">
        <v>261</v>
      </c>
      <c r="N84" s="417">
        <v>610</v>
      </c>
      <c r="O84" s="417">
        <v>604</v>
      </c>
      <c r="P84" s="417">
        <v>472</v>
      </c>
      <c r="Q84" s="418" t="s">
        <v>1470</v>
      </c>
      <c r="R84" s="417">
        <v>446</v>
      </c>
      <c r="S84" s="417">
        <v>552</v>
      </c>
      <c r="T84" s="418" t="s">
        <v>1470</v>
      </c>
      <c r="U84" s="417">
        <v>610</v>
      </c>
      <c r="V84" s="361">
        <v>394</v>
      </c>
      <c r="W84" s="418" t="s">
        <v>1470</v>
      </c>
      <c r="X84" s="361">
        <v>504</v>
      </c>
      <c r="Y84" s="361">
        <v>339</v>
      </c>
      <c r="Z84" s="419">
        <v>425</v>
      </c>
      <c r="AA84" s="9"/>
      <c r="AD84" s="181"/>
    </row>
    <row r="85" spans="1:30" ht="12.75" customHeight="1">
      <c r="A85" s="87"/>
      <c r="B85" s="18"/>
      <c r="C85" s="144" t="str">
        <f>VLOOKUP(70,Textbausteine!$S$2:$W$160,Hilfsgrössen!$D$2,FALSE)</f>
        <v>dont pour Autres</v>
      </c>
      <c r="D85" s="1" t="str">
        <f>VLOOKUP(11,Textbausteine!$S$2:$W$160,Hilfsgrössen!$D$2,FALSE)</f>
        <v>Millions de CHF</v>
      </c>
      <c r="E85" s="37">
        <v>6</v>
      </c>
      <c r="F85" s="37" t="s">
        <v>64</v>
      </c>
      <c r="H85" s="417">
        <v>-49</v>
      </c>
      <c r="I85" s="417">
        <v>-64</v>
      </c>
      <c r="J85" s="417">
        <v>-90</v>
      </c>
      <c r="K85" s="417">
        <v>-152</v>
      </c>
      <c r="L85" s="417">
        <v>-134</v>
      </c>
      <c r="M85" s="417">
        <v>-108</v>
      </c>
      <c r="N85" s="417">
        <v>-59</v>
      </c>
      <c r="O85" s="417">
        <v>-68</v>
      </c>
      <c r="P85" s="417">
        <v>-47</v>
      </c>
      <c r="Q85" s="418" t="s">
        <v>1470</v>
      </c>
      <c r="R85" s="417">
        <v>51</v>
      </c>
      <c r="S85" s="417">
        <v>-105</v>
      </c>
      <c r="T85" s="418" t="s">
        <v>1470</v>
      </c>
      <c r="U85" s="417">
        <v>-190</v>
      </c>
      <c r="V85" s="361">
        <v>-112</v>
      </c>
      <c r="W85" s="418" t="s">
        <v>1470</v>
      </c>
      <c r="X85" s="361">
        <v>-128</v>
      </c>
      <c r="Y85" s="361">
        <v>-166</v>
      </c>
      <c r="Z85" s="419">
        <v>-181</v>
      </c>
      <c r="AA85" s="9"/>
      <c r="AD85" s="181"/>
    </row>
    <row r="86" spans="1:30" ht="12.75" customHeight="1">
      <c r="A86" s="87"/>
      <c r="B86" s="18"/>
      <c r="V86" s="119"/>
      <c r="W86" s="376"/>
      <c r="X86" s="375"/>
      <c r="Y86" s="375"/>
      <c r="Z86" s="342"/>
      <c r="AA86" s="9"/>
      <c r="AD86" s="181"/>
    </row>
    <row r="87" spans="1:30" ht="12.75" customHeight="1">
      <c r="A87" s="87"/>
      <c r="B87" s="18"/>
      <c r="C87" s="1" t="str">
        <f>VLOOKUP(61,Textbausteine!$S$2:$W$160,Hilfsgrössen!$D$2,FALSE)</f>
        <v>Valeur ajoutée</v>
      </c>
      <c r="D87" s="9" t="str">
        <f>VLOOKUP(12,Textbausteine!$S$2:$W$160,Hilfsgrössen!$D$2,FALSE)</f>
        <v>%</v>
      </c>
      <c r="E87" s="37">
        <v>1</v>
      </c>
      <c r="F87" s="37" t="s">
        <v>64</v>
      </c>
      <c r="H87" s="420">
        <v>100</v>
      </c>
      <c r="I87" s="420">
        <v>100</v>
      </c>
      <c r="J87" s="420">
        <v>100</v>
      </c>
      <c r="K87" s="420">
        <v>100</v>
      </c>
      <c r="L87" s="420">
        <v>100</v>
      </c>
      <c r="M87" s="420">
        <v>100</v>
      </c>
      <c r="N87" s="420">
        <v>100</v>
      </c>
      <c r="O87" s="420">
        <v>100</v>
      </c>
      <c r="P87" s="420">
        <v>100</v>
      </c>
      <c r="Q87" s="406" t="s">
        <v>1470</v>
      </c>
      <c r="R87" s="420">
        <v>100</v>
      </c>
      <c r="S87" s="420">
        <f aca="true" t="shared" si="0" ref="S87:S96">S76/S$76*100</f>
        <v>100</v>
      </c>
      <c r="T87" s="406" t="s">
        <v>1470</v>
      </c>
      <c r="U87" s="420">
        <f>U76/U$76*100</f>
        <v>100</v>
      </c>
      <c r="V87" s="421">
        <f>V76/V$76*100</f>
        <v>100</v>
      </c>
      <c r="W87" s="406" t="s">
        <v>1470</v>
      </c>
      <c r="X87" s="421">
        <f aca="true" t="shared" si="1" ref="X87:X96">X76/X$76*100</f>
        <v>100</v>
      </c>
      <c r="Y87" s="421">
        <v>100</v>
      </c>
      <c r="Z87" s="422">
        <v>100</v>
      </c>
      <c r="AA87" s="9"/>
      <c r="AD87" s="101"/>
    </row>
    <row r="88" spans="1:30" ht="12.75" customHeight="1">
      <c r="A88" s="87"/>
      <c r="B88" s="18"/>
      <c r="C88" s="36" t="str">
        <f>VLOOKUP(62,Textbausteine!$S$2:$W$160,Hilfsgrössen!$D$2,FALSE)</f>
        <v>dont aux collaborateurs</v>
      </c>
      <c r="D88" s="9" t="str">
        <f>VLOOKUP(12,Textbausteine!$S$2:$W$160,Hilfsgrössen!$D$2,FALSE)</f>
        <v>%</v>
      </c>
      <c r="E88" s="37">
        <v>2</v>
      </c>
      <c r="F88" s="37" t="s">
        <v>64</v>
      </c>
      <c r="H88" s="420">
        <v>78.1027998328458</v>
      </c>
      <c r="I88" s="420">
        <v>78.54113655640373</v>
      </c>
      <c r="J88" s="420">
        <v>78.37381203801478</v>
      </c>
      <c r="K88" s="420">
        <v>78.19289340101523</v>
      </c>
      <c r="L88" s="420">
        <v>79.44615384615385</v>
      </c>
      <c r="M88" s="420">
        <v>80.91511137868754</v>
      </c>
      <c r="N88" s="420">
        <v>77.37281700835231</v>
      </c>
      <c r="O88" s="420">
        <v>77.61711972238288</v>
      </c>
      <c r="P88" s="420">
        <v>78.30259691381258</v>
      </c>
      <c r="Q88" s="406" t="s">
        <v>1470</v>
      </c>
      <c r="R88" s="420">
        <v>77.53378378378379</v>
      </c>
      <c r="S88" s="420">
        <f t="shared" si="0"/>
        <v>78.69731800766283</v>
      </c>
      <c r="T88" s="406" t="s">
        <v>1470</v>
      </c>
      <c r="U88" s="420">
        <f aca="true" t="shared" si="2" ref="U88:U96">U77/U$76*100</f>
        <v>78.45176198729058</v>
      </c>
      <c r="V88" s="421">
        <f aca="true" t="shared" si="3" ref="V88:V96">V77/V$76*100</f>
        <v>78.40621963070943</v>
      </c>
      <c r="W88" s="406" t="s">
        <v>1470</v>
      </c>
      <c r="X88" s="421">
        <f t="shared" si="1"/>
        <v>77.56173439626677</v>
      </c>
      <c r="Y88" s="421">
        <v>82.41924994580533</v>
      </c>
      <c r="Z88" s="422">
        <v>81.5424610051993</v>
      </c>
      <c r="AA88" s="9"/>
      <c r="AD88" s="181"/>
    </row>
    <row r="89" spans="1:30" ht="12.75" customHeight="1">
      <c r="A89" s="87"/>
      <c r="B89" s="18"/>
      <c r="C89" s="36" t="str">
        <f>VLOOKUP(63,Textbausteine!$S$2:$W$160,Hilfsgrössen!$D$2,FALSE)</f>
        <v>dont aux bailleurs de fonds externes</v>
      </c>
      <c r="D89" s="9" t="str">
        <f>VLOOKUP(12,Textbausteine!$S$2:$W$160,Hilfsgrössen!$D$2,FALSE)</f>
        <v>%</v>
      </c>
      <c r="E89" s="37">
        <v>3</v>
      </c>
      <c r="F89" s="37" t="s">
        <v>64</v>
      </c>
      <c r="H89" s="420">
        <v>0.22983702465524447</v>
      </c>
      <c r="I89" s="420">
        <v>0.19083969465648853</v>
      </c>
      <c r="J89" s="420">
        <v>0.23231256599788808</v>
      </c>
      <c r="K89" s="420">
        <v>0.40609137055837563</v>
      </c>
      <c r="L89" s="420">
        <v>0.45128205128205123</v>
      </c>
      <c r="M89" s="420">
        <v>0.28095524784266507</v>
      </c>
      <c r="N89" s="420">
        <v>0.3796507213363705</v>
      </c>
      <c r="O89" s="420">
        <v>0.3663003663003663</v>
      </c>
      <c r="P89" s="420">
        <v>1.543093714715845</v>
      </c>
      <c r="Q89" s="406" t="s">
        <v>1470</v>
      </c>
      <c r="R89" s="420">
        <v>1.7454954954954953</v>
      </c>
      <c r="S89" s="420">
        <f t="shared" si="0"/>
        <v>1.0919540229885056</v>
      </c>
      <c r="T89" s="406" t="s">
        <v>1470</v>
      </c>
      <c r="U89" s="420">
        <f t="shared" si="2"/>
        <v>1.3287117273252456</v>
      </c>
      <c r="V89" s="421">
        <f t="shared" si="3"/>
        <v>1.2439261418853256</v>
      </c>
      <c r="W89" s="406" t="s">
        <v>1470</v>
      </c>
      <c r="X89" s="421">
        <f t="shared" si="1"/>
        <v>0.933307408127552</v>
      </c>
      <c r="Y89" s="421">
        <v>1.0405376110990678</v>
      </c>
      <c r="Z89" s="422">
        <v>1.6247833622183712</v>
      </c>
      <c r="AA89" s="9"/>
      <c r="AD89" s="181"/>
    </row>
    <row r="90" spans="1:30" ht="12.75" customHeight="1">
      <c r="A90" s="87"/>
      <c r="B90" s="18"/>
      <c r="C90" s="36" t="str">
        <f>VLOOKUP(64,Textbausteine!$S$2:$W$160,Hilfsgrössen!$D$2,FALSE)</f>
        <v>dont aux pouvoirs publics</v>
      </c>
      <c r="D90" s="9" t="str">
        <f>VLOOKUP(12,Textbausteine!$S$2:$W$160,Hilfsgrössen!$D$2,FALSE)</f>
        <v>%</v>
      </c>
      <c r="E90" s="37">
        <v>4</v>
      </c>
      <c r="F90" s="37" t="s">
        <v>64</v>
      </c>
      <c r="H90" s="420">
        <v>0.041788549937317176</v>
      </c>
      <c r="I90" s="420">
        <v>0.08481764206955046</v>
      </c>
      <c r="J90" s="420">
        <v>0.1900739176346357</v>
      </c>
      <c r="K90" s="420">
        <v>0.2639593908629442</v>
      </c>
      <c r="L90" s="420">
        <v>0.20512820512820512</v>
      </c>
      <c r="M90" s="420">
        <v>0.1806140878988561</v>
      </c>
      <c r="N90" s="420">
        <v>0.22779043280182232</v>
      </c>
      <c r="O90" s="420">
        <v>0.2506265664160401</v>
      </c>
      <c r="P90" s="420">
        <v>0.6398193451260821</v>
      </c>
      <c r="Q90" s="406" t="s">
        <v>1470</v>
      </c>
      <c r="R90" s="420">
        <v>1.7642642642642643</v>
      </c>
      <c r="S90" s="420">
        <f t="shared" si="0"/>
        <v>1.5134099616858239</v>
      </c>
      <c r="T90" s="406" t="s">
        <v>1470</v>
      </c>
      <c r="U90" s="420">
        <f t="shared" si="2"/>
        <v>1.8101290198343924</v>
      </c>
      <c r="V90" s="421">
        <f t="shared" si="3"/>
        <v>2.293488824101069</v>
      </c>
      <c r="W90" s="406" t="s">
        <v>1470</v>
      </c>
      <c r="X90" s="421">
        <f t="shared" si="1"/>
        <v>1.224965973167412</v>
      </c>
      <c r="Y90" s="421">
        <v>0.9104704097116844</v>
      </c>
      <c r="Z90" s="422">
        <v>0.6932409012131715</v>
      </c>
      <c r="AA90" s="9"/>
      <c r="AD90" s="181"/>
    </row>
    <row r="91" spans="1:30" ht="12.75" customHeight="1">
      <c r="A91" s="87"/>
      <c r="B91" s="18"/>
      <c r="C91" s="36" t="str">
        <f>VLOOKUP(65,Textbausteine!$S$2:$W$160,Hilfsgrössen!$D$2,FALSE)</f>
        <v>dont au propriétaire</v>
      </c>
      <c r="D91" s="9" t="str">
        <f>VLOOKUP(12,Textbausteine!$S$2:$W$160,Hilfsgrössen!$D$2,FALSE)</f>
        <v>%</v>
      </c>
      <c r="E91" s="37">
        <v>5</v>
      </c>
      <c r="F91" s="37" t="s">
        <v>64</v>
      </c>
      <c r="H91" s="420">
        <v>0</v>
      </c>
      <c r="I91" s="420">
        <v>0</v>
      </c>
      <c r="J91" s="420">
        <v>0</v>
      </c>
      <c r="K91" s="420">
        <v>6.091370558375635</v>
      </c>
      <c r="L91" s="420">
        <v>4.102564102564102</v>
      </c>
      <c r="M91" s="420">
        <v>4.013646397752358</v>
      </c>
      <c r="N91" s="420">
        <v>3.7965072133637054</v>
      </c>
      <c r="O91" s="420">
        <v>3.85579332947754</v>
      </c>
      <c r="P91" s="420">
        <v>3.763643206624012</v>
      </c>
      <c r="Q91" s="406" t="s">
        <v>1470</v>
      </c>
      <c r="R91" s="420">
        <v>3.3783783783783785</v>
      </c>
      <c r="S91" s="420">
        <f t="shared" si="0"/>
        <v>3.8314176245210727</v>
      </c>
      <c r="T91" s="406" t="s">
        <v>1470</v>
      </c>
      <c r="U91" s="420">
        <f t="shared" si="2"/>
        <v>3.851338340073175</v>
      </c>
      <c r="V91" s="421">
        <f t="shared" si="3"/>
        <v>3.8872691933916426</v>
      </c>
      <c r="W91" s="406" t="s">
        <v>1470</v>
      </c>
      <c r="X91" s="421">
        <f t="shared" si="1"/>
        <v>3.8887808671981334</v>
      </c>
      <c r="Y91" s="421">
        <v>4.335573379579449</v>
      </c>
      <c r="Z91" s="422">
        <v>1.0831889081455806</v>
      </c>
      <c r="AA91" s="9"/>
      <c r="AD91" s="181"/>
    </row>
    <row r="92" spans="1:30" ht="12.75" customHeight="1">
      <c r="A92" s="87"/>
      <c r="B92" s="18"/>
      <c r="C92" s="36" t="str">
        <f>VLOOKUP(66,Textbausteine!$S$2:$W$160,Hilfsgrössen!$D$2,FALSE)</f>
        <v>dont à l'entreprise</v>
      </c>
      <c r="D92" s="9" t="str">
        <f>VLOOKUP(12,Textbausteine!$S$2:$W$160,Hilfsgrössen!$D$2,FALSE)</f>
        <v>%</v>
      </c>
      <c r="E92" s="37">
        <v>7</v>
      </c>
      <c r="F92" s="37" t="s">
        <v>64</v>
      </c>
      <c r="H92" s="420">
        <v>21.646468867530295</v>
      </c>
      <c r="I92" s="420">
        <v>21.183206106870227</v>
      </c>
      <c r="J92" s="420">
        <v>21.203801478352695</v>
      </c>
      <c r="K92" s="420">
        <v>15.045685279187818</v>
      </c>
      <c r="L92" s="420">
        <v>15.794871794871796</v>
      </c>
      <c r="M92" s="420">
        <v>14.609672887818585</v>
      </c>
      <c r="N92" s="420">
        <v>18.223234624145785</v>
      </c>
      <c r="O92" s="420">
        <v>17.910160015423173</v>
      </c>
      <c r="P92" s="420">
        <v>15.75084681972149</v>
      </c>
      <c r="Q92" s="406" t="s">
        <v>1470</v>
      </c>
      <c r="R92" s="420">
        <v>15.578078078078079</v>
      </c>
      <c r="S92" s="420">
        <f t="shared" si="0"/>
        <v>14.865900383141762</v>
      </c>
      <c r="T92" s="406" t="s">
        <v>1470</v>
      </c>
      <c r="U92" s="420">
        <f t="shared" si="2"/>
        <v>14.558058925476603</v>
      </c>
      <c r="V92" s="421">
        <f t="shared" si="3"/>
        <v>14.169096209912539</v>
      </c>
      <c r="W92" s="406" t="s">
        <v>1470</v>
      </c>
      <c r="X92" s="421">
        <f t="shared" si="1"/>
        <v>16.39121135524013</v>
      </c>
      <c r="Y92" s="421">
        <v>11.294168653804466</v>
      </c>
      <c r="Z92" s="422">
        <v>15.05632582322357</v>
      </c>
      <c r="AA92" s="9"/>
      <c r="AD92" s="181"/>
    </row>
    <row r="93" spans="1:30" ht="12.75" customHeight="1">
      <c r="A93" s="87"/>
      <c r="B93" s="18"/>
      <c r="C93" s="144" t="str">
        <f>VLOOKUP(67,Textbausteine!$S$2:$W$160,Hilfsgrössen!$D$2,FALSE)</f>
        <v>dont pour amortissements</v>
      </c>
      <c r="D93" s="9" t="str">
        <f>VLOOKUP(12,Textbausteine!$S$2:$W$160,Hilfsgrössen!$D$2,FALSE)</f>
        <v>%</v>
      </c>
      <c r="F93" s="37" t="s">
        <v>64</v>
      </c>
      <c r="H93" s="420">
        <v>5.32804011700794</v>
      </c>
      <c r="I93" s="420">
        <v>5.343511450381679</v>
      </c>
      <c r="J93" s="420">
        <v>5.42766631467793</v>
      </c>
      <c r="K93" s="420">
        <v>5.766497461928934</v>
      </c>
      <c r="L93" s="420">
        <v>5.723076923076923</v>
      </c>
      <c r="M93" s="420">
        <v>6.522175396347582</v>
      </c>
      <c r="N93" s="420">
        <v>5.865603644646924</v>
      </c>
      <c r="O93" s="420">
        <v>5.648737227684596</v>
      </c>
      <c r="P93" s="420">
        <v>5.871283402333459</v>
      </c>
      <c r="Q93" s="406" t="s">
        <v>1470</v>
      </c>
      <c r="R93" s="420">
        <v>6.25</v>
      </c>
      <c r="S93" s="420">
        <f t="shared" si="0"/>
        <v>6.302681992337164</v>
      </c>
      <c r="T93" s="406" t="s">
        <v>1470</v>
      </c>
      <c r="U93" s="420">
        <f t="shared" si="2"/>
        <v>6.470248411322935</v>
      </c>
      <c r="V93" s="421">
        <f t="shared" si="3"/>
        <v>8.68804664723032</v>
      </c>
      <c r="W93" s="406" t="s">
        <v>1470</v>
      </c>
      <c r="X93" s="421">
        <f t="shared" si="1"/>
        <v>9.080303324907641</v>
      </c>
      <c r="Y93" s="421">
        <v>7.543897680468242</v>
      </c>
      <c r="Z93" s="422">
        <v>9.770363951473136</v>
      </c>
      <c r="AA93" s="9"/>
      <c r="AD93" s="181"/>
    </row>
    <row r="94" spans="1:30" ht="12.75" customHeight="1">
      <c r="A94" s="87"/>
      <c r="B94" s="18"/>
      <c r="C94" s="144" t="str">
        <f>VLOOKUP(68,Textbausteine!$S$2:$W$160,Hilfsgrössen!$D$2,FALSE)</f>
        <v>dont pour renforcement de la Caisse de pensions Poste</v>
      </c>
      <c r="D94" s="9" t="str">
        <f>VLOOKUP(12,Textbausteine!$S$2:$W$160,Hilfsgrössen!$D$2,FALSE)</f>
        <v>%</v>
      </c>
      <c r="F94" s="37" t="s">
        <v>64</v>
      </c>
      <c r="H94" s="420">
        <v>7.312996239030506</v>
      </c>
      <c r="I94" s="420">
        <v>7.421543681085666</v>
      </c>
      <c r="J94" s="420">
        <v>4.477296726504751</v>
      </c>
      <c r="K94" s="420">
        <v>5.0761421319796955</v>
      </c>
      <c r="L94" s="420">
        <v>5.128205128205128</v>
      </c>
      <c r="M94" s="420">
        <v>5.017057997190447</v>
      </c>
      <c r="N94" s="420">
        <v>1.8982536066818527</v>
      </c>
      <c r="O94" s="420">
        <v>1.92789666473877</v>
      </c>
      <c r="P94" s="420">
        <v>1.881821603312006</v>
      </c>
      <c r="Q94" s="406" t="s">
        <v>1470</v>
      </c>
      <c r="R94" s="420">
        <v>0</v>
      </c>
      <c r="S94" s="420">
        <f t="shared" si="0"/>
        <v>0</v>
      </c>
      <c r="T94" s="406" t="s">
        <v>1470</v>
      </c>
      <c r="U94" s="420">
        <f t="shared" si="2"/>
        <v>0</v>
      </c>
      <c r="V94" s="421">
        <f t="shared" si="3"/>
        <v>0</v>
      </c>
      <c r="W94" s="406" t="s">
        <v>1470</v>
      </c>
      <c r="X94" s="421">
        <f t="shared" si="1"/>
        <v>0</v>
      </c>
      <c r="Y94" s="421">
        <v>0</v>
      </c>
      <c r="Z94" s="422">
        <v>0</v>
      </c>
      <c r="AA94" s="9"/>
      <c r="AD94" s="181"/>
    </row>
    <row r="95" spans="1:30" ht="12.75" customHeight="1">
      <c r="A95" s="87"/>
      <c r="B95" s="18"/>
      <c r="C95" s="144" t="str">
        <f>VLOOKUP(69,Textbausteine!$S$2:$W$160,Hilfsgrössen!$D$2,FALSE)</f>
        <v>dont pour constitution de fonds propres</v>
      </c>
      <c r="D95" s="9" t="str">
        <f>VLOOKUP(12,Textbausteine!$S$2:$W$160,Hilfsgrössen!$D$2,FALSE)</f>
        <v>%</v>
      </c>
      <c r="F95" s="37" t="s">
        <v>64</v>
      </c>
      <c r="H95" s="420">
        <v>10.029251984956122</v>
      </c>
      <c r="I95" s="420">
        <v>9.775233248515692</v>
      </c>
      <c r="J95" s="420">
        <v>13.199577613516366</v>
      </c>
      <c r="K95" s="420">
        <v>7.289340101522843</v>
      </c>
      <c r="L95" s="420">
        <v>7.6923076923076925</v>
      </c>
      <c r="M95" s="420">
        <v>5.237808549066828</v>
      </c>
      <c r="N95" s="420">
        <v>11.579347000759302</v>
      </c>
      <c r="O95" s="420">
        <v>11.64449585502217</v>
      </c>
      <c r="P95" s="420">
        <v>8.882197967632669</v>
      </c>
      <c r="Q95" s="406" t="s">
        <v>1470</v>
      </c>
      <c r="R95" s="420">
        <v>8.37087087087087</v>
      </c>
      <c r="S95" s="420">
        <f t="shared" si="0"/>
        <v>10.574712643678161</v>
      </c>
      <c r="T95" s="406" t="s">
        <v>1470</v>
      </c>
      <c r="U95" s="420">
        <f t="shared" si="2"/>
        <v>11.746581937223185</v>
      </c>
      <c r="V95" s="421">
        <f t="shared" si="3"/>
        <v>7.657920310981535</v>
      </c>
      <c r="W95" s="406" t="s">
        <v>1470</v>
      </c>
      <c r="X95" s="421">
        <f t="shared" si="1"/>
        <v>9.799727785339297</v>
      </c>
      <c r="Y95" s="421">
        <v>7.348796878387167</v>
      </c>
      <c r="Z95" s="422">
        <v>9.207105719237434</v>
      </c>
      <c r="AA95" s="9"/>
      <c r="AD95" s="181"/>
    </row>
    <row r="96" spans="1:30" ht="12.75" customHeight="1">
      <c r="A96" s="87"/>
      <c r="B96" s="18"/>
      <c r="C96" s="144" t="str">
        <f>VLOOKUP(70,Textbausteine!$S$2:$W$160,Hilfsgrössen!$D$2,FALSE)</f>
        <v>dont pour Autres</v>
      </c>
      <c r="D96" s="9" t="str">
        <f>VLOOKUP(12,Textbausteine!$S$2:$W$160,Hilfsgrössen!$D$2,FALSE)</f>
        <v>%</v>
      </c>
      <c r="E96" s="37">
        <v>6</v>
      </c>
      <c r="F96" s="37" t="s">
        <v>64</v>
      </c>
      <c r="H96" s="420">
        <v>-1.023819473464271</v>
      </c>
      <c r="I96" s="420">
        <v>-1.3570822731128074</v>
      </c>
      <c r="J96" s="420">
        <v>-1.9007391763463568</v>
      </c>
      <c r="K96" s="420">
        <v>-3.0862944162436547</v>
      </c>
      <c r="L96" s="420">
        <v>-2.7487179487179487</v>
      </c>
      <c r="M96" s="420">
        <v>-2.167369054786273</v>
      </c>
      <c r="N96" s="420">
        <v>-1.119969627942293</v>
      </c>
      <c r="O96" s="420">
        <v>-1.3109697320223637</v>
      </c>
      <c r="P96" s="420">
        <v>-0.8844561535566429</v>
      </c>
      <c r="Q96" s="406" t="s">
        <v>1470</v>
      </c>
      <c r="R96" s="420">
        <v>0.9572072072072071</v>
      </c>
      <c r="S96" s="420">
        <f t="shared" si="0"/>
        <v>-2.0114942528735633</v>
      </c>
      <c r="T96" s="406" t="s">
        <v>1470</v>
      </c>
      <c r="U96" s="420">
        <f t="shared" si="2"/>
        <v>-3.6587714230695165</v>
      </c>
      <c r="V96" s="421">
        <f t="shared" si="3"/>
        <v>-2.1768707482993195</v>
      </c>
      <c r="W96" s="406" t="s">
        <v>1470</v>
      </c>
      <c r="X96" s="421">
        <f t="shared" si="1"/>
        <v>-2.4888197550068054</v>
      </c>
      <c r="Y96" s="421">
        <v>-3.598525905050943</v>
      </c>
      <c r="Z96" s="422">
        <v>-3.921143847487002</v>
      </c>
      <c r="AA96" s="9"/>
      <c r="AD96" s="181"/>
    </row>
    <row r="97" ht="12.75" customHeight="1">
      <c r="AD97" s="181"/>
    </row>
    <row r="98" spans="2:23" ht="12.75" customHeight="1">
      <c r="B98" s="22" t="str">
        <f>VLOOKUP(151,Textbausteine!$S$2:$W$160,Hilfsgrössen!$D$2,FALSE)</f>
        <v>1) Valeur ajoutée = résultat d'exploitation + charges de personnel + amortissements – résultat de la vente d'immobilisations corporelles, d'immobilisations incorporelles et de participations</v>
      </c>
      <c r="C98" s="29"/>
      <c r="D98" s="18"/>
      <c r="E98" s="13"/>
      <c r="F98" s="11"/>
      <c r="G98" s="49"/>
      <c r="K98" s="107"/>
      <c r="L98" s="107"/>
      <c r="M98" s="107"/>
      <c r="N98" s="107"/>
      <c r="O98" s="20"/>
      <c r="P98" s="20"/>
      <c r="Q98" s="20"/>
      <c r="R98" s="20"/>
      <c r="S98" s="182"/>
      <c r="T98" s="182"/>
      <c r="U98" s="182"/>
      <c r="V98" s="107"/>
      <c r="W98" s="107"/>
    </row>
    <row r="99" spans="2:23" ht="12.75" customHeight="1">
      <c r="B99" s="22" t="str">
        <f>VLOOKUP(152,Textbausteine!$S$2:$W$160,Hilfsgrössen!$D$2,FALSE)</f>
        <v>2) Salaires, appointements, charges sociales légales et volontaires, prestations de prévoyance en faveur du personnel, formation et perfectionnement</v>
      </c>
      <c r="C99" s="29"/>
      <c r="D99" s="18"/>
      <c r="E99" s="13"/>
      <c r="F99" s="11"/>
      <c r="G99" s="49"/>
      <c r="K99" s="107"/>
      <c r="L99" s="107"/>
      <c r="M99" s="107"/>
      <c r="N99" s="107"/>
      <c r="O99" s="20"/>
      <c r="P99" s="20"/>
      <c r="Q99" s="20"/>
      <c r="R99" s="20"/>
      <c r="S99" s="182"/>
      <c r="T99" s="182"/>
      <c r="U99" s="182"/>
      <c r="V99" s="107"/>
      <c r="W99" s="107"/>
    </row>
    <row r="100" spans="2:23" ht="12.75" customHeight="1">
      <c r="B100" s="22" t="str">
        <f>VLOOKUP(153,Textbausteine!$S$2:$W$160,Hilfsgrössen!$D$2,FALSE)</f>
        <v>3) Intérêts et charges similaires</v>
      </c>
      <c r="C100" s="29"/>
      <c r="D100" s="18"/>
      <c r="E100" s="13"/>
      <c r="F100" s="11"/>
      <c r="G100" s="49"/>
      <c r="K100" s="107"/>
      <c r="L100" s="107"/>
      <c r="M100" s="107"/>
      <c r="N100" s="107"/>
      <c r="O100" s="20"/>
      <c r="P100" s="20"/>
      <c r="Q100" s="20"/>
      <c r="R100" s="20"/>
      <c r="S100" s="182"/>
      <c r="T100" s="182"/>
      <c r="U100" s="182"/>
      <c r="V100" s="107"/>
      <c r="W100" s="107"/>
    </row>
    <row r="101" spans="2:23" ht="12.75" customHeight="1">
      <c r="B101" s="22" t="str">
        <f>VLOOKUP(154,Textbausteine!$S$2:$W$160,Hilfsgrössen!$D$2,FALSE)</f>
        <v>4) Impôts sur le bénéfice</v>
      </c>
      <c r="C101" s="29"/>
      <c r="D101" s="18"/>
      <c r="E101" s="13"/>
      <c r="F101" s="11"/>
      <c r="G101" s="49"/>
      <c r="K101" s="107"/>
      <c r="L101" s="107"/>
      <c r="M101" s="107"/>
      <c r="N101" s="107"/>
      <c r="O101" s="20"/>
      <c r="P101" s="20"/>
      <c r="Q101" s="20"/>
      <c r="R101" s="20"/>
      <c r="S101" s="182"/>
      <c r="T101" s="182"/>
      <c r="U101" s="182"/>
      <c r="V101" s="107"/>
      <c r="W101" s="107"/>
    </row>
    <row r="102" spans="2:23" ht="12.75" customHeight="1">
      <c r="B102" s="22" t="str">
        <f>VLOOKUP(155,Textbausteine!$S$2:$W$160,Hilfsgrössen!$D$2,FALSE)</f>
        <v>5) Versement du bénéfice à la Confédération</v>
      </c>
      <c r="C102" s="29"/>
      <c r="D102" s="18"/>
      <c r="E102" s="13"/>
      <c r="F102" s="11"/>
      <c r="G102" s="49"/>
      <c r="K102" s="107"/>
      <c r="L102" s="107"/>
      <c r="M102" s="107"/>
      <c r="N102" s="107"/>
      <c r="O102" s="20"/>
      <c r="P102" s="20"/>
      <c r="Q102" s="20"/>
      <c r="R102" s="20"/>
      <c r="S102" s="182"/>
      <c r="T102" s="182"/>
      <c r="U102" s="182"/>
      <c r="V102" s="107"/>
      <c r="W102" s="107"/>
    </row>
    <row r="103" spans="2:23" ht="12.75" customHeight="1">
      <c r="B103" s="22" t="str">
        <f>VLOOKUP(156,Textbausteine!$S$2:$W$160,Hilfsgrössen!$D$2,FALSE)</f>
        <v>6) Le poste «Autres» comprend le bénéfice de la vente d'immobilisations corporelles, les produits des sociétés associées, les produits financiers et les impôts latents.</v>
      </c>
      <c r="C103" s="29"/>
      <c r="D103" s="18"/>
      <c r="E103" s="13"/>
      <c r="F103" s="11"/>
      <c r="G103" s="49"/>
      <c r="K103" s="107"/>
      <c r="L103" s="107"/>
      <c r="M103" s="107"/>
      <c r="N103" s="107"/>
      <c r="O103" s="20"/>
      <c r="P103" s="20"/>
      <c r="Q103" s="20"/>
      <c r="R103" s="20"/>
      <c r="S103" s="182"/>
      <c r="T103" s="182"/>
      <c r="U103" s="182"/>
      <c r="V103" s="107"/>
      <c r="W103" s="107"/>
    </row>
    <row r="104" spans="2:23" ht="12.75" customHeight="1">
      <c r="B104" s="22" t="str">
        <f>VLOOKUP(157,Textbausteine!$S$2:$W$160,Hilfsgrössen!$D$2,FALSE)</f>
        <v>7) Proposition d'affectation des bénéfices de la Poste (voir aussi le rapport de gestion, comptes annuels de La Poste Suisse SA).</v>
      </c>
      <c r="C104" s="29"/>
      <c r="D104" s="18"/>
      <c r="E104" s="13"/>
      <c r="F104" s="11"/>
      <c r="G104" s="49"/>
      <c r="K104" s="107"/>
      <c r="L104" s="107"/>
      <c r="M104" s="107"/>
      <c r="N104" s="107"/>
      <c r="O104" s="20"/>
      <c r="P104" s="20"/>
      <c r="Q104" s="20"/>
      <c r="R104" s="20"/>
      <c r="S104" s="182"/>
      <c r="T104" s="182"/>
      <c r="U104" s="182"/>
      <c r="V104" s="107"/>
      <c r="W104" s="107"/>
    </row>
    <row r="105" ht="12.75" customHeight="1">
      <c r="B105" s="22" t="str">
        <f>VLOOKUP(158,Textbausteine!$S$2:$W$160,Hilfsgrössen!$D$2,FALSE)</f>
        <v>8) Valeurs normalisées 2017, 2015 et 2013</v>
      </c>
    </row>
    <row r="106" ht="12.75" customHeight="1">
      <c r="B106" s="22" t="str">
        <f>VLOOKUP(159,Textbausteine!$S$2:$W$160,Hilfsgrössen!$D$2,FALSE)</f>
        <v>9) Valeurs de l'exercice précédent partiellement adaptées.</v>
      </c>
    </row>
    <row r="107" ht="12.75" customHeight="1">
      <c r="B107" s="22"/>
    </row>
    <row r="109" spans="1:27" s="31" customFormat="1" ht="12.75" customHeight="1">
      <c r="A109" s="81" t="s">
        <v>807</v>
      </c>
      <c r="B109" s="484" t="str">
        <f>$C$9</f>
        <v>Caisse de pensions</v>
      </c>
      <c r="C109" s="484"/>
      <c r="D109" s="6" t="str">
        <f>VLOOKUP(32,Textbausteine!$A$2:$E$67,Hilfsgrössen!$D$2,FALSE)</f>
        <v>Unité</v>
      </c>
      <c r="E109" s="40" t="str">
        <f>VLOOKUP(33,Textbausteine!$A$2:$E$67,Hilfsgrössen!$D$2,FALSE)</f>
        <v>Notes</v>
      </c>
      <c r="F109" s="40" t="str">
        <f>VLOOKUP(34,Textbausteine!$A$2:$E$67,Hilfsgrössen!$D$2,FALSE)</f>
        <v>GRI</v>
      </c>
      <c r="G109" s="48"/>
      <c r="H109" s="117">
        <v>2004</v>
      </c>
      <c r="I109" s="117">
        <v>2005</v>
      </c>
      <c r="J109" s="117">
        <v>2006</v>
      </c>
      <c r="K109" s="117">
        <v>2007</v>
      </c>
      <c r="L109" s="117">
        <v>2008</v>
      </c>
      <c r="M109" s="117">
        <v>2009</v>
      </c>
      <c r="N109" s="117">
        <v>2010</v>
      </c>
      <c r="O109" s="117">
        <v>2011</v>
      </c>
      <c r="P109" s="117">
        <v>2012</v>
      </c>
      <c r="Q109" s="117">
        <v>2013</v>
      </c>
      <c r="R109" s="117" t="s">
        <v>57</v>
      </c>
      <c r="S109" s="104">
        <v>2014</v>
      </c>
      <c r="T109" s="104">
        <v>2015</v>
      </c>
      <c r="U109" s="117" t="s">
        <v>58</v>
      </c>
      <c r="V109" s="117">
        <v>2016</v>
      </c>
      <c r="W109" s="117">
        <v>2017</v>
      </c>
      <c r="X109" s="40" t="s">
        <v>2303</v>
      </c>
      <c r="Y109" s="40">
        <v>2018</v>
      </c>
      <c r="Z109" s="346">
        <v>2019</v>
      </c>
      <c r="AA109" s="6"/>
    </row>
    <row r="110" spans="1:27" s="31" customFormat="1" ht="12.75" customHeight="1">
      <c r="A110" s="86"/>
      <c r="B110" s="484"/>
      <c r="C110" s="484"/>
      <c r="D110" s="6"/>
      <c r="E110" s="40"/>
      <c r="F110" s="40"/>
      <c r="G110" s="48"/>
      <c r="H110" s="117"/>
      <c r="I110" s="117"/>
      <c r="J110" s="117"/>
      <c r="K110" s="117"/>
      <c r="L110" s="117"/>
      <c r="M110" s="117"/>
      <c r="N110" s="117"/>
      <c r="O110" s="117"/>
      <c r="P110" s="117"/>
      <c r="Q110" s="117"/>
      <c r="R110" s="117"/>
      <c r="S110" s="117"/>
      <c r="T110" s="104"/>
      <c r="U110" s="104"/>
      <c r="V110" s="20"/>
      <c r="W110" s="20"/>
      <c r="X110" s="6"/>
      <c r="Y110" s="6"/>
      <c r="Z110" s="347"/>
      <c r="AA110" s="6"/>
    </row>
    <row r="111" spans="1:27" ht="12.75" customHeight="1">
      <c r="A111" s="63"/>
      <c r="C111" s="27"/>
      <c r="D111" s="18"/>
      <c r="E111" s="13"/>
      <c r="F111" s="11"/>
      <c r="G111" s="49"/>
      <c r="H111" s="20"/>
      <c r="I111" s="20"/>
      <c r="J111" s="20"/>
      <c r="K111" s="20"/>
      <c r="L111" s="20"/>
      <c r="M111" s="20"/>
      <c r="N111" s="20"/>
      <c r="O111" s="20"/>
      <c r="P111" s="107"/>
      <c r="Q111" s="107"/>
      <c r="R111" s="107"/>
      <c r="S111" s="107"/>
      <c r="T111" s="107"/>
      <c r="U111" s="107"/>
      <c r="V111" s="119"/>
      <c r="W111" s="119"/>
      <c r="Z111" s="348"/>
      <c r="AA111" s="9"/>
    </row>
    <row r="112" spans="1:27" s="31" customFormat="1" ht="12.75" customHeight="1">
      <c r="A112" s="87"/>
      <c r="B112" s="8" t="str">
        <f>VLOOKUP(37,Textbausteine!$A$2:$E$67,Hilfsgrössen!$D$2,FALSE)</f>
        <v>Groupe Suisse</v>
      </c>
      <c r="E112" s="39"/>
      <c r="F112" s="39"/>
      <c r="G112" s="46"/>
      <c r="H112" s="95"/>
      <c r="I112" s="95"/>
      <c r="J112" s="95"/>
      <c r="K112" s="95"/>
      <c r="L112" s="95"/>
      <c r="M112" s="95"/>
      <c r="N112" s="95"/>
      <c r="O112" s="95"/>
      <c r="P112" s="95"/>
      <c r="Q112" s="95"/>
      <c r="R112" s="95"/>
      <c r="S112" s="95"/>
      <c r="T112" s="95"/>
      <c r="U112" s="95"/>
      <c r="V112" s="119"/>
      <c r="W112" s="119"/>
      <c r="X112" s="6"/>
      <c r="Y112" s="6"/>
      <c r="Z112" s="347"/>
      <c r="AA112" s="6"/>
    </row>
    <row r="113" spans="3:27" ht="12.75" customHeight="1">
      <c r="C113" s="28" t="str">
        <f>VLOOKUP(51,Textbausteine!$S$2:$W$160,Hilfsgrössen!$D$2,FALSE)</f>
        <v>Découvert des obligations de prévoyance portées au bilan selon les normes IFRS</v>
      </c>
      <c r="D113" s="18" t="str">
        <f>VLOOKUP(11,Textbausteine!$S$2:$W$160,Hilfsgrössen!$D$2,FALSE)</f>
        <v>Millions de CHF</v>
      </c>
      <c r="E113" s="13">
        <v>1</v>
      </c>
      <c r="F113" s="11" t="s">
        <v>65</v>
      </c>
      <c r="G113" s="49"/>
      <c r="H113" s="469">
        <v>3153</v>
      </c>
      <c r="I113" s="469">
        <v>2876</v>
      </c>
      <c r="J113" s="469">
        <v>2021</v>
      </c>
      <c r="K113" s="469">
        <v>1642</v>
      </c>
      <c r="L113" s="470">
        <v>3541</v>
      </c>
      <c r="M113" s="470">
        <v>2221</v>
      </c>
      <c r="N113" s="470">
        <v>2555</v>
      </c>
      <c r="O113" s="470">
        <v>2980</v>
      </c>
      <c r="P113" s="359">
        <v>2991</v>
      </c>
      <c r="Q113" s="359">
        <v>2042</v>
      </c>
      <c r="R113" s="418" t="s">
        <v>1470</v>
      </c>
      <c r="S113" s="359">
        <v>3489</v>
      </c>
      <c r="T113" s="359">
        <v>4847</v>
      </c>
      <c r="U113" s="418" t="s">
        <v>1470</v>
      </c>
      <c r="V113" s="14">
        <v>5080</v>
      </c>
      <c r="W113" s="14">
        <v>2626</v>
      </c>
      <c r="X113" s="418" t="s">
        <v>1470</v>
      </c>
      <c r="Y113" s="418">
        <v>2611</v>
      </c>
      <c r="Z113" s="471">
        <v>2824</v>
      </c>
      <c r="AA113" s="9"/>
    </row>
    <row r="114" spans="3:27" ht="12.75" customHeight="1">
      <c r="C114" s="28" t="str">
        <f>VLOOKUP(52,Textbausteine!$S$2:$W$160,Hilfsgrössen!$D$2,FALSE)</f>
        <v>Degré de couverture de la Caisse de pensions Poste selon la LPP</v>
      </c>
      <c r="D114" s="9" t="str">
        <f>VLOOKUP(12,Textbausteine!$S$2:$W$160,Hilfsgrössen!$D$2,FALSE)</f>
        <v>%</v>
      </c>
      <c r="E114" s="13" t="s">
        <v>382</v>
      </c>
      <c r="F114" s="11" t="s">
        <v>65</v>
      </c>
      <c r="G114" s="49"/>
      <c r="H114" s="467">
        <v>94.5</v>
      </c>
      <c r="I114" s="467">
        <v>101.1</v>
      </c>
      <c r="J114" s="467">
        <v>103.9</v>
      </c>
      <c r="K114" s="467">
        <v>102.1</v>
      </c>
      <c r="L114" s="468">
        <v>88.1</v>
      </c>
      <c r="M114" s="468">
        <v>95.7</v>
      </c>
      <c r="N114" s="468">
        <v>98.9</v>
      </c>
      <c r="O114" s="468">
        <v>96.7</v>
      </c>
      <c r="P114" s="410">
        <v>98.8</v>
      </c>
      <c r="Q114" s="410">
        <v>101.4</v>
      </c>
      <c r="R114" s="377" t="s">
        <v>1470</v>
      </c>
      <c r="S114" s="410">
        <v>101.4</v>
      </c>
      <c r="T114" s="410">
        <v>99.4</v>
      </c>
      <c r="U114" s="377" t="s">
        <v>1470</v>
      </c>
      <c r="V114" s="350">
        <v>102.2</v>
      </c>
      <c r="W114" s="410">
        <v>106.3</v>
      </c>
      <c r="X114" s="377" t="s">
        <v>1470</v>
      </c>
      <c r="Y114" s="377">
        <v>101.9</v>
      </c>
      <c r="Z114" s="349">
        <v>108</v>
      </c>
      <c r="AA114" s="9"/>
    </row>
    <row r="115" spans="3:27" ht="12.75" customHeight="1">
      <c r="C115" s="28"/>
      <c r="D115" s="18"/>
      <c r="E115" s="13"/>
      <c r="F115" s="11"/>
      <c r="G115" s="49"/>
      <c r="M115" s="107"/>
      <c r="R115" s="20"/>
      <c r="S115" s="182"/>
      <c r="T115" s="107"/>
      <c r="U115" s="107"/>
      <c r="V115" s="107"/>
      <c r="W115" s="107"/>
      <c r="AA115" s="18"/>
    </row>
    <row r="116" spans="2:23" ht="12.75" customHeight="1">
      <c r="B116" s="22" t="str">
        <f>VLOOKUP(141,Textbausteine!$S$2:$W$160,Hilfsgrössen!$D$2,FALSE)</f>
        <v>1) Couverture selon les normes IFRS (voir rapport financier)</v>
      </c>
      <c r="C116" s="29"/>
      <c r="D116" s="18"/>
      <c r="E116" s="13"/>
      <c r="F116" s="11"/>
      <c r="G116" s="49"/>
      <c r="K116" s="107"/>
      <c r="L116" s="107"/>
      <c r="M116" s="107"/>
      <c r="N116" s="107"/>
      <c r="O116" s="20"/>
      <c r="P116" s="20"/>
      <c r="Q116" s="20"/>
      <c r="R116" s="20"/>
      <c r="S116" s="182"/>
      <c r="T116" s="182"/>
      <c r="U116" s="182"/>
      <c r="V116" s="107"/>
      <c r="W116" s="107"/>
    </row>
    <row r="117" spans="1:25" s="21" customFormat="1" ht="12.75" customHeight="1">
      <c r="A117" s="86"/>
      <c r="B117" s="22" t="str">
        <f>VLOOKUP(142,Textbausteine!$S$2:$W$160,Hilfsgrössen!$D$2,FALSE)</f>
        <v>2) Degré de couverture conformément à l'art. 44 de l'ordonnance sur la prévoyance professionnelle vieillesse, survivants et invalidité (OPP 2)</v>
      </c>
      <c r="D117" s="24"/>
      <c r="E117" s="44"/>
      <c r="F117" s="44"/>
      <c r="G117" s="54"/>
      <c r="H117" s="188"/>
      <c r="I117" s="188"/>
      <c r="J117" s="188"/>
      <c r="K117" s="188"/>
      <c r="L117" s="188"/>
      <c r="M117" s="188"/>
      <c r="N117" s="188"/>
      <c r="O117" s="188"/>
      <c r="P117" s="188"/>
      <c r="Q117" s="188"/>
      <c r="R117" s="188"/>
      <c r="S117" s="188"/>
      <c r="T117" s="188"/>
      <c r="U117" s="188"/>
      <c r="V117" s="107"/>
      <c r="W117" s="107"/>
      <c r="X117" s="371"/>
      <c r="Y117" s="371"/>
    </row>
    <row r="118" spans="1:25" s="21" customFormat="1" ht="12.75" customHeight="1">
      <c r="A118" s="86"/>
      <c r="B118" s="22" t="str">
        <f>VLOOKUP(143,Textbausteine!$S$2:$W$160,Hilfsgrössen!$D$2,FALSE)</f>
        <v>3) Degré de couverture non vérifié en 2019</v>
      </c>
      <c r="D118" s="24"/>
      <c r="E118" s="44"/>
      <c r="F118" s="44"/>
      <c r="G118" s="54"/>
      <c r="H118" s="188"/>
      <c r="I118" s="188"/>
      <c r="J118" s="188"/>
      <c r="K118" s="188"/>
      <c r="L118" s="188"/>
      <c r="M118" s="188"/>
      <c r="N118" s="188"/>
      <c r="O118" s="188"/>
      <c r="P118" s="188"/>
      <c r="Q118" s="188"/>
      <c r="R118" s="188"/>
      <c r="S118" s="188"/>
      <c r="T118" s="188"/>
      <c r="U118" s="188"/>
      <c r="V118" s="107"/>
      <c r="W118" s="107"/>
      <c r="X118" s="371"/>
      <c r="Y118" s="371"/>
    </row>
    <row r="119" spans="1:25" s="21" customFormat="1" ht="12.75" customHeight="1">
      <c r="A119" s="86"/>
      <c r="D119" s="24"/>
      <c r="E119" s="44"/>
      <c r="F119" s="44"/>
      <c r="G119" s="54"/>
      <c r="H119" s="188"/>
      <c r="I119" s="188"/>
      <c r="J119" s="188"/>
      <c r="K119" s="188"/>
      <c r="L119" s="188"/>
      <c r="M119" s="188"/>
      <c r="N119" s="188"/>
      <c r="O119" s="188"/>
      <c r="P119" s="188"/>
      <c r="Q119" s="188"/>
      <c r="R119" s="188"/>
      <c r="S119" s="188"/>
      <c r="T119" s="188"/>
      <c r="U119" s="188"/>
      <c r="V119" s="107"/>
      <c r="W119" s="107"/>
      <c r="X119" s="371"/>
      <c r="Y119" s="371"/>
    </row>
    <row r="120" spans="22:23" ht="12.75" customHeight="1">
      <c r="V120" s="107"/>
      <c r="W120" s="107"/>
    </row>
    <row r="121" spans="22:23" ht="12.75" customHeight="1">
      <c r="V121" s="107"/>
      <c r="W121" s="107"/>
    </row>
    <row r="122" spans="1:23" ht="12.75" customHeight="1">
      <c r="A122" s="63"/>
      <c r="V122" s="119"/>
      <c r="W122" s="119"/>
    </row>
    <row r="123" spans="1:23" ht="12.75" customHeight="1">
      <c r="A123" s="87"/>
      <c r="V123" s="119"/>
      <c r="W123" s="119"/>
    </row>
    <row r="127" spans="22:23" ht="12.75" customHeight="1">
      <c r="V127" s="107"/>
      <c r="W127" s="107"/>
    </row>
    <row r="128" spans="22:23" ht="12.75" customHeight="1">
      <c r="V128" s="107"/>
      <c r="W128" s="107"/>
    </row>
    <row r="129" spans="22:23" ht="12.75" customHeight="1">
      <c r="V129" s="107"/>
      <c r="W129" s="107"/>
    </row>
    <row r="130" spans="22:23" ht="12.75" customHeight="1">
      <c r="V130" s="107"/>
      <c r="W130" s="107"/>
    </row>
    <row r="131" spans="22:23" ht="12.75" customHeight="1">
      <c r="V131" s="107"/>
      <c r="W131" s="107"/>
    </row>
    <row r="132" spans="22:23" ht="12.75" customHeight="1">
      <c r="V132" s="107"/>
      <c r="W132" s="107"/>
    </row>
    <row r="133" spans="22:23" ht="12.75" customHeight="1">
      <c r="V133" s="107"/>
      <c r="W133" s="107"/>
    </row>
    <row r="134" spans="22:23" ht="12.75" customHeight="1">
      <c r="V134" s="107"/>
      <c r="W134" s="107"/>
    </row>
    <row r="135" spans="22:23" ht="12.75" customHeight="1">
      <c r="V135" s="107"/>
      <c r="W135" s="107"/>
    </row>
    <row r="136" spans="22:23" ht="12.75" customHeight="1">
      <c r="V136" s="107"/>
      <c r="W136" s="107"/>
    </row>
    <row r="137" spans="22:23" ht="12.75" customHeight="1">
      <c r="V137" s="107"/>
      <c r="W137" s="107"/>
    </row>
    <row r="138" spans="22:23" ht="12.75" customHeight="1">
      <c r="V138" s="107"/>
      <c r="W138" s="107"/>
    </row>
    <row r="139" spans="22:23" ht="12.75" customHeight="1">
      <c r="V139" s="107"/>
      <c r="W139" s="107"/>
    </row>
    <row r="140" spans="22:23" ht="12.75" customHeight="1">
      <c r="V140" s="107"/>
      <c r="W140" s="107"/>
    </row>
    <row r="141" spans="22:23" ht="12.75" customHeight="1">
      <c r="V141" s="107"/>
      <c r="W141" s="107"/>
    </row>
    <row r="142" spans="22:23" ht="12.75" customHeight="1">
      <c r="V142" s="107"/>
      <c r="W142" s="107"/>
    </row>
    <row r="143" spans="22:23" ht="12.75" customHeight="1">
      <c r="V143" s="107"/>
      <c r="W143" s="107"/>
    </row>
    <row r="144" spans="22:23" ht="12.75" customHeight="1">
      <c r="V144" s="107"/>
      <c r="W144" s="107"/>
    </row>
    <row r="151" spans="1:23" ht="12.75" customHeight="1">
      <c r="A151" s="63"/>
      <c r="V151" s="119"/>
      <c r="W151" s="119"/>
    </row>
    <row r="152" spans="1:23" ht="12.75" customHeight="1">
      <c r="A152" s="87"/>
      <c r="V152" s="119"/>
      <c r="W152" s="119"/>
    </row>
    <row r="156" spans="22:23" ht="12.75" customHeight="1">
      <c r="V156" s="140"/>
      <c r="W156" s="140"/>
    </row>
    <row r="157" spans="22:23" ht="12.75" customHeight="1">
      <c r="V157" s="140"/>
      <c r="W157" s="140"/>
    </row>
    <row r="158" spans="22:23" ht="12.75" customHeight="1">
      <c r="V158" s="140"/>
      <c r="W158" s="140"/>
    </row>
    <row r="159" spans="22:23" ht="12.75" customHeight="1">
      <c r="V159" s="140"/>
      <c r="W159" s="140"/>
    </row>
    <row r="160" spans="22:23" ht="12.75" customHeight="1">
      <c r="V160" s="140"/>
      <c r="W160" s="140"/>
    </row>
    <row r="161" spans="22:23" ht="12.75" customHeight="1">
      <c r="V161" s="140"/>
      <c r="W161" s="140"/>
    </row>
    <row r="162" spans="22:23" ht="12.75" customHeight="1">
      <c r="V162" s="140"/>
      <c r="W162" s="140"/>
    </row>
    <row r="163" spans="22:23" ht="12.75" customHeight="1">
      <c r="V163" s="140"/>
      <c r="W163" s="140"/>
    </row>
  </sheetData>
  <sheetProtection sheet="1" objects="1" scenarios="1"/>
  <mergeCells count="6">
    <mergeCell ref="D2:E2"/>
    <mergeCell ref="B3:C3"/>
    <mergeCell ref="B2:C2"/>
    <mergeCell ref="B12:C13"/>
    <mergeCell ref="B109:C110"/>
    <mergeCell ref="B72:C73"/>
  </mergeCells>
  <dataValidations count="2">
    <dataValidation type="list" allowBlank="1" showInputMessage="1" showErrorMessage="1" sqref="G2">
      <formula1>Sprache</formula1>
    </dataValidation>
    <dataValidation allowBlank="1" showInputMessage="1" showErrorMessage="1" sqref="F2"/>
  </dataValidations>
  <hyperlinks>
    <hyperlink ref="C7" location="GRI_201_1a" display="GRI_201_1a"/>
    <hyperlink ref="C9" location="GRI_201_3" display="201-3 – Defined benefit plan obligations and other retirement plans"/>
    <hyperlink ref="A12" location="GRI_201" display="Ó"/>
    <hyperlink ref="A109" location="GRI_201" display="Ó"/>
    <hyperlink ref="A72" location="GRI_201" display="Ó"/>
    <hyperlink ref="C8" location="GRI_201_1b" display="GRI_201_1b"/>
    <hyperlink ref="D2" location="Home" display="Home"/>
  </hyperlinks>
  <printOptions/>
  <pageMargins left="0.7" right="0.7" top="0.787401575" bottom="0.787401575" header="0.3" footer="0.3"/>
  <pageSetup horizontalDpi="600" verticalDpi="600" orientation="portrait" paperSize="9"/>
  <ignoredErrors>
    <ignoredError sqref="C19" formula="1"/>
  </ignoredErrors>
</worksheet>
</file>

<file path=xl/worksheets/sheet4.xml><?xml version="1.0" encoding="utf-8"?>
<worksheet xmlns="http://schemas.openxmlformats.org/spreadsheetml/2006/main" xmlns:r="http://schemas.openxmlformats.org/officeDocument/2006/relationships">
  <sheetPr>
    <tabColor rgb="FF523178"/>
  </sheetPr>
  <dimension ref="A2:W126"/>
  <sheetViews>
    <sheetView showGridLines="0" showRowColHeaders="0" zoomScale="90" zoomScaleNormal="90" zoomScalePageLayoutView="0" workbookViewId="0" topLeftCell="A1">
      <pane xSplit="7" topLeftCell="H1" activePane="topRight" state="frozen"/>
      <selection pane="topLeft" activeCell="B73" sqref="B73"/>
      <selection pane="topRight" activeCell="B3" sqref="B3:C3"/>
    </sheetView>
  </sheetViews>
  <sheetFormatPr defaultColWidth="10.75390625" defaultRowHeight="12.75" customHeight="1"/>
  <cols>
    <col min="1" max="1" width="2.50390625" style="91" customWidth="1"/>
    <col min="2" max="2" width="2.50390625" style="1" customWidth="1"/>
    <col min="3" max="3" width="73.125" style="1" customWidth="1"/>
    <col min="4" max="4" width="23.50390625" style="1" customWidth="1"/>
    <col min="5" max="5" width="9.50390625" style="37" customWidth="1"/>
    <col min="6" max="6" width="14.125" style="37" customWidth="1"/>
    <col min="7" max="7" width="2.375" style="47" customWidth="1"/>
    <col min="8" max="19" width="11.625" style="101" customWidth="1"/>
    <col min="20" max="23" width="11.625" style="20" customWidth="1"/>
    <col min="24" max="81" width="11.625" style="1" customWidth="1"/>
    <col min="82" max="16384" width="10.75390625" style="1" customWidth="1"/>
  </cols>
  <sheetData>
    <row r="2" spans="1:23" s="153" customFormat="1" ht="25.5" customHeight="1">
      <c r="A2" s="88"/>
      <c r="B2" s="485" t="str">
        <f>UPPER(RIGHT(Inhaltsverzeichnis!$C$13,LEN(Inhaltsverzeichnis!$C$13)-FIND(" – ",Inhaltsverzeichnis!$C$13,1)-2))</f>
        <v>PRÉSENCE SUR LE MARCHÉ</v>
      </c>
      <c r="C2" s="485"/>
      <c r="D2" s="481" t="str">
        <f>VLOOKUP(35,Textbausteine!$A$2:$E$67,Hilfsgrössen!$D$2,FALSE)</f>
        <v>retour à la table des matières</v>
      </c>
      <c r="E2" s="482"/>
      <c r="F2" s="145" t="s">
        <v>86</v>
      </c>
      <c r="G2" s="171"/>
      <c r="H2" s="155"/>
      <c r="I2" s="155"/>
      <c r="J2" s="155"/>
      <c r="K2" s="155"/>
      <c r="L2" s="155"/>
      <c r="M2" s="155"/>
      <c r="N2" s="155"/>
      <c r="O2" s="155"/>
      <c r="P2" s="155"/>
      <c r="Q2" s="155"/>
      <c r="R2" s="155"/>
      <c r="S2" s="155"/>
      <c r="T2" s="116"/>
      <c r="U2" s="116"/>
      <c r="V2" s="116"/>
      <c r="W2" s="116"/>
    </row>
    <row r="3" spans="1:23" s="154" customFormat="1" ht="25.5" customHeight="1">
      <c r="A3" s="89"/>
      <c r="B3" s="486" t="str">
        <f>UPPER("GRI "&amp;LEFT(Inhaltsverzeichnis!$C$13,3))</f>
        <v>GRI 202</v>
      </c>
      <c r="C3" s="486"/>
      <c r="E3" s="38"/>
      <c r="F3" s="38"/>
      <c r="G3" s="45"/>
      <c r="H3" s="156"/>
      <c r="I3" s="156"/>
      <c r="J3" s="156"/>
      <c r="K3" s="156"/>
      <c r="L3" s="156"/>
      <c r="M3" s="156"/>
      <c r="N3" s="156"/>
      <c r="O3" s="156"/>
      <c r="P3" s="156"/>
      <c r="Q3" s="156"/>
      <c r="R3" s="156"/>
      <c r="S3" s="156"/>
      <c r="T3" s="116"/>
      <c r="U3" s="116"/>
      <c r="V3" s="116"/>
      <c r="W3" s="116"/>
    </row>
    <row r="6" spans="1:23" s="31" customFormat="1" ht="12.75" customHeight="1">
      <c r="A6" s="90"/>
      <c r="B6" s="31" t="str">
        <f>VLOOKUP(31,Textbausteine!$A$2:$E$67,Hilfsgrössen!$D$2,FALSE)</f>
        <v>Divulgations</v>
      </c>
      <c r="E6" s="39"/>
      <c r="F6" s="39"/>
      <c r="G6" s="46"/>
      <c r="H6" s="95"/>
      <c r="I6" s="95"/>
      <c r="J6" s="95"/>
      <c r="K6" s="95"/>
      <c r="L6" s="95"/>
      <c r="M6" s="95"/>
      <c r="N6" s="95"/>
      <c r="O6" s="95"/>
      <c r="P6" s="95"/>
      <c r="Q6" s="95"/>
      <c r="R6" s="95"/>
      <c r="S6" s="95"/>
      <c r="T6" s="20"/>
      <c r="U6" s="20"/>
      <c r="V6" s="20"/>
      <c r="W6" s="20"/>
    </row>
    <row r="7" spans="2:4" ht="12.75" customHeight="1">
      <c r="B7" s="2"/>
      <c r="C7" s="5" t="str">
        <f>VLOOKUP(1,Textbausteine!$Y$2:$AC$151,Hilfsgrössen!$D$2,FALSE)</f>
        <v>Indemnités</v>
      </c>
      <c r="D7" s="4"/>
    </row>
    <row r="8" ht="12.75" customHeight="1">
      <c r="B8" s="2"/>
    </row>
    <row r="9" ht="12.75" customHeight="1">
      <c r="B9" s="2"/>
    </row>
    <row r="10" spans="1:23" s="31" customFormat="1" ht="12.75" customHeight="1">
      <c r="A10" s="56" t="s">
        <v>807</v>
      </c>
      <c r="B10" s="479" t="str">
        <f>$C$7</f>
        <v>Indemnités</v>
      </c>
      <c r="C10" s="479"/>
      <c r="D10" s="6" t="str">
        <f>VLOOKUP(32,Textbausteine!$A$2:$E$67,Hilfsgrössen!$D$2,FALSE)</f>
        <v>Unité</v>
      </c>
      <c r="E10" s="39" t="str">
        <f>VLOOKUP(33,Textbausteine!$A$2:$E$67,Hilfsgrössen!$D$2,FALSE)</f>
        <v>Notes</v>
      </c>
      <c r="F10" s="39" t="str">
        <f>VLOOKUP(34,Textbausteine!$A$2:$E$67,Hilfsgrössen!$D$2,FALSE)</f>
        <v>GRI</v>
      </c>
      <c r="G10" s="46"/>
      <c r="H10" s="104">
        <v>2004</v>
      </c>
      <c r="I10" s="104">
        <v>2005</v>
      </c>
      <c r="J10" s="104">
        <v>2006</v>
      </c>
      <c r="K10" s="104">
        <v>2007</v>
      </c>
      <c r="L10" s="104">
        <v>2008</v>
      </c>
      <c r="M10" s="104">
        <v>2009</v>
      </c>
      <c r="N10" s="117">
        <v>2010</v>
      </c>
      <c r="O10" s="104">
        <v>2011</v>
      </c>
      <c r="P10" s="117">
        <v>2012</v>
      </c>
      <c r="Q10" s="104">
        <v>2013</v>
      </c>
      <c r="R10" s="104">
        <v>2014</v>
      </c>
      <c r="S10" s="117">
        <v>2015</v>
      </c>
      <c r="T10" s="117">
        <v>2016</v>
      </c>
      <c r="U10" s="117">
        <v>2017</v>
      </c>
      <c r="V10" s="117">
        <v>2018</v>
      </c>
      <c r="W10" s="258">
        <v>2019</v>
      </c>
    </row>
    <row r="11" spans="2:23" ht="12.75" customHeight="1">
      <c r="B11" s="479"/>
      <c r="C11" s="479"/>
      <c r="D11" s="9"/>
      <c r="E11" s="40"/>
      <c r="F11" s="40"/>
      <c r="G11" s="48"/>
      <c r="H11" s="104"/>
      <c r="I11" s="104"/>
      <c r="J11" s="104"/>
      <c r="K11" s="104"/>
      <c r="L11" s="106"/>
      <c r="M11" s="106"/>
      <c r="N11" s="107"/>
      <c r="O11" s="107"/>
      <c r="P11" s="107"/>
      <c r="Q11" s="107"/>
      <c r="R11" s="107"/>
      <c r="S11" s="107"/>
      <c r="W11" s="259"/>
    </row>
    <row r="12" spans="2:23" ht="12.75" customHeight="1">
      <c r="B12" s="33"/>
      <c r="C12" s="33"/>
      <c r="D12" s="9"/>
      <c r="E12" s="40"/>
      <c r="F12" s="40"/>
      <c r="G12" s="48"/>
      <c r="H12" s="104"/>
      <c r="I12" s="104"/>
      <c r="J12" s="104"/>
      <c r="K12" s="104"/>
      <c r="L12" s="106"/>
      <c r="M12" s="106"/>
      <c r="N12" s="107"/>
      <c r="O12" s="107"/>
      <c r="P12" s="107"/>
      <c r="Q12" s="107"/>
      <c r="R12" s="107"/>
      <c r="S12" s="107"/>
      <c r="W12" s="259"/>
    </row>
    <row r="13" spans="2:23" ht="12.75" customHeight="1">
      <c r="B13" s="8" t="str">
        <f>VLOOKUP(36,Textbausteine!$A$2:$E$67,Hilfsgrössen!$D$2,FALSE)</f>
        <v>Groupe</v>
      </c>
      <c r="C13" s="30"/>
      <c r="D13" s="9"/>
      <c r="E13" s="12"/>
      <c r="F13" s="11"/>
      <c r="G13" s="49"/>
      <c r="H13" s="105"/>
      <c r="I13" s="105"/>
      <c r="J13" s="105"/>
      <c r="K13" s="105"/>
      <c r="L13" s="107"/>
      <c r="M13" s="107"/>
      <c r="N13" s="107"/>
      <c r="O13" s="107"/>
      <c r="P13" s="107"/>
      <c r="Q13" s="107"/>
      <c r="R13" s="107"/>
      <c r="S13" s="107"/>
      <c r="W13" s="259"/>
    </row>
    <row r="14" spans="3:23" ht="12.75" customHeight="1">
      <c r="C14" s="75" t="str">
        <f>VLOOKUP(31,Textbausteine!$Y$2:$AC$151,Hilfsgrössen!$D$2,FALSE)</f>
        <v>Indemnités versées au président du Conseil d'administration</v>
      </c>
      <c r="D14" s="67" t="str">
        <f>VLOOKUP(11,Textbausteine!$Y$2:$AC$151,Hilfsgrössen!$D$2,FALSE)</f>
        <v>CHF</v>
      </c>
      <c r="E14" s="11">
        <v>1</v>
      </c>
      <c r="F14" s="11"/>
      <c r="G14" s="49"/>
      <c r="H14" s="173">
        <v>231750</v>
      </c>
      <c r="I14" s="173">
        <v>251500</v>
      </c>
      <c r="J14" s="173">
        <v>250000</v>
      </c>
      <c r="K14" s="173">
        <v>245000</v>
      </c>
      <c r="L14" s="20">
        <v>248560</v>
      </c>
      <c r="M14" s="20">
        <v>292785</v>
      </c>
      <c r="N14" s="20">
        <v>254859</v>
      </c>
      <c r="O14" s="20">
        <v>252650</v>
      </c>
      <c r="P14" s="107">
        <v>251700</v>
      </c>
      <c r="Q14" s="107">
        <v>252000</v>
      </c>
      <c r="R14" s="162">
        <v>252000</v>
      </c>
      <c r="S14" s="162">
        <v>252135</v>
      </c>
      <c r="T14" s="20">
        <v>253025</v>
      </c>
      <c r="U14" s="20">
        <v>253470</v>
      </c>
      <c r="V14" s="20">
        <v>253470</v>
      </c>
      <c r="W14" s="259">
        <v>253470</v>
      </c>
    </row>
    <row r="15" spans="3:23" ht="12.75" customHeight="1">
      <c r="C15" s="76" t="str">
        <f>VLOOKUP(32,Textbausteine!$Y$2:$AC$151,Hilfsgrössen!$D$2,FALSE)</f>
        <v>Indemnités moyennes versées aux membres du Conseil d'administration</v>
      </c>
      <c r="D15" s="67" t="str">
        <f>VLOOKUP(11,Textbausteine!$Y$2:$AC$151,Hilfsgrössen!$D$2,FALSE)</f>
        <v>CHF</v>
      </c>
      <c r="E15" s="11" t="s">
        <v>77</v>
      </c>
      <c r="F15" s="11"/>
      <c r="G15" s="49"/>
      <c r="H15" s="173">
        <v>84506</v>
      </c>
      <c r="I15" s="173">
        <v>83106</v>
      </c>
      <c r="J15" s="173">
        <v>80880</v>
      </c>
      <c r="K15" s="173">
        <v>83698</v>
      </c>
      <c r="L15" s="20">
        <v>84525</v>
      </c>
      <c r="M15" s="20">
        <v>100739</v>
      </c>
      <c r="N15" s="20">
        <v>97782</v>
      </c>
      <c r="O15" s="20">
        <v>108456</v>
      </c>
      <c r="P15" s="107">
        <v>99800</v>
      </c>
      <c r="Q15" s="107">
        <v>99226</v>
      </c>
      <c r="R15" s="162">
        <v>91858</v>
      </c>
      <c r="S15" s="162">
        <v>89037</v>
      </c>
      <c r="T15" s="20">
        <v>97325</v>
      </c>
      <c r="U15" s="20">
        <v>97725</v>
      </c>
      <c r="V15" s="20">
        <v>112956</v>
      </c>
      <c r="W15" s="259">
        <v>101011</v>
      </c>
    </row>
    <row r="16" spans="3:23" ht="12.75" customHeight="1">
      <c r="C16" s="75" t="str">
        <f>VLOOKUP(33,Textbausteine!$Y$2:$AC$151,Hilfsgrössen!$D$2,FALSE)</f>
        <v>Indemnités versées au directeur/à la directrice général(e)</v>
      </c>
      <c r="D16" s="67" t="str">
        <f>VLOOKUP(11,Textbausteine!$Y$2:$AC$151,Hilfsgrössen!$D$2,FALSE)</f>
        <v>CHF</v>
      </c>
      <c r="E16" s="11" t="s">
        <v>2418</v>
      </c>
      <c r="F16" s="11"/>
      <c r="G16" s="49"/>
      <c r="H16" s="182">
        <v>700000</v>
      </c>
      <c r="I16" s="182">
        <v>689000</v>
      </c>
      <c r="J16" s="20">
        <v>787830</v>
      </c>
      <c r="K16" s="20">
        <v>817138</v>
      </c>
      <c r="L16" s="20">
        <v>829387</v>
      </c>
      <c r="M16" s="20">
        <v>789101</v>
      </c>
      <c r="N16" s="20">
        <v>903384</v>
      </c>
      <c r="O16" s="20">
        <v>924501</v>
      </c>
      <c r="P16" s="107">
        <v>1059476</v>
      </c>
      <c r="Q16" s="107">
        <v>766732</v>
      </c>
      <c r="R16" s="162">
        <v>824585</v>
      </c>
      <c r="S16" s="162">
        <v>984521</v>
      </c>
      <c r="T16" s="119">
        <v>974178</v>
      </c>
      <c r="U16" s="119">
        <v>970425</v>
      </c>
      <c r="V16" s="119">
        <v>1107488</v>
      </c>
      <c r="W16" s="260">
        <v>693123</v>
      </c>
    </row>
    <row r="17" spans="3:23" ht="12.75" customHeight="1">
      <c r="C17" s="75" t="str">
        <f>VLOOKUP(34,Textbausteine!$Y$2:$AC$151,Hilfsgrössen!$D$2,FALSE)</f>
        <v>Indemnités moyennes versées aux membres de la Direction du groupe</v>
      </c>
      <c r="D17" s="67" t="str">
        <f>VLOOKUP(11,Textbausteine!$Y$2:$AC$151,Hilfsgrössen!$D$2,FALSE)</f>
        <v>CHF</v>
      </c>
      <c r="E17" s="11" t="s">
        <v>2419</v>
      </c>
      <c r="F17" s="11"/>
      <c r="G17" s="49"/>
      <c r="H17" s="173">
        <v>374160</v>
      </c>
      <c r="I17" s="173">
        <v>426498</v>
      </c>
      <c r="J17" s="173">
        <v>444187</v>
      </c>
      <c r="K17" s="173">
        <v>487611</v>
      </c>
      <c r="L17" s="189">
        <v>492781</v>
      </c>
      <c r="M17" s="20">
        <v>491200</v>
      </c>
      <c r="N17" s="20">
        <v>495590</v>
      </c>
      <c r="O17" s="20">
        <v>504986</v>
      </c>
      <c r="P17" s="107">
        <v>515441</v>
      </c>
      <c r="Q17" s="107">
        <v>499281</v>
      </c>
      <c r="R17" s="162">
        <v>477719</v>
      </c>
      <c r="S17" s="162">
        <v>591574</v>
      </c>
      <c r="T17" s="119">
        <v>588377</v>
      </c>
      <c r="U17" s="119">
        <v>559044</v>
      </c>
      <c r="V17" s="119">
        <v>588916</v>
      </c>
      <c r="W17" s="260">
        <v>582289</v>
      </c>
    </row>
    <row r="18" spans="3:23" ht="12.75" customHeight="1">
      <c r="C18" s="76" t="str">
        <f>VLOOKUP(35,Textbausteine!$Y$2:$AC$151,Hilfsgrössen!$D$2,FALSE)</f>
        <v>Salaire moyen du personnel</v>
      </c>
      <c r="D18" s="67" t="str">
        <f>VLOOKUP(11,Textbausteine!$Y$2:$AC$151,Hilfsgrössen!$D$2,FALSE)</f>
        <v>CHF</v>
      </c>
      <c r="E18" s="11" t="s">
        <v>2130</v>
      </c>
      <c r="F18" s="11"/>
      <c r="G18" s="49"/>
      <c r="H18" s="173">
        <v>73222</v>
      </c>
      <c r="I18" s="173">
        <v>73593</v>
      </c>
      <c r="J18" s="173">
        <v>75127</v>
      </c>
      <c r="K18" s="173">
        <v>77160</v>
      </c>
      <c r="L18" s="20">
        <v>78141</v>
      </c>
      <c r="M18" s="20">
        <v>80361</v>
      </c>
      <c r="N18" s="20">
        <v>81082</v>
      </c>
      <c r="O18" s="20">
        <v>81293.24846302248</v>
      </c>
      <c r="P18" s="138">
        <v>82554</v>
      </c>
      <c r="Q18" s="107">
        <v>82695</v>
      </c>
      <c r="R18" s="162">
        <v>83039</v>
      </c>
      <c r="S18" s="162">
        <v>83472</v>
      </c>
      <c r="T18" s="20">
        <v>82231</v>
      </c>
      <c r="U18" s="20">
        <v>83178</v>
      </c>
      <c r="V18" s="20">
        <v>83383</v>
      </c>
      <c r="W18" s="259">
        <v>82741</v>
      </c>
    </row>
    <row r="19" spans="3:23" ht="12.75" customHeight="1">
      <c r="C19" s="75" t="str">
        <f>VLOOKUP(36,Textbausteine!$Y$2:$AC$151,Hilfsgrössen!$D$2,FALSE)</f>
        <v>Salaire minimal CCT Poste (18 ans, sans apprentissage)</v>
      </c>
      <c r="D19" s="67" t="str">
        <f>VLOOKUP(11,Textbausteine!$Y$2:$AC$151,Hilfsgrössen!$D$2,FALSE)</f>
        <v>CHF</v>
      </c>
      <c r="E19" s="11">
        <v>7</v>
      </c>
      <c r="F19" s="11" t="s">
        <v>81</v>
      </c>
      <c r="G19" s="49"/>
      <c r="H19" s="173">
        <v>40000</v>
      </c>
      <c r="I19" s="173">
        <v>40400</v>
      </c>
      <c r="J19" s="173">
        <v>41006</v>
      </c>
      <c r="K19" s="173">
        <v>41826</v>
      </c>
      <c r="L19" s="20">
        <v>42746</v>
      </c>
      <c r="M19" s="20">
        <v>44071</v>
      </c>
      <c r="N19" s="20">
        <v>44379</v>
      </c>
      <c r="O19" s="20">
        <v>44823</v>
      </c>
      <c r="P19" s="107">
        <v>45047</v>
      </c>
      <c r="Q19" s="107">
        <v>45047</v>
      </c>
      <c r="R19" s="162">
        <v>47620</v>
      </c>
      <c r="S19" s="162">
        <v>47620</v>
      </c>
      <c r="T19" s="107">
        <v>47620</v>
      </c>
      <c r="U19" s="107">
        <v>47620</v>
      </c>
      <c r="V19" s="107">
        <v>47620</v>
      </c>
      <c r="W19" s="261">
        <v>47620</v>
      </c>
    </row>
    <row r="20" spans="3:23" ht="12.75" customHeight="1">
      <c r="C20" s="75" t="str">
        <f>VLOOKUP(37,Textbausteine!$Y$2:$AC$151,Hilfsgrössen!$D$2,FALSE)</f>
        <v>Ecart salarial</v>
      </c>
      <c r="D20" s="67" t="str">
        <f>VLOOKUP(12,Textbausteine!$Y$2:$AC$151,Hilfsgrössen!$D$2,FALSE)</f>
        <v>Facteur</v>
      </c>
      <c r="E20" s="11">
        <v>8</v>
      </c>
      <c r="F20" s="11"/>
      <c r="G20" s="49"/>
      <c r="H20" s="173">
        <v>5.1</v>
      </c>
      <c r="I20" s="173">
        <v>5.8</v>
      </c>
      <c r="J20" s="173">
        <v>5.9</v>
      </c>
      <c r="K20" s="173">
        <v>6.3</v>
      </c>
      <c r="L20" s="20">
        <v>6.3</v>
      </c>
      <c r="M20" s="20">
        <v>6.1</v>
      </c>
      <c r="N20" s="20">
        <v>6.1</v>
      </c>
      <c r="O20" s="20">
        <v>6.2</v>
      </c>
      <c r="P20" s="107">
        <v>6.2</v>
      </c>
      <c r="Q20" s="107">
        <v>6</v>
      </c>
      <c r="R20" s="107">
        <v>5.8</v>
      </c>
      <c r="S20" s="162">
        <v>7.1</v>
      </c>
      <c r="T20" s="107">
        <v>7.2</v>
      </c>
      <c r="U20" s="107">
        <v>6.7</v>
      </c>
      <c r="V20" s="107">
        <v>7.09</v>
      </c>
      <c r="W20" s="261">
        <v>7</v>
      </c>
    </row>
    <row r="21" spans="5:23" ht="12.75" customHeight="1">
      <c r="E21" s="11"/>
      <c r="F21" s="11"/>
      <c r="G21" s="49"/>
      <c r="T21" s="107"/>
      <c r="U21" s="107"/>
      <c r="V21" s="107"/>
      <c r="W21" s="107"/>
    </row>
    <row r="22" spans="2:23" ht="12.75" customHeight="1">
      <c r="B22" s="21" t="str">
        <f>VLOOKUP(131,Textbausteine!$Y$2:$AC$151,Hilfsgrössen!$D$2,FALSE)</f>
        <v>1) Indemnités du Conseil d'administration = honoraires plus prestations accessoires; indemnités de la Direction du groupe = salaire de base plus part variable.</v>
      </c>
      <c r="E22" s="11"/>
      <c r="F22" s="11"/>
      <c r="G22" s="49"/>
      <c r="T22" s="107"/>
      <c r="U22" s="107"/>
      <c r="V22" s="107"/>
      <c r="W22" s="107"/>
    </row>
    <row r="23" spans="2:23" ht="12.75" customHeight="1">
      <c r="B23" s="21" t="str">
        <f>VLOOKUP(132,Textbausteine!$Y$2:$AC$151,Hilfsgrössen!$D$2,FALSE)</f>
        <v>2) sans le président/la présidente</v>
      </c>
      <c r="E23" s="11"/>
      <c r="F23" s="11"/>
      <c r="G23" s="49"/>
      <c r="T23" s="107"/>
      <c r="U23" s="107"/>
      <c r="V23" s="107"/>
      <c r="W23" s="107"/>
    </row>
    <row r="24" spans="2:23" ht="12.75" customHeight="1">
      <c r="B24" s="21" t="str">
        <f>VLOOKUP(133,Textbausteine!$Y$2:$AC$151,Hilfsgrössen!$D$2,FALSE)</f>
        <v>3) 2012: Jürg Bucher 8 mois, Susanne Ruoff 7 mois, annualisation CHF 847'581.</v>
      </c>
      <c r="E24" s="11"/>
      <c r="F24" s="11"/>
      <c r="G24" s="49"/>
      <c r="T24" s="107"/>
      <c r="U24" s="107"/>
      <c r="V24" s="107"/>
      <c r="W24" s="107"/>
    </row>
    <row r="25" spans="2:23" ht="12.75" customHeight="1">
      <c r="B25" s="21" t="str">
        <f>VLOOKUP(134,Textbausteine!$Y$2:$AC$151,Hilfsgrössen!$D$2,FALSE)</f>
        <v>4) sans le directeur général/la directrice générale</v>
      </c>
      <c r="E25" s="11"/>
      <c r="F25" s="11"/>
      <c r="G25" s="49"/>
      <c r="T25" s="107"/>
      <c r="U25" s="107"/>
      <c r="V25" s="107"/>
      <c r="W25" s="107"/>
    </row>
    <row r="26" spans="2:23" ht="12.75" customHeight="1">
      <c r="B26" s="21" t="str">
        <f>VLOOKUP(135,Textbausteine!$Y$2:$AC$151,Hilfsgrössen!$D$2,FALSE)</f>
        <v>5) Groupe Suisse: données provenant du système du personnel; actuellement sans les données de 1000 unités de personnel ou 6113 personnes des sociétés du groupe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et notime Schweiz AG.</v>
      </c>
      <c r="E26" s="11"/>
      <c r="F26" s="11"/>
      <c r="G26" s="49"/>
      <c r="T26" s="107"/>
      <c r="U26" s="107"/>
      <c r="V26" s="107"/>
      <c r="W26" s="107"/>
    </row>
    <row r="27" spans="2:23" ht="12.75" customHeight="1">
      <c r="B27" s="21" t="str">
        <f>VLOOKUP(136,Textbausteine!$Y$2:$AC$151,Hilfsgrössen!$D$2,FALSE)</f>
        <v>6) Salaire moyen sans Direction du groupe, Conseil d'administration et apprentis</v>
      </c>
      <c r="E27" s="11"/>
      <c r="F27" s="11"/>
      <c r="G27" s="49"/>
      <c r="T27" s="107"/>
      <c r="U27" s="107"/>
      <c r="V27" s="107"/>
      <c r="W27" s="107"/>
    </row>
    <row r="28" spans="2:23" ht="12.75" customHeight="1">
      <c r="B28" s="21" t="str">
        <f>VLOOKUP(137,Textbausteine!$Y$2:$AC$151,Hilfsgrössen!$D$2,FALSE)</f>
        <v>7) Salaire minimal selon la CCT Poste pour un collaborateur de 18 ans n'ayant pas suivi d'apprentissage.</v>
      </c>
      <c r="E28" s="11"/>
      <c r="F28" s="11"/>
      <c r="G28" s="49"/>
      <c r="T28" s="107"/>
      <c r="U28" s="107"/>
      <c r="V28" s="107"/>
      <c r="W28" s="107"/>
    </row>
    <row r="29" spans="2:23" ht="12.75" customHeight="1">
      <c r="B29" s="21" t="str">
        <f>VLOOKUP(138,Textbausteine!$Y$2:$AC$151,Hilfsgrössen!$D$2,FALSE)</f>
        <v>8) Indemnités moyennes des membres de la Direction du groupe par rapport au salaire moyen du personnel.</v>
      </c>
      <c r="E29" s="11"/>
      <c r="F29" s="11"/>
      <c r="G29" s="49"/>
      <c r="T29" s="107"/>
      <c r="U29" s="107"/>
      <c r="V29" s="107"/>
      <c r="W29" s="107"/>
    </row>
    <row r="30" spans="2:23" ht="12.75" customHeight="1">
      <c r="B30" s="21" t="str">
        <f>VLOOKUP(139,Textbausteine!$Y$2:$AC$151,Hilfsgrössen!$D$2,FALSE)</f>
        <v>9) 2017 et 2018: la décision relative à la part liée à la prestation de la directrice générale et de l’ancien responsable CarPostal (droit et calcul du montant) ne sera prise qu’au terme de l’enquête en cours sur les violations du droit des subventions commises dans le secteur du transport régional de voyageurs.</v>
      </c>
      <c r="E30" s="11"/>
      <c r="F30" s="13"/>
      <c r="G30" s="50"/>
      <c r="T30" s="107"/>
      <c r="U30" s="107"/>
      <c r="V30" s="107"/>
      <c r="W30" s="107"/>
    </row>
    <row r="31" spans="5:23" ht="12.75" customHeight="1">
      <c r="E31" s="11"/>
      <c r="F31" s="11"/>
      <c r="G31" s="49"/>
      <c r="T31" s="107"/>
      <c r="U31" s="107"/>
      <c r="V31" s="107"/>
      <c r="W31" s="107"/>
    </row>
    <row r="32" spans="5:23" ht="12.75" customHeight="1">
      <c r="E32" s="11"/>
      <c r="F32" s="11"/>
      <c r="G32" s="49"/>
      <c r="T32" s="107"/>
      <c r="U32" s="107"/>
      <c r="V32" s="107"/>
      <c r="W32" s="107"/>
    </row>
    <row r="33" spans="5:23" ht="12.75" customHeight="1">
      <c r="E33" s="11"/>
      <c r="F33" s="11"/>
      <c r="G33" s="49"/>
      <c r="T33" s="107"/>
      <c r="U33" s="107"/>
      <c r="V33" s="107"/>
      <c r="W33" s="107"/>
    </row>
    <row r="34" spans="5:23" ht="12.75" customHeight="1">
      <c r="E34" s="11"/>
      <c r="F34" s="13"/>
      <c r="G34" s="50"/>
      <c r="T34" s="107"/>
      <c r="U34" s="107"/>
      <c r="V34" s="107"/>
      <c r="W34" s="107"/>
    </row>
    <row r="35" spans="5:23" ht="12.75" customHeight="1">
      <c r="E35" s="13"/>
      <c r="F35" s="13"/>
      <c r="G35" s="50"/>
      <c r="T35" s="107"/>
      <c r="U35" s="107"/>
      <c r="V35" s="107"/>
      <c r="W35" s="107"/>
    </row>
    <row r="36" spans="5:23" ht="12.75" customHeight="1">
      <c r="E36" s="13"/>
      <c r="F36" s="11"/>
      <c r="G36" s="49"/>
      <c r="T36" s="107"/>
      <c r="U36" s="107"/>
      <c r="V36" s="107"/>
      <c r="W36" s="107"/>
    </row>
    <row r="37" spans="5:23" ht="12.75" customHeight="1">
      <c r="E37" s="13"/>
      <c r="F37" s="11"/>
      <c r="G37" s="49"/>
      <c r="T37" s="107"/>
      <c r="U37" s="107"/>
      <c r="V37" s="107"/>
      <c r="W37" s="107"/>
    </row>
    <row r="38" spans="5:23" ht="12.75" customHeight="1">
      <c r="E38" s="11"/>
      <c r="F38" s="13"/>
      <c r="G38" s="50"/>
      <c r="T38" s="107"/>
      <c r="U38" s="107"/>
      <c r="V38" s="107"/>
      <c r="W38" s="107"/>
    </row>
    <row r="39" spans="5:23" ht="12.75" customHeight="1">
      <c r="E39" s="13"/>
      <c r="F39" s="13"/>
      <c r="G39" s="50"/>
      <c r="T39" s="107"/>
      <c r="U39" s="107"/>
      <c r="V39" s="107"/>
      <c r="W39" s="107"/>
    </row>
    <row r="40" spans="5:23" ht="12.75" customHeight="1">
      <c r="E40" s="13"/>
      <c r="F40" s="11"/>
      <c r="G40" s="49"/>
      <c r="T40" s="107"/>
      <c r="U40" s="107"/>
      <c r="V40" s="107"/>
      <c r="W40" s="107"/>
    </row>
    <row r="41" spans="5:23" ht="12.75" customHeight="1">
      <c r="E41" s="13"/>
      <c r="F41" s="11"/>
      <c r="G41" s="49"/>
      <c r="T41" s="107"/>
      <c r="U41" s="107"/>
      <c r="V41" s="107"/>
      <c r="W41" s="107"/>
    </row>
    <row r="42" spans="5:23" ht="12.75" customHeight="1">
      <c r="E42" s="13"/>
      <c r="F42" s="11"/>
      <c r="G42" s="49"/>
      <c r="T42" s="107"/>
      <c r="U42" s="107"/>
      <c r="V42" s="107"/>
      <c r="W42" s="107"/>
    </row>
    <row r="43" spans="5:23" ht="12.75" customHeight="1">
      <c r="E43" s="13"/>
      <c r="F43" s="11"/>
      <c r="G43" s="49"/>
      <c r="T43" s="107"/>
      <c r="U43" s="107"/>
      <c r="V43" s="107"/>
      <c r="W43" s="107"/>
    </row>
    <row r="44" spans="5:23" ht="12.75" customHeight="1">
      <c r="E44" s="11"/>
      <c r="F44" s="11"/>
      <c r="G44" s="49"/>
      <c r="T44" s="107"/>
      <c r="U44" s="107"/>
      <c r="V44" s="107"/>
      <c r="W44" s="107"/>
    </row>
    <row r="45" spans="5:23" ht="12.75" customHeight="1">
      <c r="E45" s="11"/>
      <c r="F45" s="13"/>
      <c r="G45" s="50"/>
      <c r="T45" s="107"/>
      <c r="U45" s="107"/>
      <c r="V45" s="107"/>
      <c r="W45" s="107"/>
    </row>
    <row r="46" spans="5:23" ht="12.75" customHeight="1">
      <c r="E46" s="11"/>
      <c r="F46" s="11"/>
      <c r="G46" s="49"/>
      <c r="T46" s="107"/>
      <c r="U46" s="107"/>
      <c r="V46" s="107"/>
      <c r="W46" s="107"/>
    </row>
    <row r="47" spans="5:23" ht="12.75" customHeight="1">
      <c r="E47" s="11"/>
      <c r="F47" s="11"/>
      <c r="G47" s="49"/>
      <c r="T47" s="107"/>
      <c r="U47" s="107"/>
      <c r="V47" s="107"/>
      <c r="W47" s="107"/>
    </row>
    <row r="48" spans="5:23" ht="12.75" customHeight="1">
      <c r="E48" s="11"/>
      <c r="F48" s="13"/>
      <c r="G48" s="50"/>
      <c r="T48" s="107"/>
      <c r="U48" s="107"/>
      <c r="V48" s="107"/>
      <c r="W48" s="107"/>
    </row>
    <row r="49" spans="5:23" ht="12.75" customHeight="1">
      <c r="E49" s="11"/>
      <c r="F49" s="11"/>
      <c r="G49" s="49"/>
      <c r="T49" s="107"/>
      <c r="U49" s="107"/>
      <c r="V49" s="107"/>
      <c r="W49" s="107"/>
    </row>
    <row r="50" spans="5:23" ht="12.75" customHeight="1">
      <c r="E50" s="11"/>
      <c r="F50" s="11"/>
      <c r="G50" s="49"/>
      <c r="T50" s="107"/>
      <c r="U50" s="107"/>
      <c r="V50" s="107"/>
      <c r="W50" s="107"/>
    </row>
    <row r="51" spans="5:23" ht="12.75" customHeight="1">
      <c r="E51" s="11"/>
      <c r="F51" s="11"/>
      <c r="G51" s="49"/>
      <c r="T51" s="107"/>
      <c r="U51" s="107"/>
      <c r="V51" s="107"/>
      <c r="W51" s="107"/>
    </row>
    <row r="52" spans="5:23" ht="12.75" customHeight="1">
      <c r="E52" s="11"/>
      <c r="F52" s="11"/>
      <c r="G52" s="49"/>
      <c r="T52" s="107"/>
      <c r="U52" s="107"/>
      <c r="V52" s="107"/>
      <c r="W52" s="107"/>
    </row>
    <row r="53" spans="5:23" ht="12.75" customHeight="1">
      <c r="E53" s="11"/>
      <c r="F53" s="11"/>
      <c r="G53" s="49"/>
      <c r="T53" s="107"/>
      <c r="U53" s="107"/>
      <c r="V53" s="107"/>
      <c r="W53" s="107"/>
    </row>
    <row r="54" spans="5:23" ht="12.75" customHeight="1">
      <c r="E54" s="11"/>
      <c r="F54" s="11"/>
      <c r="G54" s="49"/>
      <c r="T54" s="107"/>
      <c r="U54" s="107"/>
      <c r="V54" s="107"/>
      <c r="W54" s="107"/>
    </row>
    <row r="55" spans="5:23" ht="12.75" customHeight="1">
      <c r="E55" s="11"/>
      <c r="F55" s="11"/>
      <c r="G55" s="49"/>
      <c r="T55" s="107"/>
      <c r="U55" s="107"/>
      <c r="V55" s="107"/>
      <c r="W55" s="107"/>
    </row>
    <row r="56" spans="5:23" ht="12.75" customHeight="1">
      <c r="E56" s="11"/>
      <c r="F56" s="11"/>
      <c r="G56" s="49"/>
      <c r="T56" s="107"/>
      <c r="U56" s="107"/>
      <c r="V56" s="107"/>
      <c r="W56" s="107"/>
    </row>
    <row r="57" spans="5:23" ht="12.75" customHeight="1">
      <c r="E57" s="11"/>
      <c r="F57" s="11"/>
      <c r="G57" s="49"/>
      <c r="T57" s="107"/>
      <c r="U57" s="107"/>
      <c r="V57" s="107"/>
      <c r="W57" s="107"/>
    </row>
    <row r="58" spans="5:23" ht="12.75" customHeight="1">
      <c r="E58" s="13"/>
      <c r="F58" s="11"/>
      <c r="G58" s="49"/>
      <c r="T58" s="107"/>
      <c r="U58" s="107"/>
      <c r="V58" s="107"/>
      <c r="W58" s="107"/>
    </row>
    <row r="59" spans="5:23" ht="12.75" customHeight="1">
      <c r="E59" s="13"/>
      <c r="F59" s="11"/>
      <c r="G59" s="49"/>
      <c r="T59" s="107"/>
      <c r="U59" s="107"/>
      <c r="V59" s="107"/>
      <c r="W59" s="107"/>
    </row>
    <row r="60" spans="5:23" ht="12.75" customHeight="1">
      <c r="E60" s="13"/>
      <c r="F60" s="11"/>
      <c r="G60" s="49"/>
      <c r="T60" s="107"/>
      <c r="U60" s="107"/>
      <c r="V60" s="107"/>
      <c r="W60" s="107"/>
    </row>
    <row r="61" spans="5:23" ht="12.75" customHeight="1">
      <c r="E61" s="11"/>
      <c r="F61" s="11"/>
      <c r="G61" s="49"/>
      <c r="T61" s="107"/>
      <c r="U61" s="107"/>
      <c r="V61" s="107"/>
      <c r="W61" s="107"/>
    </row>
    <row r="62" spans="5:23" ht="12.75" customHeight="1">
      <c r="E62" s="11"/>
      <c r="F62" s="11"/>
      <c r="G62" s="49"/>
      <c r="T62" s="107"/>
      <c r="U62" s="107"/>
      <c r="V62" s="107"/>
      <c r="W62" s="107"/>
    </row>
    <row r="63" spans="5:23" ht="12.75" customHeight="1">
      <c r="E63" s="41"/>
      <c r="F63" s="41"/>
      <c r="G63" s="51"/>
      <c r="T63" s="107"/>
      <c r="U63" s="107"/>
      <c r="V63" s="107"/>
      <c r="W63" s="107"/>
    </row>
    <row r="64" spans="5:23" ht="12.75" customHeight="1">
      <c r="E64" s="41"/>
      <c r="F64" s="41"/>
      <c r="G64" s="51"/>
      <c r="T64" s="107"/>
      <c r="U64" s="107"/>
      <c r="V64" s="107"/>
      <c r="W64" s="107"/>
    </row>
    <row r="65" spans="5:23" ht="12.75" customHeight="1">
      <c r="E65" s="41"/>
      <c r="F65" s="41"/>
      <c r="G65" s="51"/>
      <c r="T65" s="107"/>
      <c r="U65" s="107"/>
      <c r="V65" s="107"/>
      <c r="W65" s="107"/>
    </row>
    <row r="66" spans="5:7" ht="12.75" customHeight="1">
      <c r="E66" s="42"/>
      <c r="F66" s="42"/>
      <c r="G66" s="52"/>
    </row>
    <row r="67" spans="5:7" ht="12.75" customHeight="1">
      <c r="E67" s="42"/>
      <c r="F67" s="42"/>
      <c r="G67" s="52"/>
    </row>
    <row r="68" spans="5:7" ht="12.75" customHeight="1">
      <c r="E68" s="43"/>
      <c r="F68" s="43"/>
      <c r="G68" s="53"/>
    </row>
    <row r="72" spans="5:7" ht="12.75" customHeight="1">
      <c r="E72" s="40"/>
      <c r="F72" s="40"/>
      <c r="G72" s="48"/>
    </row>
    <row r="73" spans="5:7" ht="12.75" customHeight="1">
      <c r="E73" s="40"/>
      <c r="F73" s="40"/>
      <c r="G73" s="48"/>
    </row>
    <row r="74" spans="5:23" ht="12.75" customHeight="1">
      <c r="E74" s="13"/>
      <c r="F74" s="11"/>
      <c r="G74" s="49"/>
      <c r="T74" s="119"/>
      <c r="U74" s="119"/>
      <c r="V74" s="119"/>
      <c r="W74" s="119"/>
    </row>
    <row r="75" spans="5:23" ht="12.75" customHeight="1">
      <c r="E75" s="39"/>
      <c r="F75" s="39"/>
      <c r="G75" s="46"/>
      <c r="T75" s="119"/>
      <c r="U75" s="119"/>
      <c r="V75" s="119"/>
      <c r="W75" s="119"/>
    </row>
    <row r="76" spans="5:7" ht="12.75" customHeight="1">
      <c r="E76" s="13"/>
      <c r="F76" s="11"/>
      <c r="G76" s="49"/>
    </row>
    <row r="77" spans="5:23" ht="12.75" customHeight="1">
      <c r="E77" s="13"/>
      <c r="F77" s="11"/>
      <c r="G77" s="49"/>
      <c r="T77" s="107"/>
      <c r="U77" s="107"/>
      <c r="V77" s="107"/>
      <c r="W77" s="107"/>
    </row>
    <row r="78" spans="5:23" ht="12.75" customHeight="1">
      <c r="E78" s="13"/>
      <c r="F78" s="11"/>
      <c r="G78" s="49"/>
      <c r="T78" s="107"/>
      <c r="U78" s="107"/>
      <c r="V78" s="107"/>
      <c r="W78" s="107"/>
    </row>
    <row r="79" spans="5:23" ht="12.75" customHeight="1">
      <c r="E79" s="13"/>
      <c r="F79" s="11"/>
      <c r="G79" s="49"/>
      <c r="T79" s="107"/>
      <c r="U79" s="107"/>
      <c r="V79" s="107"/>
      <c r="W79" s="107"/>
    </row>
    <row r="80" spans="5:23" ht="12.75" customHeight="1">
      <c r="E80" s="44"/>
      <c r="F80" s="44"/>
      <c r="G80" s="54"/>
      <c r="T80" s="107"/>
      <c r="U80" s="107"/>
      <c r="V80" s="107"/>
      <c r="W80" s="107"/>
    </row>
    <row r="81" spans="5:23" ht="12.75" customHeight="1">
      <c r="E81" s="44"/>
      <c r="F81" s="44"/>
      <c r="G81" s="54"/>
      <c r="T81" s="107"/>
      <c r="U81" s="107"/>
      <c r="V81" s="107"/>
      <c r="W81" s="107"/>
    </row>
    <row r="82" spans="5:23" ht="12.75" customHeight="1">
      <c r="E82" s="44"/>
      <c r="F82" s="44"/>
      <c r="G82" s="54"/>
      <c r="T82" s="107"/>
      <c r="U82" s="107"/>
      <c r="V82" s="107"/>
      <c r="W82" s="107"/>
    </row>
    <row r="83" spans="20:23" ht="12.75" customHeight="1">
      <c r="T83" s="107"/>
      <c r="U83" s="107"/>
      <c r="V83" s="107"/>
      <c r="W83" s="107"/>
    </row>
    <row r="84" spans="20:23" ht="12.75" customHeight="1">
      <c r="T84" s="107"/>
      <c r="U84" s="107"/>
      <c r="V84" s="107"/>
      <c r="W84" s="107"/>
    </row>
    <row r="85" spans="20:23" ht="12.75" customHeight="1">
      <c r="T85" s="119"/>
      <c r="U85" s="119"/>
      <c r="V85" s="119"/>
      <c r="W85" s="119"/>
    </row>
    <row r="86" spans="20:23" ht="12.75" customHeight="1">
      <c r="T86" s="119"/>
      <c r="U86" s="119"/>
      <c r="V86" s="119"/>
      <c r="W86" s="119"/>
    </row>
    <row r="90" spans="20:23" ht="12.75" customHeight="1">
      <c r="T90" s="107"/>
      <c r="U90" s="107"/>
      <c r="V90" s="107"/>
      <c r="W90" s="107"/>
    </row>
    <row r="91" spans="20:23" ht="12.75" customHeight="1">
      <c r="T91" s="107"/>
      <c r="U91" s="107"/>
      <c r="V91" s="107"/>
      <c r="W91" s="107"/>
    </row>
    <row r="92" spans="20:23" ht="12.75" customHeight="1">
      <c r="T92" s="107"/>
      <c r="U92" s="107"/>
      <c r="V92" s="107"/>
      <c r="W92" s="107"/>
    </row>
    <row r="93" spans="20:23" ht="12.75" customHeight="1">
      <c r="T93" s="107"/>
      <c r="U93" s="107"/>
      <c r="V93" s="107"/>
      <c r="W93" s="107"/>
    </row>
    <row r="94" spans="20:23" ht="12.75" customHeight="1">
      <c r="T94" s="107"/>
      <c r="U94" s="107"/>
      <c r="V94" s="107"/>
      <c r="W94" s="107"/>
    </row>
    <row r="95" spans="20:23" ht="12.75" customHeight="1">
      <c r="T95" s="107"/>
      <c r="U95" s="107"/>
      <c r="V95" s="107"/>
      <c r="W95" s="107"/>
    </row>
    <row r="96" spans="20:23" ht="12.75" customHeight="1">
      <c r="T96" s="107"/>
      <c r="U96" s="107"/>
      <c r="V96" s="107"/>
      <c r="W96" s="107"/>
    </row>
    <row r="97" spans="20:23" ht="12.75" customHeight="1">
      <c r="T97" s="107"/>
      <c r="U97" s="107"/>
      <c r="V97" s="107"/>
      <c r="W97" s="107"/>
    </row>
    <row r="98" spans="20:23" ht="12.75" customHeight="1">
      <c r="T98" s="107"/>
      <c r="U98" s="107"/>
      <c r="V98" s="107"/>
      <c r="W98" s="107"/>
    </row>
    <row r="99" spans="20:23" ht="12.75" customHeight="1">
      <c r="T99" s="107"/>
      <c r="U99" s="107"/>
      <c r="V99" s="107"/>
      <c r="W99" s="107"/>
    </row>
    <row r="100" spans="20:23" ht="12.75" customHeight="1">
      <c r="T100" s="107"/>
      <c r="U100" s="107"/>
      <c r="V100" s="107"/>
      <c r="W100" s="107"/>
    </row>
    <row r="101" spans="20:23" ht="12.75" customHeight="1">
      <c r="T101" s="107"/>
      <c r="U101" s="107"/>
      <c r="V101" s="107"/>
      <c r="W101" s="107"/>
    </row>
    <row r="102" spans="20:23" ht="12.75" customHeight="1">
      <c r="T102" s="107"/>
      <c r="U102" s="107"/>
      <c r="V102" s="107"/>
      <c r="W102" s="107"/>
    </row>
    <row r="103" spans="20:23" ht="12.75" customHeight="1">
      <c r="T103" s="107"/>
      <c r="U103" s="107"/>
      <c r="V103" s="107"/>
      <c r="W103" s="107"/>
    </row>
    <row r="104" spans="20:23" ht="12.75" customHeight="1">
      <c r="T104" s="107"/>
      <c r="U104" s="107"/>
      <c r="V104" s="107"/>
      <c r="W104" s="107"/>
    </row>
    <row r="105" spans="20:23" ht="12.75" customHeight="1">
      <c r="T105" s="107"/>
      <c r="U105" s="107"/>
      <c r="V105" s="107"/>
      <c r="W105" s="107"/>
    </row>
    <row r="106" spans="20:23" ht="12.75" customHeight="1">
      <c r="T106" s="107"/>
      <c r="U106" s="107"/>
      <c r="V106" s="107"/>
      <c r="W106" s="107"/>
    </row>
    <row r="107" spans="20:23" ht="12.75" customHeight="1">
      <c r="T107" s="107"/>
      <c r="U107" s="107"/>
      <c r="V107" s="107"/>
      <c r="W107" s="107"/>
    </row>
    <row r="114" spans="20:23" ht="12.75" customHeight="1">
      <c r="T114" s="119"/>
      <c r="U114" s="119"/>
      <c r="V114" s="119"/>
      <c r="W114" s="119"/>
    </row>
    <row r="115" spans="20:23" ht="12.75" customHeight="1">
      <c r="T115" s="119"/>
      <c r="U115" s="119"/>
      <c r="V115" s="119"/>
      <c r="W115" s="119"/>
    </row>
    <row r="119" spans="20:23" ht="12.75" customHeight="1">
      <c r="T119" s="140"/>
      <c r="U119" s="140"/>
      <c r="V119" s="140"/>
      <c r="W119" s="140"/>
    </row>
    <row r="120" spans="20:23" ht="12.75" customHeight="1">
      <c r="T120" s="140"/>
      <c r="U120" s="140"/>
      <c r="V120" s="140"/>
      <c r="W120" s="140"/>
    </row>
    <row r="121" spans="20:23" ht="12.75" customHeight="1">
      <c r="T121" s="140"/>
      <c r="U121" s="140"/>
      <c r="V121" s="140"/>
      <c r="W121" s="140"/>
    </row>
    <row r="122" spans="20:23" ht="12.75" customHeight="1">
      <c r="T122" s="140"/>
      <c r="U122" s="140"/>
      <c r="V122" s="140"/>
      <c r="W122" s="140"/>
    </row>
    <row r="123" spans="20:23" ht="12.75" customHeight="1">
      <c r="T123" s="140"/>
      <c r="U123" s="140"/>
      <c r="V123" s="140"/>
      <c r="W123" s="140"/>
    </row>
    <row r="124" spans="20:23" ht="12.75" customHeight="1">
      <c r="T124" s="140"/>
      <c r="U124" s="140"/>
      <c r="V124" s="140"/>
      <c r="W124" s="140"/>
    </row>
    <row r="125" spans="20:23" ht="12.75" customHeight="1">
      <c r="T125" s="140"/>
      <c r="U125" s="140"/>
      <c r="V125" s="140"/>
      <c r="W125" s="140"/>
    </row>
    <row r="126" spans="20:23" ht="12.75" customHeight="1">
      <c r="T126" s="140"/>
      <c r="U126" s="140"/>
      <c r="V126" s="140"/>
      <c r="W126" s="140"/>
    </row>
  </sheetData>
  <sheetProtection sheet="1" objects="1" scenarios="1"/>
  <mergeCells count="4">
    <mergeCell ref="B2:C2"/>
    <mergeCell ref="B3:C3"/>
    <mergeCell ref="B10:C11"/>
    <mergeCell ref="D2:E2"/>
  </mergeCells>
  <conditionalFormatting sqref="H10:CC10000">
    <cfRule type="expression" priority="1" dxfId="0">
      <formula>AND($D10&lt;&gt;"",H$10&lt;&gt;"",H10="")</formula>
    </cfRule>
    <cfRule type="expression" priority="4" dxfId="1">
      <formula>AND($A10="",ABS(H10)=0)</formula>
    </cfRule>
    <cfRule type="expression" priority="6" dxfId="1">
      <formula>AND($A10="",ABS(H10)&lt;10)</formula>
    </cfRule>
    <cfRule type="expression" priority="7" dxfId="35">
      <formula>AND($A10="",ABS(H10)&lt;100)</formula>
    </cfRule>
    <cfRule type="expression" priority="8" dxfId="1">
      <formula>AND($A10="",ABS(H10)&gt;=100)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C7" location="GRI_202_1" display="202-1 – Ratios of standard entry level wage by gender compared to local minimum wage "/>
    <hyperlink ref="A10" location="GRI_202" display="Ó"/>
    <hyperlink ref="D2" location="Home" display="Home"/>
  </hyperlinks>
  <printOptions/>
  <pageMargins left="0.7" right="0.7" top="0.787401575" bottom="0.7874015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rgb="FF523178"/>
  </sheetPr>
  <dimension ref="A2:CC249"/>
  <sheetViews>
    <sheetView showGridLines="0" showRowColHeaders="0" zoomScale="90" zoomScaleNormal="90" zoomScalePageLayoutView="0" workbookViewId="0" topLeftCell="A1">
      <pane xSplit="7" topLeftCell="H1" activePane="topRight" state="frozen"/>
      <selection pane="topLeft" activeCell="B73" sqref="B73"/>
      <selection pane="topRight" activeCell="B3" sqref="B3:C3"/>
    </sheetView>
  </sheetViews>
  <sheetFormatPr defaultColWidth="10.75390625" defaultRowHeight="12.75" customHeight="1"/>
  <cols>
    <col min="1" max="1" width="2.50390625" style="91" customWidth="1"/>
    <col min="2" max="2" width="2.50390625" style="1" customWidth="1"/>
    <col min="3" max="3" width="73.375" style="1" customWidth="1"/>
    <col min="4" max="4" width="23.50390625" style="1" customWidth="1"/>
    <col min="5" max="5" width="10.50390625" style="37" customWidth="1"/>
    <col min="6" max="6" width="14.125" style="37" customWidth="1"/>
    <col min="7" max="7" width="2.50390625" style="47" customWidth="1"/>
    <col min="8" max="19" width="11.625" style="100" customWidth="1"/>
    <col min="20" max="23" width="11.625" style="20" customWidth="1"/>
    <col min="24" max="81" width="11.625" style="37" customWidth="1"/>
    <col min="82" max="16384" width="10.75390625" style="1" customWidth="1"/>
  </cols>
  <sheetData>
    <row r="2" spans="1:81" s="153" customFormat="1" ht="25.5" customHeight="1">
      <c r="A2" s="88"/>
      <c r="B2" s="485" t="str">
        <f>UPPER(RIGHT(Inhaltsverzeichnis!$C$14,LEN(Inhaltsverzeichnis!$C$14)-FIND(" – ",Inhaltsverzeichnis!$C$14,1)-2))</f>
        <v>IMPACTS ÉCONOMIQUES INDIRECTS</v>
      </c>
      <c r="C2" s="485"/>
      <c r="D2" s="481" t="str">
        <f>VLOOKUP(35,Textbausteine!$A$2:$E$67,Hilfsgrössen!$D$2,FALSE)</f>
        <v>retour à la table des matières</v>
      </c>
      <c r="E2" s="482"/>
      <c r="F2" s="145" t="s">
        <v>86</v>
      </c>
      <c r="G2" s="171"/>
      <c r="H2" s="159"/>
      <c r="I2" s="159"/>
      <c r="J2" s="159"/>
      <c r="K2" s="159"/>
      <c r="L2" s="159"/>
      <c r="M2" s="159"/>
      <c r="N2" s="159"/>
      <c r="O2" s="159"/>
      <c r="P2" s="159"/>
      <c r="Q2" s="159"/>
      <c r="R2" s="159"/>
      <c r="S2" s="159"/>
      <c r="T2" s="116"/>
      <c r="U2" s="116"/>
      <c r="V2" s="116"/>
      <c r="W2" s="116"/>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row>
    <row r="3" spans="1:81" s="154" customFormat="1" ht="25.5" customHeight="1">
      <c r="A3" s="89"/>
      <c r="B3" s="486" t="str">
        <f>UPPER("GRI "&amp;LEFT(Inhaltsverzeichnis!$C$14,3))</f>
        <v>GRI 203</v>
      </c>
      <c r="C3" s="486"/>
      <c r="E3" s="38"/>
      <c r="F3" s="38"/>
      <c r="G3" s="45"/>
      <c r="H3" s="94"/>
      <c r="I3" s="94"/>
      <c r="J3" s="94"/>
      <c r="K3" s="94"/>
      <c r="L3" s="94"/>
      <c r="M3" s="94"/>
      <c r="N3" s="94"/>
      <c r="O3" s="94"/>
      <c r="P3" s="94"/>
      <c r="Q3" s="94"/>
      <c r="R3" s="94"/>
      <c r="S3" s="94"/>
      <c r="T3" s="116"/>
      <c r="U3" s="116"/>
      <c r="V3" s="116"/>
      <c r="W3" s="116"/>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row>
    <row r="6" spans="1:81" s="31" customFormat="1" ht="12.75" customHeight="1">
      <c r="A6" s="90"/>
      <c r="B6" s="31" t="str">
        <f>VLOOKUP(31,Textbausteine!$A$2:$E$67,Hilfsgrössen!$D$2,FALSE)</f>
        <v>Divulgations</v>
      </c>
      <c r="E6" s="39"/>
      <c r="F6" s="39"/>
      <c r="G6" s="46"/>
      <c r="H6" s="96"/>
      <c r="I6" s="96"/>
      <c r="J6" s="96"/>
      <c r="K6" s="96"/>
      <c r="L6" s="96"/>
      <c r="M6" s="96"/>
      <c r="N6" s="96"/>
      <c r="O6" s="96"/>
      <c r="P6" s="96"/>
      <c r="Q6" s="96"/>
      <c r="R6" s="96"/>
      <c r="S6" s="96"/>
      <c r="T6" s="20"/>
      <c r="U6" s="20"/>
      <c r="V6" s="20"/>
      <c r="W6" s="20"/>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row>
    <row r="7" spans="2:4" ht="12.75" customHeight="1">
      <c r="B7" s="2"/>
      <c r="C7" s="3" t="str">
        <f>VLOOKUP(1,Textbausteine!$AE$2:$AI$254,Hilfsgrössen!$D$2,FALSE)</f>
        <v>Actions de bienfaisance et sponsoring</v>
      </c>
      <c r="D7" s="4"/>
    </row>
    <row r="8" spans="2:4" ht="12.75" customHeight="1">
      <c r="B8" s="2"/>
      <c r="C8" s="3" t="str">
        <f>VLOOKUP(2,Textbausteine!$AE$2:$AI$254,Hilfsgrössen!$D$2,FALSE)</f>
        <v>Points d'accès</v>
      </c>
      <c r="D8" s="4"/>
    </row>
    <row r="9" spans="2:4" ht="12.75" customHeight="1">
      <c r="B9" s="2"/>
      <c r="C9" s="3" t="str">
        <f>VLOOKUP(3,Textbausteine!$AE$2:$AI$254,Hilfsgrössen!$D$2,FALSE)</f>
        <v>Emplois dans les régions</v>
      </c>
      <c r="D9" s="4"/>
    </row>
    <row r="10" spans="2:4" ht="12.75" customHeight="1">
      <c r="B10" s="2"/>
      <c r="C10" s="3" t="str">
        <f>VLOOKUP(4,Textbausteine!$AE$2:$AI$254,Hilfsgrössen!$D$2,FALSE)</f>
        <v>Comparaison des prix des services postaux</v>
      </c>
      <c r="D10" s="4"/>
    </row>
    <row r="11" spans="2:4" ht="12.75" customHeight="1">
      <c r="B11" s="2"/>
      <c r="C11" s="3" t="str">
        <f>VLOOKUP(5,Textbausteine!$AE$2:$AI$254,Hilfsgrössen!$D$2,FALSE)</f>
        <v>Délais d'acheminement des services postaux</v>
      </c>
      <c r="D11" s="4"/>
    </row>
    <row r="12" spans="2:4" ht="12.75" customHeight="1">
      <c r="B12" s="2"/>
      <c r="C12" s="3" t="str">
        <f>VLOOKUP(6,Textbausteine!$AE$2:$AI$254,Hilfsgrössen!$D$2,FALSE)</f>
        <v>Temps d'attente dans les filiales</v>
      </c>
      <c r="D12" s="4"/>
    </row>
    <row r="13" spans="2:4" ht="12.75" customHeight="1">
      <c r="B13" s="2"/>
      <c r="C13" s="3" t="str">
        <f>VLOOKUP(7,Textbausteine!$AE$2:$AI$254,Hilfsgrössen!$D$2,FALSE)</f>
        <v>Délais de traitement des services financiers</v>
      </c>
      <c r="D13" s="4"/>
    </row>
    <row r="14" ht="12.75" customHeight="1">
      <c r="B14" s="2"/>
    </row>
    <row r="15" ht="12.75" customHeight="1">
      <c r="B15" s="2"/>
    </row>
    <row r="16" spans="1:81" s="31" customFormat="1" ht="12.75" customHeight="1">
      <c r="A16" s="56" t="s">
        <v>807</v>
      </c>
      <c r="B16" s="479" t="str">
        <f>$C$7</f>
        <v>Actions de bienfaisance et sponsoring</v>
      </c>
      <c r="C16" s="479"/>
      <c r="D16" s="6" t="str">
        <f>VLOOKUP(32,Textbausteine!$A$2:$E$67,Hilfsgrössen!$D$2,FALSE)</f>
        <v>Unité</v>
      </c>
      <c r="E16" s="39" t="str">
        <f>VLOOKUP(33,Textbausteine!$A$2:$E$67,Hilfsgrössen!$D$2,FALSE)</f>
        <v>Notes</v>
      </c>
      <c r="F16" s="39" t="str">
        <f>VLOOKUP(34,Textbausteine!$A$2:$E$67,Hilfsgrössen!$D$2,FALSE)</f>
        <v>GRI</v>
      </c>
      <c r="G16" s="47"/>
      <c r="H16" s="117">
        <v>2004</v>
      </c>
      <c r="I16" s="117">
        <v>2005</v>
      </c>
      <c r="J16" s="117">
        <v>2006</v>
      </c>
      <c r="K16" s="117">
        <v>2007</v>
      </c>
      <c r="L16" s="117">
        <v>2008</v>
      </c>
      <c r="M16" s="117">
        <v>2009</v>
      </c>
      <c r="N16" s="117">
        <v>2010</v>
      </c>
      <c r="O16" s="117">
        <v>2011</v>
      </c>
      <c r="P16" s="117">
        <v>2012</v>
      </c>
      <c r="Q16" s="117">
        <v>2013</v>
      </c>
      <c r="R16" s="117">
        <v>2014</v>
      </c>
      <c r="S16" s="117">
        <v>2015</v>
      </c>
      <c r="T16" s="117">
        <v>2016</v>
      </c>
      <c r="U16" s="117">
        <v>2017</v>
      </c>
      <c r="V16" s="117">
        <v>2018</v>
      </c>
      <c r="W16" s="258">
        <v>2019</v>
      </c>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row>
    <row r="17" spans="1:81" s="31" customFormat="1" ht="12.75" customHeight="1">
      <c r="A17" s="90"/>
      <c r="B17" s="479"/>
      <c r="C17" s="479"/>
      <c r="D17" s="6"/>
      <c r="E17" s="40"/>
      <c r="F17" s="40"/>
      <c r="G17" s="47"/>
      <c r="H17" s="117"/>
      <c r="I17" s="117"/>
      <c r="J17" s="117"/>
      <c r="K17" s="117"/>
      <c r="L17" s="106"/>
      <c r="M17" s="106"/>
      <c r="N17" s="107"/>
      <c r="O17" s="107"/>
      <c r="P17" s="107"/>
      <c r="Q17" s="107"/>
      <c r="R17" s="107"/>
      <c r="S17" s="107"/>
      <c r="T17" s="20"/>
      <c r="U17" s="20"/>
      <c r="V17" s="20"/>
      <c r="W17" s="259"/>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row>
    <row r="18" spans="2:23" ht="12.75" customHeight="1">
      <c r="B18" s="8"/>
      <c r="C18" s="9"/>
      <c r="D18" s="9"/>
      <c r="E18" s="40"/>
      <c r="F18" s="40"/>
      <c r="G18" s="48"/>
      <c r="H18" s="117"/>
      <c r="I18" s="117"/>
      <c r="J18" s="117"/>
      <c r="K18" s="117"/>
      <c r="L18" s="106"/>
      <c r="M18" s="106"/>
      <c r="N18" s="107"/>
      <c r="O18" s="107"/>
      <c r="P18" s="107"/>
      <c r="Q18" s="107"/>
      <c r="R18" s="107"/>
      <c r="S18" s="107"/>
      <c r="W18" s="259"/>
    </row>
    <row r="19" spans="2:23" ht="12.75" customHeight="1">
      <c r="B19" s="8" t="str">
        <f>VLOOKUP(36,Textbausteine!$A$2:$E$67,Hilfsgrössen!$D$2,FALSE)</f>
        <v>Groupe</v>
      </c>
      <c r="C19" s="8"/>
      <c r="D19" s="67"/>
      <c r="E19" s="12"/>
      <c r="F19" s="11"/>
      <c r="G19" s="48"/>
      <c r="H19" s="107"/>
      <c r="I19" s="107"/>
      <c r="J19" s="107"/>
      <c r="K19" s="107"/>
      <c r="L19" s="107"/>
      <c r="M19" s="107"/>
      <c r="N19" s="107"/>
      <c r="O19" s="107"/>
      <c r="P19" s="107"/>
      <c r="Q19" s="107"/>
      <c r="R19" s="107"/>
      <c r="S19" s="107"/>
      <c r="W19" s="259"/>
    </row>
    <row r="20" spans="3:23" ht="12.75" customHeight="1">
      <c r="C20" s="18" t="str">
        <f>VLOOKUP(31,Textbausteine!$AE$2:$AI$254,Hilfsgrössen!$D$2,FALSE)</f>
        <v>Contributions</v>
      </c>
      <c r="D20" s="9" t="str">
        <f>VLOOKUP(11,Textbausteine!$AE$2:$AI$254,Hilfsgrössen!$D$2,FALSE)</f>
        <v>Millions de CHF</v>
      </c>
      <c r="E20" s="11"/>
      <c r="F20" s="11" t="s">
        <v>208</v>
      </c>
      <c r="G20" s="49"/>
      <c r="H20" s="385">
        <v>16.69</v>
      </c>
      <c r="I20" s="385">
        <v>17.849999999999998</v>
      </c>
      <c r="J20" s="385">
        <v>16.68</v>
      </c>
      <c r="K20" s="385">
        <v>17.830000000000002</v>
      </c>
      <c r="L20" s="389">
        <v>20.14</v>
      </c>
      <c r="M20" s="389">
        <v>20.7</v>
      </c>
      <c r="N20" s="389">
        <v>19</v>
      </c>
      <c r="O20" s="389">
        <v>20.700000000000003</v>
      </c>
      <c r="P20" s="367">
        <v>20.1</v>
      </c>
      <c r="Q20" s="367">
        <v>20.5</v>
      </c>
      <c r="R20" s="384">
        <v>19.7</v>
      </c>
      <c r="S20" s="384">
        <v>19.8</v>
      </c>
      <c r="T20" s="389">
        <v>19.7</v>
      </c>
      <c r="U20" s="389">
        <v>16.749</v>
      </c>
      <c r="V20" s="389">
        <v>12.9</v>
      </c>
      <c r="W20" s="423">
        <v>12.9</v>
      </c>
    </row>
    <row r="21" spans="3:23" ht="12.75" customHeight="1">
      <c r="C21" s="77" t="str">
        <f>VLOOKUP(32,Textbausteine!$AE$2:$AI$254,Hilfsgrössen!$D$2,FALSE)</f>
        <v>Sponsoring économique</v>
      </c>
      <c r="D21" s="67" t="str">
        <f>VLOOKUP(11,Textbausteine!$AE$2:$AI$254,Hilfsgrössen!$D$2,FALSE)</f>
        <v>Millions de CHF</v>
      </c>
      <c r="E21" s="11">
        <v>1</v>
      </c>
      <c r="F21" s="11" t="s">
        <v>208</v>
      </c>
      <c r="G21" s="49"/>
      <c r="H21" s="387" t="s">
        <v>1470</v>
      </c>
      <c r="I21" s="387" t="s">
        <v>1470</v>
      </c>
      <c r="J21" s="387" t="s">
        <v>1470</v>
      </c>
      <c r="K21" s="387" t="s">
        <v>1470</v>
      </c>
      <c r="L21" s="381" t="s">
        <v>1470</v>
      </c>
      <c r="M21" s="381" t="s">
        <v>1470</v>
      </c>
      <c r="N21" s="381" t="s">
        <v>1470</v>
      </c>
      <c r="O21" s="381" t="s">
        <v>1470</v>
      </c>
      <c r="P21" s="406" t="s">
        <v>1470</v>
      </c>
      <c r="Q21" s="406" t="s">
        <v>1470</v>
      </c>
      <c r="R21" s="424" t="s">
        <v>1470</v>
      </c>
      <c r="S21" s="384">
        <v>1</v>
      </c>
      <c r="T21" s="389">
        <v>1.5</v>
      </c>
      <c r="U21" s="389">
        <v>1.6869999999999998</v>
      </c>
      <c r="V21" s="389">
        <v>1.1</v>
      </c>
      <c r="W21" s="423">
        <v>0.9</v>
      </c>
    </row>
    <row r="22" spans="3:23" ht="12.75" customHeight="1">
      <c r="C22" s="77" t="str">
        <f>VLOOKUP(33,Textbausteine!$AE$2:$AI$254,Hilfsgrössen!$D$2,FALSE)</f>
        <v>Sponsoring sportif</v>
      </c>
      <c r="D22" s="67" t="str">
        <f>VLOOKUP(11,Textbausteine!$AE$2:$AI$254,Hilfsgrössen!$D$2,FALSE)</f>
        <v>Millions de CHF</v>
      </c>
      <c r="E22" s="11"/>
      <c r="F22" s="11" t="s">
        <v>208</v>
      </c>
      <c r="G22" s="49"/>
      <c r="H22" s="389">
        <v>8.13</v>
      </c>
      <c r="I22" s="389">
        <v>9.6</v>
      </c>
      <c r="J22" s="389">
        <v>9.65</v>
      </c>
      <c r="K22" s="389">
        <v>9.75</v>
      </c>
      <c r="L22" s="389">
        <v>12.65</v>
      </c>
      <c r="M22" s="389">
        <v>11.7</v>
      </c>
      <c r="N22" s="389">
        <v>11.8</v>
      </c>
      <c r="O22" s="389">
        <v>11.8</v>
      </c>
      <c r="P22" s="367">
        <v>11.9</v>
      </c>
      <c r="Q22" s="367">
        <v>10.3</v>
      </c>
      <c r="R22" s="384">
        <v>10.7</v>
      </c>
      <c r="S22" s="384">
        <v>9.9</v>
      </c>
      <c r="T22" s="421">
        <v>10.3</v>
      </c>
      <c r="U22" s="421">
        <v>9.716</v>
      </c>
      <c r="V22" s="421">
        <v>9.5</v>
      </c>
      <c r="W22" s="423">
        <v>9.6</v>
      </c>
    </row>
    <row r="23" spans="3:23" ht="12.75" customHeight="1">
      <c r="C23" s="77" t="str">
        <f>VLOOKUP(34,Textbausteine!$AE$2:$AI$254,Hilfsgrössen!$D$2,FALSE)</f>
        <v>Sponsoring culturel</v>
      </c>
      <c r="D23" s="67" t="str">
        <f>VLOOKUP(11,Textbausteine!$AE$2:$AI$254,Hilfsgrössen!$D$2,FALSE)</f>
        <v>Millions de CHF</v>
      </c>
      <c r="E23" s="11"/>
      <c r="F23" s="11" t="s">
        <v>208</v>
      </c>
      <c r="G23" s="49"/>
      <c r="H23" s="385">
        <v>4.91</v>
      </c>
      <c r="I23" s="385">
        <v>5.14</v>
      </c>
      <c r="J23" s="385">
        <v>3.63</v>
      </c>
      <c r="K23" s="385">
        <v>4.65</v>
      </c>
      <c r="L23" s="425">
        <v>4.27</v>
      </c>
      <c r="M23" s="389">
        <v>4</v>
      </c>
      <c r="N23" s="389">
        <v>2.6</v>
      </c>
      <c r="O23" s="389">
        <v>2.5</v>
      </c>
      <c r="P23" s="367">
        <v>2.3</v>
      </c>
      <c r="Q23" s="367">
        <v>5.1</v>
      </c>
      <c r="R23" s="384">
        <v>4.4</v>
      </c>
      <c r="S23" s="384">
        <v>3.9</v>
      </c>
      <c r="T23" s="421">
        <v>3.4</v>
      </c>
      <c r="U23" s="421">
        <v>2.96</v>
      </c>
      <c r="V23" s="421">
        <v>0</v>
      </c>
      <c r="W23" s="423">
        <v>0</v>
      </c>
    </row>
    <row r="24" spans="3:23" ht="12.75" customHeight="1">
      <c r="C24" s="19" t="str">
        <f>VLOOKUP(35,Textbausteine!$AE$2:$AI$254,Hilfsgrössen!$D$2,FALSE)</f>
        <v>Engagements sociaux / cadeaux / dons</v>
      </c>
      <c r="D24" s="67" t="str">
        <f>VLOOKUP(11,Textbausteine!$AE$2:$AI$254,Hilfsgrössen!$D$2,FALSE)</f>
        <v>Millions de CHF</v>
      </c>
      <c r="E24" s="11"/>
      <c r="F24" s="11" t="s">
        <v>208</v>
      </c>
      <c r="G24" s="49"/>
      <c r="H24" s="385">
        <v>3.65</v>
      </c>
      <c r="I24" s="385">
        <v>3.11</v>
      </c>
      <c r="J24" s="385">
        <v>3.4</v>
      </c>
      <c r="K24" s="385">
        <v>3.43</v>
      </c>
      <c r="L24" s="389">
        <v>3.22</v>
      </c>
      <c r="M24" s="389">
        <v>5</v>
      </c>
      <c r="N24" s="389">
        <v>4.6</v>
      </c>
      <c r="O24" s="389">
        <v>6.4</v>
      </c>
      <c r="P24" s="381">
        <v>5.9</v>
      </c>
      <c r="Q24" s="367">
        <v>5.1</v>
      </c>
      <c r="R24" s="384">
        <v>4.6</v>
      </c>
      <c r="S24" s="384">
        <v>5</v>
      </c>
      <c r="T24" s="389">
        <v>4.5</v>
      </c>
      <c r="U24" s="389">
        <v>0.7</v>
      </c>
      <c r="V24" s="389">
        <v>0.6</v>
      </c>
      <c r="W24" s="426">
        <v>0.7</v>
      </c>
    </row>
    <row r="25" spans="3:23" ht="12.75" customHeight="1">
      <c r="C25" s="77" t="str">
        <f>VLOOKUP(36,Textbausteine!$AE$2:$AI$254,Hilfsgrössen!$D$2,FALSE)</f>
        <v>Dons à des partis politiques</v>
      </c>
      <c r="D25" s="67" t="str">
        <f>VLOOKUP(11,Textbausteine!$AE$2:$AI$254,Hilfsgrössen!$D$2,FALSE)</f>
        <v>Millions de CHF</v>
      </c>
      <c r="E25" s="11"/>
      <c r="F25" s="11" t="s">
        <v>209</v>
      </c>
      <c r="G25" s="49"/>
      <c r="H25" s="385">
        <v>0</v>
      </c>
      <c r="I25" s="385">
        <v>0</v>
      </c>
      <c r="J25" s="385">
        <v>0</v>
      </c>
      <c r="K25" s="385">
        <v>0</v>
      </c>
      <c r="L25" s="389">
        <v>0</v>
      </c>
      <c r="M25" s="389">
        <v>0</v>
      </c>
      <c r="N25" s="389">
        <v>0</v>
      </c>
      <c r="O25" s="389">
        <v>0</v>
      </c>
      <c r="P25" s="367">
        <v>0</v>
      </c>
      <c r="Q25" s="367">
        <v>0</v>
      </c>
      <c r="R25" s="384">
        <v>0</v>
      </c>
      <c r="S25" s="384">
        <v>0</v>
      </c>
      <c r="T25" s="367">
        <v>0</v>
      </c>
      <c r="U25" s="367">
        <v>0</v>
      </c>
      <c r="V25" s="367">
        <v>0</v>
      </c>
      <c r="W25" s="426">
        <v>0</v>
      </c>
    </row>
    <row r="26" spans="3:23" ht="12.75" customHeight="1">
      <c r="C26" s="77" t="str">
        <f>VLOOKUP(37,Textbausteine!$AE$2:$AI$254,Hilfsgrössen!$D$2,FALSE)</f>
        <v>Engagements pour la Suisse</v>
      </c>
      <c r="D26" s="67" t="str">
        <f>VLOOKUP(11,Textbausteine!$AE$2:$AI$254,Hilfsgrössen!$D$2,FALSE)</f>
        <v>Millions de CHF</v>
      </c>
      <c r="E26" s="11"/>
      <c r="F26" s="11"/>
      <c r="G26" s="49"/>
      <c r="H26" s="387" t="s">
        <v>1470</v>
      </c>
      <c r="I26" s="387" t="s">
        <v>1470</v>
      </c>
      <c r="J26" s="387" t="s">
        <v>1470</v>
      </c>
      <c r="K26" s="387" t="s">
        <v>1470</v>
      </c>
      <c r="L26" s="381" t="s">
        <v>1470</v>
      </c>
      <c r="M26" s="381" t="s">
        <v>1470</v>
      </c>
      <c r="N26" s="381" t="s">
        <v>1470</v>
      </c>
      <c r="O26" s="381" t="s">
        <v>1470</v>
      </c>
      <c r="P26" s="406" t="s">
        <v>1470</v>
      </c>
      <c r="Q26" s="406" t="s">
        <v>1470</v>
      </c>
      <c r="R26" s="424" t="s">
        <v>1470</v>
      </c>
      <c r="S26" s="424" t="s">
        <v>1470</v>
      </c>
      <c r="T26" s="406" t="s">
        <v>1470</v>
      </c>
      <c r="U26" s="406">
        <v>1.686</v>
      </c>
      <c r="V26" s="406">
        <v>1.7</v>
      </c>
      <c r="W26" s="426">
        <v>1.7</v>
      </c>
    </row>
    <row r="27" spans="3:23" ht="12.75" customHeight="1">
      <c r="C27" s="77"/>
      <c r="D27" s="67"/>
      <c r="E27" s="11"/>
      <c r="F27" s="11"/>
      <c r="G27" s="49"/>
      <c r="H27" s="163"/>
      <c r="I27" s="163"/>
      <c r="J27" s="163"/>
      <c r="K27" s="163"/>
      <c r="L27" s="20"/>
      <c r="M27" s="20"/>
      <c r="N27" s="20"/>
      <c r="O27" s="20"/>
      <c r="P27" s="107"/>
      <c r="Q27" s="107"/>
      <c r="R27" s="107"/>
      <c r="S27" s="162"/>
      <c r="T27" s="107"/>
      <c r="U27" s="107"/>
      <c r="V27" s="107"/>
      <c r="W27" s="261"/>
    </row>
    <row r="28" spans="3:23" ht="12.75" customHeight="1">
      <c r="C28" s="18" t="str">
        <f>VLOOKUP(31,Textbausteine!$AE$2:$AI$254,Hilfsgrössen!$D$2,FALSE)</f>
        <v>Contributions</v>
      </c>
      <c r="D28" s="67" t="str">
        <f>VLOOKUP(12,Textbausteine!$AE$2:$AI$254,Hilfsgrössen!$D$2,FALSE)</f>
        <v>%</v>
      </c>
      <c r="E28" s="11"/>
      <c r="F28" s="11" t="s">
        <v>208</v>
      </c>
      <c r="G28" s="49"/>
      <c r="H28" s="100">
        <f aca="true" t="shared" si="0" ref="H28:T28">_xlfn.IFERROR(H20/H$20*100,"'—")</f>
        <v>100</v>
      </c>
      <c r="I28" s="100">
        <f t="shared" si="0"/>
        <v>100</v>
      </c>
      <c r="J28" s="100">
        <f t="shared" si="0"/>
        <v>100</v>
      </c>
      <c r="K28" s="100">
        <f t="shared" si="0"/>
        <v>100</v>
      </c>
      <c r="L28" s="100">
        <f t="shared" si="0"/>
        <v>100</v>
      </c>
      <c r="M28" s="100">
        <f t="shared" si="0"/>
        <v>100</v>
      </c>
      <c r="N28" s="100">
        <f t="shared" si="0"/>
        <v>100</v>
      </c>
      <c r="O28" s="100">
        <f t="shared" si="0"/>
        <v>100</v>
      </c>
      <c r="P28" s="100">
        <f t="shared" si="0"/>
        <v>100</v>
      </c>
      <c r="Q28" s="100">
        <f t="shared" si="0"/>
        <v>100</v>
      </c>
      <c r="R28" s="100">
        <f t="shared" si="0"/>
        <v>100</v>
      </c>
      <c r="S28" s="100">
        <f t="shared" si="0"/>
        <v>100</v>
      </c>
      <c r="T28" s="107">
        <f t="shared" si="0"/>
        <v>100</v>
      </c>
      <c r="U28" s="107">
        <v>100</v>
      </c>
      <c r="V28" s="107">
        <v>100</v>
      </c>
      <c r="W28" s="261">
        <v>100</v>
      </c>
    </row>
    <row r="29" spans="3:23" ht="12.75" customHeight="1">
      <c r="C29" s="77" t="str">
        <f>VLOOKUP(32,Textbausteine!$AE$2:$AI$254,Hilfsgrössen!$D$2,FALSE)</f>
        <v>Sponsoring économique</v>
      </c>
      <c r="D29" s="67" t="str">
        <f>VLOOKUP(12,Textbausteine!$AE$2:$AI$254,Hilfsgrössen!$D$2,FALSE)</f>
        <v>%</v>
      </c>
      <c r="E29" s="11">
        <v>1</v>
      </c>
      <c r="F29" s="11" t="s">
        <v>208</v>
      </c>
      <c r="G29" s="49"/>
      <c r="H29" s="115" t="str">
        <f aca="true" t="shared" si="1" ref="H29:R29">_xlfn.IFERROR(H21/H$20*100,"—")</f>
        <v>—</v>
      </c>
      <c r="I29" s="115" t="str">
        <f t="shared" si="1"/>
        <v>—</v>
      </c>
      <c r="J29" s="115" t="str">
        <f t="shared" si="1"/>
        <v>—</v>
      </c>
      <c r="K29" s="115" t="str">
        <f t="shared" si="1"/>
        <v>—</v>
      </c>
      <c r="L29" s="115" t="str">
        <f t="shared" si="1"/>
        <v>—</v>
      </c>
      <c r="M29" s="115" t="str">
        <f t="shared" si="1"/>
        <v>—</v>
      </c>
      <c r="N29" s="115" t="str">
        <f t="shared" si="1"/>
        <v>—</v>
      </c>
      <c r="O29" s="115" t="str">
        <f t="shared" si="1"/>
        <v>—</v>
      </c>
      <c r="P29" s="115" t="str">
        <f t="shared" si="1"/>
        <v>—</v>
      </c>
      <c r="Q29" s="115" t="str">
        <f t="shared" si="1"/>
        <v>—</v>
      </c>
      <c r="R29" s="115" t="str">
        <f t="shared" si="1"/>
        <v>—</v>
      </c>
      <c r="S29" s="115">
        <f aca="true" t="shared" si="2" ref="S29:T33">_xlfn.IFERROR(S21/S$20*100,"'—")</f>
        <v>5.05050505050505</v>
      </c>
      <c r="T29" s="415">
        <f t="shared" si="2"/>
        <v>7.614213197969544</v>
      </c>
      <c r="U29" s="415">
        <v>10.072243118992178</v>
      </c>
      <c r="V29" s="415">
        <v>8.7</v>
      </c>
      <c r="W29" s="366">
        <v>7</v>
      </c>
    </row>
    <row r="30" spans="3:23" ht="12.75" customHeight="1">
      <c r="C30" s="77" t="str">
        <f>VLOOKUP(33,Textbausteine!$AE$2:$AI$254,Hilfsgrössen!$D$2,FALSE)</f>
        <v>Sponsoring sportif</v>
      </c>
      <c r="D30" s="67" t="str">
        <f>VLOOKUP(12,Textbausteine!$AE$2:$AI$254,Hilfsgrössen!$D$2,FALSE)</f>
        <v>%</v>
      </c>
      <c r="E30" s="11"/>
      <c r="F30" s="11" t="s">
        <v>208</v>
      </c>
      <c r="G30" s="49"/>
      <c r="H30" s="115">
        <f aca="true" t="shared" si="3" ref="H30:R30">_xlfn.IFERROR(H22/H$20*100,"'—")</f>
        <v>48.711803475134815</v>
      </c>
      <c r="I30" s="115">
        <f t="shared" si="3"/>
        <v>53.781512605042025</v>
      </c>
      <c r="J30" s="115">
        <f t="shared" si="3"/>
        <v>57.8537170263789</v>
      </c>
      <c r="K30" s="115">
        <f t="shared" si="3"/>
        <v>54.6831183398766</v>
      </c>
      <c r="L30" s="115">
        <f t="shared" si="3"/>
        <v>62.8103277060576</v>
      </c>
      <c r="M30" s="115">
        <f t="shared" si="3"/>
        <v>56.52173913043478</v>
      </c>
      <c r="N30" s="115">
        <f t="shared" si="3"/>
        <v>62.10526315789474</v>
      </c>
      <c r="O30" s="115">
        <f t="shared" si="3"/>
        <v>57.00483091787439</v>
      </c>
      <c r="P30" s="115">
        <f t="shared" si="3"/>
        <v>59.20398009950249</v>
      </c>
      <c r="Q30" s="115">
        <f t="shared" si="3"/>
        <v>50.24390243902439</v>
      </c>
      <c r="R30" s="115">
        <f t="shared" si="3"/>
        <v>54.314720812182735</v>
      </c>
      <c r="S30" s="115">
        <f t="shared" si="2"/>
        <v>50</v>
      </c>
      <c r="T30" s="415">
        <f t="shared" si="2"/>
        <v>52.28426395939086</v>
      </c>
      <c r="U30" s="415">
        <v>58.0094333990089</v>
      </c>
      <c r="V30" s="415">
        <v>73.2</v>
      </c>
      <c r="W30" s="366">
        <v>74.4</v>
      </c>
    </row>
    <row r="31" spans="3:23" ht="12.75" customHeight="1">
      <c r="C31" s="77" t="str">
        <f>VLOOKUP(34,Textbausteine!$AE$2:$AI$254,Hilfsgrössen!$D$2,FALSE)</f>
        <v>Sponsoring culturel</v>
      </c>
      <c r="D31" s="67" t="str">
        <f>VLOOKUP(12,Textbausteine!$AE$2:$AI$254,Hilfsgrössen!$D$2,FALSE)</f>
        <v>%</v>
      </c>
      <c r="E31" s="11"/>
      <c r="F31" s="11" t="s">
        <v>208</v>
      </c>
      <c r="G31" s="49"/>
      <c r="H31" s="115">
        <f aca="true" t="shared" si="4" ref="H31:R31">_xlfn.IFERROR(H23/H$20*100,"'—")</f>
        <v>29.418813660874775</v>
      </c>
      <c r="I31" s="115">
        <f t="shared" si="4"/>
        <v>28.795518207282917</v>
      </c>
      <c r="J31" s="115">
        <f t="shared" si="4"/>
        <v>21.762589928057555</v>
      </c>
      <c r="K31" s="115">
        <f t="shared" si="4"/>
        <v>26.079641054402693</v>
      </c>
      <c r="L31" s="115">
        <f t="shared" si="4"/>
        <v>21.201588877855013</v>
      </c>
      <c r="M31" s="115">
        <f t="shared" si="4"/>
        <v>19.32367149758454</v>
      </c>
      <c r="N31" s="115">
        <f t="shared" si="4"/>
        <v>13.684210526315791</v>
      </c>
      <c r="O31" s="115">
        <f t="shared" si="4"/>
        <v>12.077294685990337</v>
      </c>
      <c r="P31" s="115">
        <f t="shared" si="4"/>
        <v>11.442786069651739</v>
      </c>
      <c r="Q31" s="115">
        <f t="shared" si="4"/>
        <v>24.878048780487802</v>
      </c>
      <c r="R31" s="115">
        <f t="shared" si="4"/>
        <v>22.335025380710665</v>
      </c>
      <c r="S31" s="115">
        <f t="shared" si="2"/>
        <v>19.696969696969695</v>
      </c>
      <c r="T31" s="415">
        <f t="shared" si="2"/>
        <v>17.258883248730964</v>
      </c>
      <c r="U31" s="415">
        <v>17.67269687742552</v>
      </c>
      <c r="V31" s="415">
        <v>0</v>
      </c>
      <c r="W31" s="366">
        <v>0</v>
      </c>
    </row>
    <row r="32" spans="3:23" ht="12.75" customHeight="1">
      <c r="C32" s="19" t="str">
        <f>VLOOKUP(35,Textbausteine!$AE$2:$AI$254,Hilfsgrössen!$D$2,FALSE)</f>
        <v>Engagements sociaux / cadeaux / dons</v>
      </c>
      <c r="D32" s="67" t="str">
        <f>VLOOKUP(12,Textbausteine!$AE$2:$AI$254,Hilfsgrössen!$D$2,FALSE)</f>
        <v>%</v>
      </c>
      <c r="E32" s="11"/>
      <c r="F32" s="11" t="s">
        <v>208</v>
      </c>
      <c r="G32" s="49"/>
      <c r="H32" s="115">
        <f aca="true" t="shared" si="5" ref="H32:R32">_xlfn.IFERROR(H24/H$20*100,"'—")</f>
        <v>21.86938286399041</v>
      </c>
      <c r="I32" s="115">
        <f t="shared" si="5"/>
        <v>17.422969187675072</v>
      </c>
      <c r="J32" s="115">
        <f t="shared" si="5"/>
        <v>20.38369304556355</v>
      </c>
      <c r="K32" s="115">
        <f t="shared" si="5"/>
        <v>19.237240605720697</v>
      </c>
      <c r="L32" s="115">
        <f t="shared" si="5"/>
        <v>15.98808341608739</v>
      </c>
      <c r="M32" s="115">
        <f t="shared" si="5"/>
        <v>24.154589371980677</v>
      </c>
      <c r="N32" s="115">
        <f t="shared" si="5"/>
        <v>24.210526315789473</v>
      </c>
      <c r="O32" s="115">
        <f t="shared" si="5"/>
        <v>30.917874396135264</v>
      </c>
      <c r="P32" s="115">
        <f t="shared" si="5"/>
        <v>29.35323383084577</v>
      </c>
      <c r="Q32" s="115">
        <f t="shared" si="5"/>
        <v>24.878048780487802</v>
      </c>
      <c r="R32" s="115">
        <f t="shared" si="5"/>
        <v>23.350253807106597</v>
      </c>
      <c r="S32" s="115">
        <f t="shared" si="2"/>
        <v>25.252525252525253</v>
      </c>
      <c r="T32" s="415">
        <f t="shared" si="2"/>
        <v>22.842639593908633</v>
      </c>
      <c r="U32" s="415">
        <v>4.179353991283062</v>
      </c>
      <c r="V32" s="415">
        <v>4.9</v>
      </c>
      <c r="W32" s="366">
        <v>5.4</v>
      </c>
    </row>
    <row r="33" spans="3:23" ht="12.75" customHeight="1">
      <c r="C33" s="77" t="str">
        <f>VLOOKUP(36,Textbausteine!$AE$2:$AI$254,Hilfsgrössen!$D$2,FALSE)</f>
        <v>Dons à des partis politiques</v>
      </c>
      <c r="D33" s="67" t="str">
        <f>VLOOKUP(12,Textbausteine!$AE$2:$AI$254,Hilfsgrössen!$D$2,FALSE)</f>
        <v>%</v>
      </c>
      <c r="E33" s="11"/>
      <c r="F33" s="11" t="s">
        <v>209</v>
      </c>
      <c r="G33" s="49"/>
      <c r="H33" s="115">
        <f aca="true" t="shared" si="6" ref="H33:R33">_xlfn.IFERROR(H25/H$20*100,"'—")</f>
        <v>0</v>
      </c>
      <c r="I33" s="115">
        <f t="shared" si="6"/>
        <v>0</v>
      </c>
      <c r="J33" s="115">
        <f t="shared" si="6"/>
        <v>0</v>
      </c>
      <c r="K33" s="115">
        <f t="shared" si="6"/>
        <v>0</v>
      </c>
      <c r="L33" s="115">
        <f t="shared" si="6"/>
        <v>0</v>
      </c>
      <c r="M33" s="115">
        <f t="shared" si="6"/>
        <v>0</v>
      </c>
      <c r="N33" s="115">
        <f t="shared" si="6"/>
        <v>0</v>
      </c>
      <c r="O33" s="115">
        <f t="shared" si="6"/>
        <v>0</v>
      </c>
      <c r="P33" s="115">
        <f t="shared" si="6"/>
        <v>0</v>
      </c>
      <c r="Q33" s="115">
        <f t="shared" si="6"/>
        <v>0</v>
      </c>
      <c r="R33" s="115">
        <f t="shared" si="6"/>
        <v>0</v>
      </c>
      <c r="S33" s="115">
        <f t="shared" si="2"/>
        <v>0</v>
      </c>
      <c r="T33" s="415">
        <f t="shared" si="2"/>
        <v>0</v>
      </c>
      <c r="U33" s="415">
        <v>0</v>
      </c>
      <c r="V33" s="415">
        <v>0</v>
      </c>
      <c r="W33" s="366">
        <v>0</v>
      </c>
    </row>
    <row r="34" spans="3:23" ht="12.75" customHeight="1">
      <c r="C34" s="77" t="str">
        <f>VLOOKUP(37,Textbausteine!$AE$2:$AI$254,Hilfsgrössen!$D$2,FALSE)</f>
        <v>Engagements pour la Suisse</v>
      </c>
      <c r="D34" s="67" t="str">
        <f>VLOOKUP(12,Textbausteine!$AE$2:$AI$254,Hilfsgrössen!$D$2,FALSE)</f>
        <v>%</v>
      </c>
      <c r="E34" s="11"/>
      <c r="F34" s="11"/>
      <c r="G34" s="49"/>
      <c r="H34" s="340" t="s">
        <v>1470</v>
      </c>
      <c r="I34" s="340" t="s">
        <v>1470</v>
      </c>
      <c r="J34" s="340" t="s">
        <v>1470</v>
      </c>
      <c r="K34" s="340" t="s">
        <v>1470</v>
      </c>
      <c r="L34" s="340" t="s">
        <v>1470</v>
      </c>
      <c r="M34" s="340" t="s">
        <v>1470</v>
      </c>
      <c r="N34" s="340" t="s">
        <v>1470</v>
      </c>
      <c r="O34" s="340" t="s">
        <v>1470</v>
      </c>
      <c r="P34" s="340" t="s">
        <v>1470</v>
      </c>
      <c r="Q34" s="340" t="s">
        <v>1470</v>
      </c>
      <c r="R34" s="340" t="s">
        <v>1470</v>
      </c>
      <c r="S34" s="340" t="s">
        <v>1470</v>
      </c>
      <c r="T34" s="341" t="s">
        <v>1470</v>
      </c>
      <c r="U34" s="341">
        <v>10.066272613290346</v>
      </c>
      <c r="V34" s="341">
        <v>13.2</v>
      </c>
      <c r="W34" s="366">
        <v>13.2</v>
      </c>
    </row>
    <row r="35" spans="5:23" ht="12.75" customHeight="1">
      <c r="E35" s="11"/>
      <c r="F35" s="11"/>
      <c r="G35" s="49"/>
      <c r="T35" s="107"/>
      <c r="U35" s="107"/>
      <c r="V35" s="107"/>
      <c r="W35" s="107"/>
    </row>
    <row r="36" spans="2:23" ht="12.75" customHeight="1">
      <c r="B36" s="21" t="str">
        <f>VLOOKUP(201,Textbausteine!$AE$2:$AI$254,Hilfsgrössen!$D$2,FALSE)</f>
        <v>1) Depuis le 1er janvier 2015, le sponsoring économique fait explicitement partie du sponsoring de la Poste.</v>
      </c>
      <c r="E36" s="11"/>
      <c r="F36" s="11"/>
      <c r="G36" s="49"/>
      <c r="T36" s="107"/>
      <c r="U36" s="107"/>
      <c r="V36" s="107"/>
      <c r="W36" s="107"/>
    </row>
    <row r="37" spans="1:23" ht="12.75" customHeight="1">
      <c r="A37" s="66"/>
      <c r="E37" s="42"/>
      <c r="F37" s="42"/>
      <c r="G37" s="51"/>
      <c r="H37" s="107"/>
      <c r="I37" s="107"/>
      <c r="J37" s="107"/>
      <c r="K37" s="107"/>
      <c r="L37" s="107"/>
      <c r="M37" s="107"/>
      <c r="N37" s="20"/>
      <c r="O37" s="107"/>
      <c r="T37" s="107"/>
      <c r="U37" s="107"/>
      <c r="V37" s="107"/>
      <c r="W37" s="100"/>
    </row>
    <row r="38" spans="1:23" ht="12.75" customHeight="1">
      <c r="A38" s="66"/>
      <c r="E38" s="43"/>
      <c r="F38" s="43"/>
      <c r="G38" s="52"/>
      <c r="H38" s="107"/>
      <c r="I38" s="107"/>
      <c r="J38" s="107"/>
      <c r="K38" s="107"/>
      <c r="L38" s="107"/>
      <c r="M38" s="107"/>
      <c r="N38" s="20"/>
      <c r="O38" s="107"/>
      <c r="T38" s="107"/>
      <c r="U38" s="107"/>
      <c r="V38" s="107"/>
      <c r="W38" s="100"/>
    </row>
    <row r="39" spans="1:81" s="31" customFormat="1" ht="12.75" customHeight="1">
      <c r="A39" s="56" t="s">
        <v>807</v>
      </c>
      <c r="B39" s="479" t="str">
        <f>$C$8</f>
        <v>Points d'accès</v>
      </c>
      <c r="C39" s="479"/>
      <c r="D39" s="6" t="str">
        <f>VLOOKUP(32,Textbausteine!$A$2:$E$67,Hilfsgrössen!$D$2,FALSE)</f>
        <v>Unité</v>
      </c>
      <c r="E39" s="39" t="str">
        <f>VLOOKUP(33,Textbausteine!$A$2:$E$67,Hilfsgrössen!$D$2,FALSE)</f>
        <v>Notes</v>
      </c>
      <c r="F39" s="39" t="str">
        <f>VLOOKUP(34,Textbausteine!$A$2:$E$67,Hilfsgrössen!$D$2,FALSE)</f>
        <v>GRI</v>
      </c>
      <c r="G39" s="53"/>
      <c r="H39" s="117">
        <v>2004</v>
      </c>
      <c r="I39" s="117">
        <v>2005</v>
      </c>
      <c r="J39" s="117">
        <v>2006</v>
      </c>
      <c r="K39" s="117">
        <v>2007</v>
      </c>
      <c r="L39" s="117">
        <v>2008</v>
      </c>
      <c r="M39" s="117">
        <v>2009</v>
      </c>
      <c r="N39" s="117">
        <v>2010</v>
      </c>
      <c r="O39" s="117">
        <v>2011</v>
      </c>
      <c r="P39" s="117">
        <v>2012</v>
      </c>
      <c r="Q39" s="117">
        <v>2013</v>
      </c>
      <c r="R39" s="117">
        <v>2014</v>
      </c>
      <c r="S39" s="117">
        <v>2015</v>
      </c>
      <c r="T39" s="117">
        <v>2016</v>
      </c>
      <c r="U39" s="117">
        <v>2017</v>
      </c>
      <c r="V39" s="117">
        <v>2018</v>
      </c>
      <c r="W39" s="258">
        <v>2019</v>
      </c>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row>
    <row r="40" spans="1:81" s="31" customFormat="1" ht="12.75" customHeight="1">
      <c r="A40" s="55"/>
      <c r="B40" s="479"/>
      <c r="C40" s="479"/>
      <c r="D40" s="6"/>
      <c r="E40" s="37"/>
      <c r="F40" s="37"/>
      <c r="G40" s="47"/>
      <c r="H40" s="117"/>
      <c r="I40" s="117"/>
      <c r="J40" s="117"/>
      <c r="K40" s="117"/>
      <c r="L40" s="106"/>
      <c r="M40" s="106"/>
      <c r="N40" s="107"/>
      <c r="O40" s="107"/>
      <c r="P40" s="107"/>
      <c r="Q40" s="107"/>
      <c r="R40" s="107"/>
      <c r="S40" s="107"/>
      <c r="T40" s="20"/>
      <c r="U40" s="20"/>
      <c r="V40" s="20"/>
      <c r="W40" s="259"/>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row>
    <row r="41" spans="1:23" ht="12.75" customHeight="1">
      <c r="A41" s="66"/>
      <c r="B41" s="8"/>
      <c r="C41" s="9"/>
      <c r="D41" s="9"/>
      <c r="E41" s="40"/>
      <c r="F41" s="40"/>
      <c r="H41" s="117"/>
      <c r="I41" s="117"/>
      <c r="J41" s="117"/>
      <c r="K41" s="117"/>
      <c r="L41" s="106"/>
      <c r="M41" s="106"/>
      <c r="N41" s="107"/>
      <c r="O41" s="107"/>
      <c r="P41" s="107"/>
      <c r="Q41" s="107"/>
      <c r="R41" s="107"/>
      <c r="S41" s="107"/>
      <c r="W41" s="259"/>
    </row>
    <row r="42" spans="1:23" ht="12.75" customHeight="1">
      <c r="A42" s="66"/>
      <c r="B42" s="8" t="str">
        <f>VLOOKUP(37,Textbausteine!$A$2:$E$67,Hilfsgrössen!$D$2,FALSE)</f>
        <v>Groupe Suisse</v>
      </c>
      <c r="C42" s="8"/>
      <c r="D42" s="67"/>
      <c r="E42" s="40"/>
      <c r="F42" s="40"/>
      <c r="H42" s="107"/>
      <c r="I42" s="107"/>
      <c r="J42" s="107"/>
      <c r="K42" s="107"/>
      <c r="L42" s="107"/>
      <c r="M42" s="107"/>
      <c r="N42" s="107"/>
      <c r="O42" s="107"/>
      <c r="P42" s="107"/>
      <c r="Q42" s="107"/>
      <c r="R42" s="107"/>
      <c r="S42" s="107"/>
      <c r="W42" s="259"/>
    </row>
    <row r="43" spans="1:23" ht="12.75" customHeight="1">
      <c r="A43" s="66"/>
      <c r="B43" s="8"/>
      <c r="C43" s="192" t="str">
        <f>VLOOKUP(41,Textbausteine!$AE$2:$AI$254,Hilfsgrössen!$D$2,FALSE)</f>
        <v>Filiales</v>
      </c>
      <c r="D43" s="67" t="str">
        <f>VLOOKUP(13,Textbausteine!$AE$2:$AI$254,Hilfsgrössen!$D$2,FALSE)</f>
        <v>Nombre</v>
      </c>
      <c r="E43" s="40"/>
      <c r="F43" s="11" t="s">
        <v>208</v>
      </c>
      <c r="H43" s="168" t="s">
        <v>1470</v>
      </c>
      <c r="I43" s="107">
        <v>2389</v>
      </c>
      <c r="J43" s="107">
        <v>2357</v>
      </c>
      <c r="K43" s="107">
        <v>2312</v>
      </c>
      <c r="L43" s="107">
        <v>2195</v>
      </c>
      <c r="M43" s="107">
        <v>2060</v>
      </c>
      <c r="N43" s="107">
        <v>1950</v>
      </c>
      <c r="O43" s="107">
        <v>1846</v>
      </c>
      <c r="P43" s="107">
        <v>1752</v>
      </c>
      <c r="Q43" s="107">
        <v>1657</v>
      </c>
      <c r="R43" s="107">
        <v>1557</v>
      </c>
      <c r="S43" s="107">
        <v>1459</v>
      </c>
      <c r="T43" s="20">
        <v>1323</v>
      </c>
      <c r="U43" s="20">
        <v>1189</v>
      </c>
      <c r="V43" s="20">
        <v>1078</v>
      </c>
      <c r="W43" s="259">
        <v>981</v>
      </c>
    </row>
    <row r="44" spans="1:23" ht="12.75" customHeight="1">
      <c r="A44" s="66"/>
      <c r="B44" s="8"/>
      <c r="C44" s="192" t="str">
        <f>VLOOKUP(42,Textbausteine!$AE$2:$AI$254,Hilfsgrössen!$D$2,FALSE)</f>
        <v>Filiales en partenariat</v>
      </c>
      <c r="D44" s="67" t="str">
        <f>VLOOKUP(13,Textbausteine!$AE$2:$AI$254,Hilfsgrössen!$D$2,FALSE)</f>
        <v>Nombre</v>
      </c>
      <c r="E44" s="40"/>
      <c r="F44" s="11" t="s">
        <v>208</v>
      </c>
      <c r="H44" s="168" t="s">
        <v>1470</v>
      </c>
      <c r="I44" s="107">
        <v>135</v>
      </c>
      <c r="J44" s="107">
        <v>129</v>
      </c>
      <c r="K44" s="107">
        <v>150</v>
      </c>
      <c r="L44" s="107">
        <v>208</v>
      </c>
      <c r="M44" s="107">
        <v>283</v>
      </c>
      <c r="N44" s="107">
        <v>358</v>
      </c>
      <c r="O44" s="107">
        <v>427</v>
      </c>
      <c r="P44" s="107">
        <v>497</v>
      </c>
      <c r="Q44" s="107">
        <v>569</v>
      </c>
      <c r="R44" s="107">
        <v>660</v>
      </c>
      <c r="S44" s="107">
        <v>735</v>
      </c>
      <c r="T44" s="20">
        <v>849</v>
      </c>
      <c r="U44" s="20">
        <v>968</v>
      </c>
      <c r="V44" s="20">
        <v>1061</v>
      </c>
      <c r="W44" s="259">
        <v>1136</v>
      </c>
    </row>
    <row r="45" spans="3:23" ht="12.75" customHeight="1">
      <c r="C45" s="192" t="str">
        <f>VLOOKUP(43,Textbausteine!$AE$2:$AI$254,Hilfsgrössen!$D$2,FALSE)</f>
        <v>Service à domicile</v>
      </c>
      <c r="D45" s="67" t="str">
        <f>VLOOKUP(14,Textbausteine!$AE$2:$AI$254,Hilfsgrössen!$D$2,FALSE)</f>
        <v>Lieux</v>
      </c>
      <c r="E45" s="18">
        <v>1</v>
      </c>
      <c r="F45" s="11" t="s">
        <v>208</v>
      </c>
      <c r="G45" s="49"/>
      <c r="H45" s="168" t="s">
        <v>1470</v>
      </c>
      <c r="I45" s="100">
        <v>991</v>
      </c>
      <c r="J45" s="100">
        <v>1023</v>
      </c>
      <c r="K45" s="100">
        <v>1043</v>
      </c>
      <c r="L45" s="100">
        <v>1097</v>
      </c>
      <c r="M45" s="100">
        <v>1154</v>
      </c>
      <c r="N45" s="100">
        <v>1192</v>
      </c>
      <c r="O45" s="100">
        <v>1226</v>
      </c>
      <c r="P45" s="100">
        <v>1251</v>
      </c>
      <c r="Q45" s="100">
        <v>1269</v>
      </c>
      <c r="R45" s="100">
        <v>1278</v>
      </c>
      <c r="S45" s="100">
        <v>1295</v>
      </c>
      <c r="T45" s="20">
        <v>1710</v>
      </c>
      <c r="U45" s="20">
        <v>1717</v>
      </c>
      <c r="V45" s="20">
        <v>1732</v>
      </c>
      <c r="W45" s="259">
        <v>1775</v>
      </c>
    </row>
    <row r="46" spans="3:23" ht="12.75" customHeight="1">
      <c r="C46" s="192" t="str">
        <f>VLOOKUP(44,Textbausteine!$AE$2:$AI$254,Hilfsgrössen!$D$2,FALSE)</f>
        <v>Points de dépôt et de retrait</v>
      </c>
      <c r="D46" s="67" t="str">
        <f>VLOOKUP(13,Textbausteine!$AE$2:$AI$254,Hilfsgrössen!$D$2,FALSE)</f>
        <v>Nombre</v>
      </c>
      <c r="E46" s="195"/>
      <c r="F46" s="11" t="s">
        <v>208</v>
      </c>
      <c r="G46" s="49"/>
      <c r="H46" s="168" t="s">
        <v>1470</v>
      </c>
      <c r="I46" s="17">
        <v>37</v>
      </c>
      <c r="J46" s="17">
        <v>70</v>
      </c>
      <c r="K46" s="17">
        <v>71</v>
      </c>
      <c r="L46" s="17">
        <v>100</v>
      </c>
      <c r="M46" s="17">
        <v>105</v>
      </c>
      <c r="N46" s="17">
        <v>107</v>
      </c>
      <c r="O46" s="17">
        <v>103</v>
      </c>
      <c r="P46" s="17">
        <v>102</v>
      </c>
      <c r="Q46" s="17">
        <v>99</v>
      </c>
      <c r="R46" s="17">
        <v>99</v>
      </c>
      <c r="S46" s="17">
        <v>102</v>
      </c>
      <c r="T46" s="14">
        <v>208</v>
      </c>
      <c r="U46" s="14">
        <v>200</v>
      </c>
      <c r="V46" s="14">
        <v>197</v>
      </c>
      <c r="W46" s="428">
        <v>572</v>
      </c>
    </row>
    <row r="47" spans="3:23" ht="12.75" customHeight="1">
      <c r="C47" s="192" t="str">
        <f>VLOOKUP(45,Textbausteine!$AE$2:$AI$254,Hilfsgrössen!$D$2,FALSE)</f>
        <v>Automates My Post 24</v>
      </c>
      <c r="D47" s="67" t="str">
        <f>VLOOKUP(13,Textbausteine!$AE$2:$AI$254,Hilfsgrössen!$D$2,FALSE)</f>
        <v>Nombre</v>
      </c>
      <c r="E47" s="195"/>
      <c r="F47" s="11" t="s">
        <v>208</v>
      </c>
      <c r="G47" s="49"/>
      <c r="H47" s="168" t="s">
        <v>1470</v>
      </c>
      <c r="I47" s="418" t="s">
        <v>1470</v>
      </c>
      <c r="J47" s="418" t="s">
        <v>1470</v>
      </c>
      <c r="K47" s="418" t="s">
        <v>1470</v>
      </c>
      <c r="L47" s="418" t="s">
        <v>1470</v>
      </c>
      <c r="M47" s="418" t="s">
        <v>1470</v>
      </c>
      <c r="N47" s="418" t="s">
        <v>1470</v>
      </c>
      <c r="O47" s="418" t="s">
        <v>1470</v>
      </c>
      <c r="P47" s="418" t="s">
        <v>1470</v>
      </c>
      <c r="Q47" s="418" t="s">
        <v>1470</v>
      </c>
      <c r="R47" s="17">
        <v>29</v>
      </c>
      <c r="S47" s="17">
        <v>55</v>
      </c>
      <c r="T47" s="14">
        <v>80</v>
      </c>
      <c r="U47" s="14">
        <v>92</v>
      </c>
      <c r="V47" s="14">
        <v>111</v>
      </c>
      <c r="W47" s="428">
        <v>155</v>
      </c>
    </row>
    <row r="48" spans="3:23" ht="12.75" customHeight="1">
      <c r="C48" s="192" t="str">
        <f>VLOOKUP(46,Textbausteine!$AE$2:$AI$254,Hilfsgrössen!$D$2,FALSE)</f>
        <v>Points clientèle commerciale</v>
      </c>
      <c r="D48" s="67" t="str">
        <f>VLOOKUP(13,Textbausteine!$AE$2:$AI$254,Hilfsgrössen!$D$2,FALSE)</f>
        <v>Nombre</v>
      </c>
      <c r="E48" s="195">
        <v>2</v>
      </c>
      <c r="F48" s="11" t="s">
        <v>208</v>
      </c>
      <c r="G48" s="49"/>
      <c r="H48" s="168" t="s">
        <v>1470</v>
      </c>
      <c r="I48" s="418" t="s">
        <v>1470</v>
      </c>
      <c r="J48" s="418" t="s">
        <v>1470</v>
      </c>
      <c r="K48" s="418" t="s">
        <v>1470</v>
      </c>
      <c r="L48" s="418" t="s">
        <v>1470</v>
      </c>
      <c r="M48" s="418" t="s">
        <v>1470</v>
      </c>
      <c r="N48" s="418" t="s">
        <v>1470</v>
      </c>
      <c r="O48" s="418" t="s">
        <v>1470</v>
      </c>
      <c r="P48" s="418" t="s">
        <v>1470</v>
      </c>
      <c r="Q48" s="17">
        <v>6</v>
      </c>
      <c r="R48" s="17">
        <v>13</v>
      </c>
      <c r="S48" s="17">
        <v>22</v>
      </c>
      <c r="T48" s="14">
        <v>29</v>
      </c>
      <c r="U48" s="14">
        <v>92</v>
      </c>
      <c r="V48" s="14">
        <v>115</v>
      </c>
      <c r="W48" s="428">
        <v>134</v>
      </c>
    </row>
    <row r="49" spans="3:23" ht="12.75" customHeight="1">
      <c r="C49" s="192"/>
      <c r="D49" s="67"/>
      <c r="E49" s="195"/>
      <c r="F49" s="11"/>
      <c r="G49" s="49"/>
      <c r="H49" s="168"/>
      <c r="I49" s="107"/>
      <c r="J49" s="107"/>
      <c r="K49" s="107"/>
      <c r="L49" s="107"/>
      <c r="M49" s="107"/>
      <c r="N49" s="107"/>
      <c r="O49" s="107"/>
      <c r="P49" s="107"/>
      <c r="Q49" s="107"/>
      <c r="R49" s="107"/>
      <c r="S49" s="107"/>
      <c r="W49" s="259"/>
    </row>
    <row r="50" spans="2:23" ht="12.75" customHeight="1">
      <c r="B50" s="31" t="str">
        <f>VLOOKUP(49,Textbausteine!$A$2:$E$67,Hilfsgrössen!$D$2,FALSE)</f>
        <v>PostFinance</v>
      </c>
      <c r="C50" s="192"/>
      <c r="D50" s="67"/>
      <c r="E50" s="195"/>
      <c r="F50" s="11"/>
      <c r="G50" s="49"/>
      <c r="H50" s="168"/>
      <c r="I50" s="107"/>
      <c r="J50" s="107"/>
      <c r="K50" s="107"/>
      <c r="L50" s="107"/>
      <c r="M50" s="107"/>
      <c r="N50" s="107"/>
      <c r="O50" s="107"/>
      <c r="P50" s="107"/>
      <c r="Q50" s="107"/>
      <c r="R50" s="107"/>
      <c r="S50" s="107"/>
      <c r="W50" s="259"/>
    </row>
    <row r="51" spans="3:24" ht="12.75" customHeight="1">
      <c r="C51" s="192" t="str">
        <f>VLOOKUP(47,Textbausteine!$AE$2:$AI$254,Hilfsgrössen!$D$2,FALSE)</f>
        <v>Filiales PostFinance</v>
      </c>
      <c r="D51" s="67" t="str">
        <f>VLOOKUP(13,Textbausteine!$AE$2:$AI$254,Hilfsgrössen!$D$2,FALSE)</f>
        <v>Nombre</v>
      </c>
      <c r="E51" s="195"/>
      <c r="F51" s="11" t="s">
        <v>208</v>
      </c>
      <c r="G51" s="49"/>
      <c r="H51" s="427" t="s">
        <v>1470</v>
      </c>
      <c r="I51" s="418" t="s">
        <v>1470</v>
      </c>
      <c r="J51" s="17">
        <v>28</v>
      </c>
      <c r="K51" s="17">
        <v>29</v>
      </c>
      <c r="L51" s="17">
        <v>32</v>
      </c>
      <c r="M51" s="17">
        <v>38</v>
      </c>
      <c r="N51" s="17">
        <v>40</v>
      </c>
      <c r="O51" s="17">
        <v>44</v>
      </c>
      <c r="P51" s="17">
        <v>45</v>
      </c>
      <c r="Q51" s="17">
        <v>45</v>
      </c>
      <c r="R51" s="17">
        <v>44</v>
      </c>
      <c r="S51" s="17">
        <v>43</v>
      </c>
      <c r="T51" s="14">
        <v>43</v>
      </c>
      <c r="U51" s="14">
        <v>39</v>
      </c>
      <c r="V51" s="14">
        <v>39</v>
      </c>
      <c r="W51" s="428">
        <v>38</v>
      </c>
      <c r="X51" s="11"/>
    </row>
    <row r="52" spans="3:23" ht="12.75" customHeight="1">
      <c r="C52" s="193" t="str">
        <f>VLOOKUP(48,Textbausteine!$AE$2:$AI$254,Hilfsgrössen!$D$2,FALSE)</f>
        <v>Postomat</v>
      </c>
      <c r="D52" s="67" t="str">
        <f>VLOOKUP(13,Textbausteine!$AE$2:$AI$254,Hilfsgrössen!$D$2,FALSE)</f>
        <v>Nombre</v>
      </c>
      <c r="E52" s="195"/>
      <c r="F52" s="11" t="s">
        <v>208</v>
      </c>
      <c r="G52" s="49"/>
      <c r="H52" s="168" t="s">
        <v>1470</v>
      </c>
      <c r="I52" s="181" t="s">
        <v>1470</v>
      </c>
      <c r="J52" s="107">
        <v>732</v>
      </c>
      <c r="K52" s="107">
        <v>749</v>
      </c>
      <c r="L52" s="107">
        <v>774</v>
      </c>
      <c r="M52" s="107">
        <v>819</v>
      </c>
      <c r="N52" s="107">
        <v>858</v>
      </c>
      <c r="O52" s="107">
        <v>933</v>
      </c>
      <c r="P52" s="107">
        <v>971</v>
      </c>
      <c r="Q52" s="107">
        <v>982</v>
      </c>
      <c r="R52" s="107">
        <v>985</v>
      </c>
      <c r="S52" s="107">
        <v>995</v>
      </c>
      <c r="T52" s="20">
        <v>1004</v>
      </c>
      <c r="U52" s="20">
        <v>999</v>
      </c>
      <c r="V52" s="20">
        <v>984</v>
      </c>
      <c r="W52" s="259">
        <v>975</v>
      </c>
    </row>
    <row r="53" spans="2:23" ht="12.75" customHeight="1">
      <c r="B53" s="21"/>
      <c r="E53" s="11"/>
      <c r="F53" s="11"/>
      <c r="G53" s="50"/>
      <c r="T53" s="107"/>
      <c r="U53" s="107"/>
      <c r="V53" s="107"/>
      <c r="W53" s="107"/>
    </row>
    <row r="54" spans="2:23" ht="12.75" customHeight="1">
      <c r="B54" s="21" t="str">
        <f>VLOOKUP(204,Textbausteine!$AE$2:$AI$254,Hilfsgrössen!$D$2,FALSE)</f>
        <v>1) La méthode de calcul du nombre de localités proposant le service à domicile a été adaptée en 2019. Les valeurs 2016 - 2018 ont été rendues comparables.</v>
      </c>
      <c r="E54" s="11"/>
      <c r="F54" s="11"/>
      <c r="G54" s="50"/>
      <c r="T54" s="107"/>
      <c r="U54" s="107"/>
      <c r="V54" s="107"/>
      <c r="W54" s="107"/>
    </row>
    <row r="55" spans="2:23" ht="12.75" customHeight="1">
      <c r="B55" s="21" t="str">
        <f>VLOOKUP(205,Textbausteine!$AE$2:$AI$254,Hilfsgrössen!$D$2,FALSE)</f>
        <v>2) Y compris les points clientèle commerciale de PostMail et de PostLogistics à compter de 2017</v>
      </c>
      <c r="E55" s="11"/>
      <c r="F55" s="11"/>
      <c r="G55" s="50"/>
      <c r="T55" s="107"/>
      <c r="U55" s="107"/>
      <c r="V55" s="107"/>
      <c r="W55" s="107"/>
    </row>
    <row r="56" spans="5:23" ht="12.75" customHeight="1">
      <c r="E56" s="11"/>
      <c r="F56" s="11"/>
      <c r="G56" s="49"/>
      <c r="T56" s="107"/>
      <c r="U56" s="107"/>
      <c r="V56" s="107"/>
      <c r="W56" s="107"/>
    </row>
    <row r="57" spans="5:23" ht="12.75" customHeight="1">
      <c r="E57" s="11"/>
      <c r="F57" s="11"/>
      <c r="G57" s="49"/>
      <c r="T57" s="107"/>
      <c r="U57" s="107"/>
      <c r="V57" s="107"/>
      <c r="W57" s="107"/>
    </row>
    <row r="58" spans="1:81" s="31" customFormat="1" ht="12.75" customHeight="1">
      <c r="A58" s="56" t="s">
        <v>807</v>
      </c>
      <c r="B58" s="479" t="str">
        <f>$C$9</f>
        <v>Emplois dans les régions</v>
      </c>
      <c r="C58" s="479"/>
      <c r="D58" s="6" t="str">
        <f>VLOOKUP(32,Textbausteine!$A$2:$E$67,Hilfsgrössen!$D$2,FALSE)</f>
        <v>Unité</v>
      </c>
      <c r="E58" s="39" t="str">
        <f>VLOOKUP(33,Textbausteine!$A$2:$E$67,Hilfsgrössen!$D$2,FALSE)</f>
        <v>Notes</v>
      </c>
      <c r="F58" s="39" t="str">
        <f>VLOOKUP(34,Textbausteine!$A$2:$E$67,Hilfsgrössen!$D$2,FALSE)</f>
        <v>GRI</v>
      </c>
      <c r="G58" s="53"/>
      <c r="H58" s="117">
        <v>2004</v>
      </c>
      <c r="I58" s="117">
        <v>2005</v>
      </c>
      <c r="J58" s="117">
        <v>2006</v>
      </c>
      <c r="K58" s="117">
        <v>2007</v>
      </c>
      <c r="L58" s="117">
        <v>2008</v>
      </c>
      <c r="M58" s="117">
        <v>2009</v>
      </c>
      <c r="N58" s="117">
        <v>2010</v>
      </c>
      <c r="O58" s="117">
        <v>2011</v>
      </c>
      <c r="P58" s="117">
        <v>2012</v>
      </c>
      <c r="Q58" s="117">
        <v>2013</v>
      </c>
      <c r="R58" s="117">
        <v>2014</v>
      </c>
      <c r="S58" s="117">
        <v>2015</v>
      </c>
      <c r="T58" s="117">
        <v>2016</v>
      </c>
      <c r="U58" s="117">
        <v>2017</v>
      </c>
      <c r="V58" s="117">
        <v>2018</v>
      </c>
      <c r="W58" s="258">
        <v>2019</v>
      </c>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row>
    <row r="59" spans="1:81" s="31" customFormat="1" ht="12.75" customHeight="1">
      <c r="A59" s="55"/>
      <c r="B59" s="479"/>
      <c r="C59" s="479"/>
      <c r="D59" s="6"/>
      <c r="E59" s="37"/>
      <c r="F59" s="37"/>
      <c r="G59" s="47"/>
      <c r="H59" s="117"/>
      <c r="I59" s="117"/>
      <c r="J59" s="117"/>
      <c r="K59" s="117"/>
      <c r="L59" s="106"/>
      <c r="M59" s="106"/>
      <c r="N59" s="107"/>
      <c r="O59" s="107"/>
      <c r="P59" s="107"/>
      <c r="Q59" s="107"/>
      <c r="R59" s="107"/>
      <c r="S59" s="107"/>
      <c r="T59" s="20"/>
      <c r="U59" s="20"/>
      <c r="V59" s="20"/>
      <c r="W59" s="259"/>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row>
    <row r="60" spans="1:23" ht="12.75" customHeight="1">
      <c r="A60" s="66"/>
      <c r="B60" s="8"/>
      <c r="C60" s="9"/>
      <c r="D60" s="9"/>
      <c r="E60" s="40"/>
      <c r="F60" s="40"/>
      <c r="H60" s="117"/>
      <c r="I60" s="117"/>
      <c r="J60" s="117"/>
      <c r="K60" s="117"/>
      <c r="L60" s="106"/>
      <c r="M60" s="106"/>
      <c r="N60" s="107"/>
      <c r="O60" s="107"/>
      <c r="P60" s="107"/>
      <c r="Q60" s="107"/>
      <c r="R60" s="107"/>
      <c r="S60" s="107"/>
      <c r="W60" s="259"/>
    </row>
    <row r="61" spans="1:23" ht="12.75" customHeight="1">
      <c r="A61" s="66"/>
      <c r="B61" s="8" t="str">
        <f>VLOOKUP(37,Textbausteine!$A$2:$E$67,Hilfsgrössen!$D$2,FALSE)</f>
        <v>Groupe Suisse</v>
      </c>
      <c r="C61" s="9"/>
      <c r="D61" s="9"/>
      <c r="E61" s="40"/>
      <c r="F61" s="40"/>
      <c r="H61" s="117"/>
      <c r="I61" s="117"/>
      <c r="J61" s="117"/>
      <c r="K61" s="117"/>
      <c r="L61" s="106"/>
      <c r="M61" s="106"/>
      <c r="N61" s="107"/>
      <c r="O61" s="107"/>
      <c r="P61" s="107"/>
      <c r="Q61" s="107"/>
      <c r="R61" s="107"/>
      <c r="S61" s="107"/>
      <c r="W61" s="259"/>
    </row>
    <row r="62" spans="1:23" ht="12.75" customHeight="1">
      <c r="A62" s="66"/>
      <c r="B62" s="149"/>
      <c r="C62" s="8" t="str">
        <f>VLOOKUP(61,Textbausteine!$AE$2:$AI$254,Hilfsgrössen!$D$2,FALSE)</f>
        <v>Emplois par canton</v>
      </c>
      <c r="D62" s="67"/>
      <c r="E62" s="40"/>
      <c r="F62" s="40"/>
      <c r="H62" s="107"/>
      <c r="I62" s="107"/>
      <c r="J62" s="107"/>
      <c r="K62" s="107"/>
      <c r="L62" s="107"/>
      <c r="M62" s="107"/>
      <c r="N62" s="107"/>
      <c r="O62" s="107"/>
      <c r="P62" s="107"/>
      <c r="Q62" s="107"/>
      <c r="R62" s="107"/>
      <c r="S62" s="107"/>
      <c r="W62" s="259"/>
    </row>
    <row r="63" spans="3:23" ht="12.75" customHeight="1">
      <c r="C63" s="36" t="str">
        <f>VLOOKUP(89,Textbausteine!$AE$2:$AI$254,Hilfsgrössen!$D$2,FALSE)</f>
        <v>Suisse</v>
      </c>
      <c r="D63" s="1" t="str">
        <f>VLOOKUP(15,Textbausteine!$AE$2:$AI$254,Hilfsgrössen!$D$2,FALSE)</f>
        <v>Unités de personnel</v>
      </c>
      <c r="E63" s="37" t="s">
        <v>2599</v>
      </c>
      <c r="F63" s="11" t="s">
        <v>208</v>
      </c>
      <c r="H63" s="332">
        <v>41125</v>
      </c>
      <c r="I63" s="332">
        <v>39727</v>
      </c>
      <c r="J63" s="332">
        <v>38799</v>
      </c>
      <c r="K63" s="332">
        <v>37935</v>
      </c>
      <c r="L63" s="332">
        <v>37902</v>
      </c>
      <c r="M63" s="332">
        <v>37817</v>
      </c>
      <c r="N63" s="332">
        <v>37873</v>
      </c>
      <c r="O63" s="332">
        <v>37703</v>
      </c>
      <c r="P63" s="332">
        <v>37984</v>
      </c>
      <c r="Q63" s="332">
        <v>37326</v>
      </c>
      <c r="R63" s="332">
        <v>37054.48725</v>
      </c>
      <c r="S63" s="332">
        <v>36681</v>
      </c>
      <c r="T63" s="14">
        <v>36223</v>
      </c>
      <c r="U63" s="14">
        <v>35278</v>
      </c>
      <c r="V63" s="14">
        <v>33746</v>
      </c>
      <c r="W63" s="428">
        <v>33343</v>
      </c>
    </row>
    <row r="64" spans="3:23" ht="12.75" customHeight="1">
      <c r="C64" s="144" t="str">
        <f>VLOOKUP(88,Textbausteine!$AE$2:$AI$254,Hilfsgrössen!$D$2,FALSE)</f>
        <v>Zurich</v>
      </c>
      <c r="D64" s="1" t="str">
        <f>VLOOKUP(15,Textbausteine!$AE$2:$AI$254,Hilfsgrössen!$D$2,FALSE)</f>
        <v>Unités de personnel</v>
      </c>
      <c r="E64" s="37" t="s">
        <v>2599</v>
      </c>
      <c r="F64" s="11" t="s">
        <v>208</v>
      </c>
      <c r="H64" s="332">
        <v>6784</v>
      </c>
      <c r="I64" s="332">
        <v>6451</v>
      </c>
      <c r="J64" s="332">
        <v>6310</v>
      </c>
      <c r="K64" s="332">
        <v>6016</v>
      </c>
      <c r="L64" s="332">
        <v>5938</v>
      </c>
      <c r="M64" s="332">
        <v>6084.227000000001</v>
      </c>
      <c r="N64" s="332">
        <v>6331.543346650529</v>
      </c>
      <c r="O64" s="332">
        <v>6248</v>
      </c>
      <c r="P64" s="332">
        <v>6351</v>
      </c>
      <c r="Q64" s="332">
        <v>6244.6765</v>
      </c>
      <c r="R64" s="332">
        <v>6178.016500000001</v>
      </c>
      <c r="S64" s="332">
        <v>6059</v>
      </c>
      <c r="T64" s="14">
        <v>6063</v>
      </c>
      <c r="U64" s="14">
        <v>5917</v>
      </c>
      <c r="V64" s="14">
        <v>5629</v>
      </c>
      <c r="W64" s="428">
        <v>5562</v>
      </c>
    </row>
    <row r="65" spans="3:23" ht="12.75" customHeight="1">
      <c r="C65" s="220" t="str">
        <f>VLOOKUP(66,Textbausteine!$AE$2:$AI$254,Hilfsgrössen!$D$2,FALSE)</f>
        <v>Berne</v>
      </c>
      <c r="D65" s="67" t="str">
        <f>VLOOKUP(15,Textbausteine!$AE$2:$AI$254,Hilfsgrössen!$D$2,FALSE)</f>
        <v>Unités de personnel</v>
      </c>
      <c r="E65" s="37" t="s">
        <v>2599</v>
      </c>
      <c r="F65" s="11" t="s">
        <v>208</v>
      </c>
      <c r="G65" s="50"/>
      <c r="H65" s="332">
        <v>8405</v>
      </c>
      <c r="I65" s="332">
        <v>8277</v>
      </c>
      <c r="J65" s="332">
        <v>8240</v>
      </c>
      <c r="K65" s="332">
        <v>8349</v>
      </c>
      <c r="L65" s="332">
        <v>8269</v>
      </c>
      <c r="M65" s="332">
        <v>7938.211</v>
      </c>
      <c r="N65" s="332">
        <v>7973.046837838076</v>
      </c>
      <c r="O65" s="332">
        <v>7929</v>
      </c>
      <c r="P65" s="332">
        <v>8080</v>
      </c>
      <c r="Q65" s="332">
        <v>7981.5377499999995</v>
      </c>
      <c r="R65" s="332">
        <v>7975.446666666667</v>
      </c>
      <c r="S65" s="332">
        <v>8048</v>
      </c>
      <c r="T65" s="14">
        <v>8037</v>
      </c>
      <c r="U65" s="14">
        <v>7870</v>
      </c>
      <c r="V65" s="14">
        <v>7669</v>
      </c>
      <c r="W65" s="428">
        <v>7720</v>
      </c>
    </row>
    <row r="66" spans="3:24" ht="12.75" customHeight="1">
      <c r="C66" s="144" t="str">
        <f>VLOOKUP(74,Textbausteine!$AE$2:$AI$254,Hilfsgrössen!$D$2,FALSE)</f>
        <v>Lucerne</v>
      </c>
      <c r="D66" s="1" t="str">
        <f>VLOOKUP(15,Textbausteine!$AE$2:$AI$254,Hilfsgrössen!$D$2,FALSE)</f>
        <v>Unités de personnel</v>
      </c>
      <c r="E66" s="37" t="s">
        <v>2599</v>
      </c>
      <c r="F66" s="11" t="s">
        <v>208</v>
      </c>
      <c r="G66" s="49"/>
      <c r="H66" s="332">
        <v>1832</v>
      </c>
      <c r="I66" s="332">
        <v>1759</v>
      </c>
      <c r="J66" s="332">
        <v>1753</v>
      </c>
      <c r="K66" s="332">
        <v>1738</v>
      </c>
      <c r="L66" s="332">
        <v>1647</v>
      </c>
      <c r="M66" s="332">
        <v>1531.7330000000002</v>
      </c>
      <c r="N66" s="332">
        <v>1696.4962445402036</v>
      </c>
      <c r="O66" s="332">
        <v>1672</v>
      </c>
      <c r="P66" s="332">
        <v>1656</v>
      </c>
      <c r="Q66" s="332">
        <v>1631.0616666666667</v>
      </c>
      <c r="R66" s="332">
        <v>1574.9935833333334</v>
      </c>
      <c r="S66" s="332">
        <v>1644</v>
      </c>
      <c r="T66" s="17">
        <v>1612</v>
      </c>
      <c r="U66" s="17">
        <v>1532</v>
      </c>
      <c r="V66" s="17">
        <v>1407</v>
      </c>
      <c r="W66" s="414">
        <v>1346</v>
      </c>
      <c r="X66" s="11"/>
    </row>
    <row r="67" spans="3:24" ht="12.75" customHeight="1">
      <c r="C67" s="144" t="str">
        <f>VLOOKUP(84,Textbausteine!$AE$2:$AI$254,Hilfsgrössen!$D$2,FALSE)</f>
        <v>Uri</v>
      </c>
      <c r="D67" s="1" t="str">
        <f>VLOOKUP(15,Textbausteine!$AE$2:$AI$254,Hilfsgrössen!$D$2,FALSE)</f>
        <v>Unités de personnel</v>
      </c>
      <c r="E67" s="11" t="s">
        <v>1612</v>
      </c>
      <c r="F67" s="11" t="s">
        <v>208</v>
      </c>
      <c r="G67" s="51"/>
      <c r="H67" s="332">
        <v>103</v>
      </c>
      <c r="I67" s="332">
        <v>98</v>
      </c>
      <c r="J67" s="332">
        <v>99</v>
      </c>
      <c r="K67" s="332">
        <v>97</v>
      </c>
      <c r="L67" s="332">
        <v>95</v>
      </c>
      <c r="M67" s="332">
        <v>96.53399999999999</v>
      </c>
      <c r="N67" s="332">
        <v>92.97333333333334</v>
      </c>
      <c r="O67" s="332">
        <v>93</v>
      </c>
      <c r="P67" s="332">
        <v>91</v>
      </c>
      <c r="Q67" s="332">
        <v>86.51008333333333</v>
      </c>
      <c r="R67" s="332">
        <v>85.33375</v>
      </c>
      <c r="S67" s="332">
        <v>83</v>
      </c>
      <c r="T67" s="14">
        <v>80</v>
      </c>
      <c r="U67" s="14">
        <v>76</v>
      </c>
      <c r="V67" s="14">
        <v>70.2993333</v>
      </c>
      <c r="W67" s="428">
        <v>64</v>
      </c>
      <c r="X67" s="11"/>
    </row>
    <row r="68" spans="3:24" ht="12.75" customHeight="1">
      <c r="C68" s="144" t="str">
        <f>VLOOKUP(81,Textbausteine!$AE$2:$AI$254,Hilfsgrössen!$D$2,FALSE)</f>
        <v>Schwyz</v>
      </c>
      <c r="D68" s="1" t="str">
        <f>VLOOKUP(15,Textbausteine!$AE$2:$AI$254,Hilfsgrössen!$D$2,FALSE)</f>
        <v>Unités de personnel</v>
      </c>
      <c r="E68" s="37" t="s">
        <v>2599</v>
      </c>
      <c r="F68" s="11" t="s">
        <v>208</v>
      </c>
      <c r="G68" s="49"/>
      <c r="H68" s="332">
        <v>371</v>
      </c>
      <c r="I68" s="332">
        <v>365</v>
      </c>
      <c r="J68" s="332">
        <v>361</v>
      </c>
      <c r="K68" s="332">
        <v>345</v>
      </c>
      <c r="L68" s="332">
        <v>390</v>
      </c>
      <c r="M68" s="332">
        <v>386.738</v>
      </c>
      <c r="N68" s="332">
        <v>347.43000000000006</v>
      </c>
      <c r="O68" s="332">
        <v>346</v>
      </c>
      <c r="P68" s="332">
        <v>328</v>
      </c>
      <c r="Q68" s="332">
        <v>314.661</v>
      </c>
      <c r="R68" s="332">
        <v>305.14208333333335</v>
      </c>
      <c r="S68" s="332">
        <v>292</v>
      </c>
      <c r="T68" s="17">
        <v>286</v>
      </c>
      <c r="U68" s="17">
        <v>278</v>
      </c>
      <c r="V68" s="17">
        <v>273</v>
      </c>
      <c r="W68" s="414">
        <v>249</v>
      </c>
      <c r="X68" s="11"/>
    </row>
    <row r="69" spans="3:24" ht="12.75" customHeight="1">
      <c r="C69" s="144" t="str">
        <f>VLOOKUP(77,Textbausteine!$AE$2:$AI$254,Hilfsgrössen!$D$2,FALSE)</f>
        <v>Obwald</v>
      </c>
      <c r="D69" s="1" t="str">
        <f>VLOOKUP(15,Textbausteine!$AE$2:$AI$254,Hilfsgrössen!$D$2,FALSE)</f>
        <v>Unités de personnel</v>
      </c>
      <c r="E69" s="11" t="s">
        <v>1612</v>
      </c>
      <c r="F69" s="11" t="s">
        <v>208</v>
      </c>
      <c r="G69" s="49"/>
      <c r="H69" s="332">
        <v>91</v>
      </c>
      <c r="I69" s="332">
        <v>86</v>
      </c>
      <c r="J69" s="332">
        <v>86</v>
      </c>
      <c r="K69" s="332">
        <v>86</v>
      </c>
      <c r="L69" s="332">
        <v>87</v>
      </c>
      <c r="M69" s="332">
        <v>89.718</v>
      </c>
      <c r="N69" s="332">
        <v>84.68916666666668</v>
      </c>
      <c r="O69" s="332">
        <v>85</v>
      </c>
      <c r="P69" s="332">
        <v>79</v>
      </c>
      <c r="Q69" s="332">
        <v>79.33375</v>
      </c>
      <c r="R69" s="332">
        <v>76.45658333333333</v>
      </c>
      <c r="S69" s="332">
        <v>76</v>
      </c>
      <c r="T69" s="17">
        <v>70</v>
      </c>
      <c r="U69" s="17">
        <v>67</v>
      </c>
      <c r="V69" s="17">
        <v>63.5880833</v>
      </c>
      <c r="W69" s="414">
        <v>81</v>
      </c>
      <c r="X69" s="11"/>
    </row>
    <row r="70" spans="3:24" ht="12.75" customHeight="1">
      <c r="C70" s="144" t="str">
        <f>VLOOKUP(76,Textbausteine!$AE$2:$AI$254,Hilfsgrössen!$D$2,FALSE)</f>
        <v>Nidwald</v>
      </c>
      <c r="D70" s="1" t="str">
        <f>VLOOKUP(15,Textbausteine!$AE$2:$AI$254,Hilfsgrössen!$D$2,FALSE)</f>
        <v>Unités de personnel</v>
      </c>
      <c r="E70" s="11" t="s">
        <v>1612</v>
      </c>
      <c r="F70" s="11" t="s">
        <v>208</v>
      </c>
      <c r="G70" s="49"/>
      <c r="H70" s="332">
        <v>110</v>
      </c>
      <c r="I70" s="332">
        <v>108</v>
      </c>
      <c r="J70" s="332">
        <v>112</v>
      </c>
      <c r="K70" s="332">
        <v>110</v>
      </c>
      <c r="L70" s="332">
        <v>110</v>
      </c>
      <c r="M70" s="332">
        <v>109.753</v>
      </c>
      <c r="N70" s="332">
        <v>100.94333333333333</v>
      </c>
      <c r="O70" s="332">
        <v>97</v>
      </c>
      <c r="P70" s="332">
        <v>84</v>
      </c>
      <c r="Q70" s="332">
        <v>81.8785</v>
      </c>
      <c r="R70" s="332">
        <v>82.68458333333334</v>
      </c>
      <c r="S70" s="332">
        <v>79</v>
      </c>
      <c r="T70" s="17">
        <v>75</v>
      </c>
      <c r="U70" s="17">
        <v>71</v>
      </c>
      <c r="V70" s="17">
        <v>69.3375</v>
      </c>
      <c r="W70" s="414">
        <v>68</v>
      </c>
      <c r="X70" s="11"/>
    </row>
    <row r="71" spans="3:24" ht="12.75" customHeight="1">
      <c r="C71" s="144" t="str">
        <f>VLOOKUP(71,Textbausteine!$AE$2:$AI$254,Hilfsgrössen!$D$2,FALSE)</f>
        <v>Glaris</v>
      </c>
      <c r="D71" s="1" t="str">
        <f>VLOOKUP(15,Textbausteine!$AE$2:$AI$254,Hilfsgrössen!$D$2,FALSE)</f>
        <v>Unités de personnel</v>
      </c>
      <c r="E71" s="11" t="s">
        <v>1612</v>
      </c>
      <c r="F71" s="11" t="s">
        <v>208</v>
      </c>
      <c r="G71" s="49"/>
      <c r="H71" s="332">
        <v>259</v>
      </c>
      <c r="I71" s="332">
        <v>269</v>
      </c>
      <c r="J71" s="332">
        <v>256</v>
      </c>
      <c r="K71" s="332">
        <v>246</v>
      </c>
      <c r="L71" s="332">
        <v>261</v>
      </c>
      <c r="M71" s="332">
        <v>270.693</v>
      </c>
      <c r="N71" s="332">
        <v>269.86</v>
      </c>
      <c r="O71" s="332">
        <v>268</v>
      </c>
      <c r="P71" s="332">
        <v>260</v>
      </c>
      <c r="Q71" s="332">
        <v>249.2605</v>
      </c>
      <c r="R71" s="332">
        <v>239.46583333333334</v>
      </c>
      <c r="S71" s="332">
        <v>241</v>
      </c>
      <c r="T71" s="17">
        <v>239</v>
      </c>
      <c r="U71" s="17">
        <v>228</v>
      </c>
      <c r="V71" s="17">
        <v>236.7335</v>
      </c>
      <c r="W71" s="414">
        <v>277</v>
      </c>
      <c r="X71" s="11"/>
    </row>
    <row r="72" spans="3:24" ht="12.75" customHeight="1">
      <c r="C72" s="144" t="str">
        <f>VLOOKUP(87,Textbausteine!$AE$2:$AI$254,Hilfsgrössen!$D$2,FALSE)</f>
        <v>Zoug</v>
      </c>
      <c r="D72" s="1" t="str">
        <f>VLOOKUP(15,Textbausteine!$AE$2:$AI$254,Hilfsgrössen!$D$2,FALSE)</f>
        <v>Unités de personnel</v>
      </c>
      <c r="E72" s="37" t="s">
        <v>2599</v>
      </c>
      <c r="F72" s="11" t="s">
        <v>208</v>
      </c>
      <c r="G72" s="53"/>
      <c r="H72" s="332">
        <v>393</v>
      </c>
      <c r="I72" s="332">
        <v>378</v>
      </c>
      <c r="J72" s="332">
        <v>375</v>
      </c>
      <c r="K72" s="332">
        <v>367</v>
      </c>
      <c r="L72" s="332">
        <v>343</v>
      </c>
      <c r="M72" s="332">
        <v>351.768</v>
      </c>
      <c r="N72" s="332">
        <v>328.64416666666665</v>
      </c>
      <c r="O72" s="332">
        <v>327</v>
      </c>
      <c r="P72" s="332">
        <v>387</v>
      </c>
      <c r="Q72" s="332">
        <v>384.39941666666664</v>
      </c>
      <c r="R72" s="332">
        <v>367.848</v>
      </c>
      <c r="S72" s="332">
        <v>358</v>
      </c>
      <c r="T72" s="14">
        <v>344</v>
      </c>
      <c r="U72" s="14">
        <v>328</v>
      </c>
      <c r="V72" s="14">
        <v>268</v>
      </c>
      <c r="W72" s="428">
        <v>261</v>
      </c>
      <c r="X72" s="11"/>
    </row>
    <row r="73" spans="3:24" ht="12.75" customHeight="1">
      <c r="C73" s="232" t="str">
        <f>VLOOKUP(69,Textbausteine!$AE$2:$AI$254,Hilfsgrössen!$D$2,FALSE)</f>
        <v>Fribourg</v>
      </c>
      <c r="D73" s="194" t="str">
        <f>VLOOKUP(15,Textbausteine!$AE$2:$AI$254,Hilfsgrössen!$D$2,FALSE)</f>
        <v>Unités de personnel</v>
      </c>
      <c r="E73" s="11" t="s">
        <v>1612</v>
      </c>
      <c r="F73" s="11" t="s">
        <v>208</v>
      </c>
      <c r="G73" s="49"/>
      <c r="H73" s="332">
        <v>1150</v>
      </c>
      <c r="I73" s="332">
        <v>1187</v>
      </c>
      <c r="J73" s="332">
        <v>1164</v>
      </c>
      <c r="K73" s="332">
        <v>1136</v>
      </c>
      <c r="L73" s="332">
        <v>1117</v>
      </c>
      <c r="M73" s="332">
        <v>1092.145</v>
      </c>
      <c r="N73" s="332">
        <v>1078.5083333333332</v>
      </c>
      <c r="O73" s="332">
        <v>1083</v>
      </c>
      <c r="P73" s="332">
        <v>1096</v>
      </c>
      <c r="Q73" s="332">
        <v>1116.1558333333332</v>
      </c>
      <c r="R73" s="332">
        <v>1138.31925</v>
      </c>
      <c r="S73" s="332">
        <v>1132</v>
      </c>
      <c r="T73" s="14">
        <v>1098</v>
      </c>
      <c r="U73" s="14">
        <v>1054</v>
      </c>
      <c r="V73" s="14">
        <v>1041.17217</v>
      </c>
      <c r="W73" s="428">
        <v>1030</v>
      </c>
      <c r="X73" s="11"/>
    </row>
    <row r="74" spans="3:24" ht="12.75" customHeight="1">
      <c r="C74" s="144" t="str">
        <f>VLOOKUP(80,Textbausteine!$AE$2:$AI$254,Hilfsgrössen!$D$2,FALSE)</f>
        <v>Soleure</v>
      </c>
      <c r="D74" s="1" t="str">
        <f>VLOOKUP(15,Textbausteine!$AE$2:$AI$254,Hilfsgrössen!$D$2,FALSE)</f>
        <v>Unités de personnel</v>
      </c>
      <c r="E74" s="37" t="s">
        <v>2599</v>
      </c>
      <c r="F74" s="11" t="s">
        <v>208</v>
      </c>
      <c r="G74" s="49"/>
      <c r="H74" s="332">
        <v>1512</v>
      </c>
      <c r="I74" s="332">
        <v>1374</v>
      </c>
      <c r="J74" s="332">
        <v>1310</v>
      </c>
      <c r="K74" s="332">
        <v>1334</v>
      </c>
      <c r="L74" s="332">
        <v>1539</v>
      </c>
      <c r="M74" s="332">
        <v>2059.9280000000003</v>
      </c>
      <c r="N74" s="332">
        <v>2099.9425</v>
      </c>
      <c r="O74" s="332">
        <v>2134</v>
      </c>
      <c r="P74" s="332">
        <v>2228</v>
      </c>
      <c r="Q74" s="332">
        <v>2162.40225</v>
      </c>
      <c r="R74" s="332">
        <v>2154.30375</v>
      </c>
      <c r="S74" s="332">
        <v>2176</v>
      </c>
      <c r="T74" s="17">
        <v>2136</v>
      </c>
      <c r="U74" s="17">
        <v>2169</v>
      </c>
      <c r="V74" s="17">
        <v>2129</v>
      </c>
      <c r="W74" s="414">
        <v>2128</v>
      </c>
      <c r="X74" s="11"/>
    </row>
    <row r="75" spans="3:24" ht="12.75" customHeight="1">
      <c r="C75" s="219" t="str">
        <f>VLOOKUP(68,Textbausteine!$AE$2:$AI$254,Hilfsgrössen!$D$2,FALSE)</f>
        <v>Bâle-Ville</v>
      </c>
      <c r="D75" s="67" t="str">
        <f>VLOOKUP(15,Textbausteine!$AE$2:$AI$254,Hilfsgrössen!$D$2,FALSE)</f>
        <v>Unités de personnel</v>
      </c>
      <c r="E75" s="37" t="s">
        <v>2599</v>
      </c>
      <c r="F75" s="11" t="s">
        <v>208</v>
      </c>
      <c r="G75" s="49"/>
      <c r="H75" s="332">
        <v>1692</v>
      </c>
      <c r="I75" s="332">
        <v>1573</v>
      </c>
      <c r="J75" s="332">
        <v>1527</v>
      </c>
      <c r="K75" s="332">
        <v>1495</v>
      </c>
      <c r="L75" s="332">
        <v>1426</v>
      </c>
      <c r="M75" s="332">
        <v>1264.5559999999998</v>
      </c>
      <c r="N75" s="332">
        <v>1287.920005675291</v>
      </c>
      <c r="O75" s="332">
        <v>1198</v>
      </c>
      <c r="P75" s="332">
        <v>1501</v>
      </c>
      <c r="Q75" s="332">
        <v>1511.6490833333332</v>
      </c>
      <c r="R75" s="332">
        <v>1551.9482500000001</v>
      </c>
      <c r="S75" s="332">
        <v>1404</v>
      </c>
      <c r="T75" s="14">
        <v>1408</v>
      </c>
      <c r="U75" s="14">
        <v>1340</v>
      </c>
      <c r="V75" s="14">
        <v>1027</v>
      </c>
      <c r="W75" s="428">
        <v>935</v>
      </c>
      <c r="X75" s="11"/>
    </row>
    <row r="76" spans="3:24" ht="12.75" customHeight="1">
      <c r="C76" s="220" t="str">
        <f>VLOOKUP(67,Textbausteine!$AE$2:$AI$254,Hilfsgrössen!$D$2,FALSE)</f>
        <v>Bâle-Campagne</v>
      </c>
      <c r="D76" s="67" t="str">
        <f>VLOOKUP(15,Textbausteine!$AE$2:$AI$254,Hilfsgrössen!$D$2,FALSE)</f>
        <v>Unités de personnel</v>
      </c>
      <c r="E76" s="37" t="s">
        <v>2599</v>
      </c>
      <c r="F76" s="11" t="s">
        <v>208</v>
      </c>
      <c r="G76" s="49"/>
      <c r="H76" s="332">
        <v>1116</v>
      </c>
      <c r="I76" s="332">
        <v>1013</v>
      </c>
      <c r="J76" s="332">
        <v>972</v>
      </c>
      <c r="K76" s="332">
        <v>983</v>
      </c>
      <c r="L76" s="332">
        <v>1054</v>
      </c>
      <c r="M76" s="332">
        <v>1100.609</v>
      </c>
      <c r="N76" s="332">
        <v>954.1424999999999</v>
      </c>
      <c r="O76" s="332">
        <v>931</v>
      </c>
      <c r="P76" s="332">
        <v>906</v>
      </c>
      <c r="Q76" s="332">
        <v>874.6408333333334</v>
      </c>
      <c r="R76" s="332">
        <v>813.0778333333334</v>
      </c>
      <c r="S76" s="332">
        <v>784</v>
      </c>
      <c r="T76" s="14">
        <v>756</v>
      </c>
      <c r="U76" s="14">
        <v>732</v>
      </c>
      <c r="V76" s="14">
        <v>699</v>
      </c>
      <c r="W76" s="428">
        <v>630</v>
      </c>
      <c r="X76" s="11"/>
    </row>
    <row r="77" spans="3:24" ht="12.75" customHeight="1">
      <c r="C77" s="144" t="str">
        <f>VLOOKUP(79,Textbausteine!$AE$2:$AI$254,Hilfsgrössen!$D$2,FALSE)</f>
        <v>Schaffhouse</v>
      </c>
      <c r="D77" s="1" t="str">
        <f>VLOOKUP(15,Textbausteine!$AE$2:$AI$254,Hilfsgrössen!$D$2,FALSE)</f>
        <v>Unités de personnel</v>
      </c>
      <c r="E77" s="11" t="s">
        <v>1612</v>
      </c>
      <c r="F77" s="11" t="s">
        <v>208</v>
      </c>
      <c r="G77" s="49"/>
      <c r="H77" s="332">
        <v>250</v>
      </c>
      <c r="I77" s="332">
        <v>263</v>
      </c>
      <c r="J77" s="332">
        <v>272</v>
      </c>
      <c r="K77" s="332">
        <v>257</v>
      </c>
      <c r="L77" s="332">
        <v>258</v>
      </c>
      <c r="M77" s="332">
        <v>270.465</v>
      </c>
      <c r="N77" s="332">
        <v>274.5758333333333</v>
      </c>
      <c r="O77" s="332">
        <v>300</v>
      </c>
      <c r="P77" s="332">
        <v>298</v>
      </c>
      <c r="Q77" s="332">
        <v>301.18891666666667</v>
      </c>
      <c r="R77" s="332">
        <v>293.68608333333333</v>
      </c>
      <c r="S77" s="332">
        <v>307</v>
      </c>
      <c r="T77" s="17">
        <v>280</v>
      </c>
      <c r="U77" s="17">
        <v>288</v>
      </c>
      <c r="V77" s="17">
        <v>271.89</v>
      </c>
      <c r="W77" s="414">
        <v>264</v>
      </c>
      <c r="X77" s="11"/>
    </row>
    <row r="78" spans="3:24" ht="12.75" customHeight="1">
      <c r="C78" s="219" t="str">
        <f>VLOOKUP(65,Textbausteine!$AE$2:$AI$254,Hilfsgrössen!$D$2,FALSE)</f>
        <v>Appenzell Rhodes-Extérieures</v>
      </c>
      <c r="D78" s="67" t="str">
        <f>VLOOKUP(15,Textbausteine!$AE$2:$AI$254,Hilfsgrössen!$D$2,FALSE)</f>
        <v>Unités de personnel</v>
      </c>
      <c r="E78" s="11" t="s">
        <v>1612</v>
      </c>
      <c r="F78" s="11" t="s">
        <v>208</v>
      </c>
      <c r="G78" s="50"/>
      <c r="H78" s="332">
        <v>200</v>
      </c>
      <c r="I78" s="332">
        <v>192</v>
      </c>
      <c r="J78" s="332">
        <v>186</v>
      </c>
      <c r="K78" s="332">
        <v>174</v>
      </c>
      <c r="L78" s="332">
        <v>170</v>
      </c>
      <c r="M78" s="332">
        <v>169.29000000000002</v>
      </c>
      <c r="N78" s="332">
        <v>147.40916666666666</v>
      </c>
      <c r="O78" s="332">
        <v>142</v>
      </c>
      <c r="P78" s="332">
        <v>137</v>
      </c>
      <c r="Q78" s="332">
        <v>132.54058333333333</v>
      </c>
      <c r="R78" s="332">
        <v>129.78966666666668</v>
      </c>
      <c r="S78" s="332">
        <v>124</v>
      </c>
      <c r="T78" s="14">
        <v>121</v>
      </c>
      <c r="U78" s="14">
        <v>119</v>
      </c>
      <c r="V78" s="14">
        <v>114.274917</v>
      </c>
      <c r="W78" s="428">
        <v>108</v>
      </c>
      <c r="X78" s="11"/>
    </row>
    <row r="79" spans="3:24" ht="12.75" customHeight="1">
      <c r="C79" s="219" t="str">
        <f>VLOOKUP(64,Textbausteine!$AE$2:$AI$254,Hilfsgrössen!$D$2,FALSE)</f>
        <v>Appenzell Rhodes-Intérieures</v>
      </c>
      <c r="D79" s="67" t="str">
        <f>VLOOKUP(15,Textbausteine!$AE$2:$AI$254,Hilfsgrössen!$D$2,FALSE)</f>
        <v>Unités de personnel</v>
      </c>
      <c r="E79" s="11" t="s">
        <v>1612</v>
      </c>
      <c r="F79" s="11" t="s">
        <v>208</v>
      </c>
      <c r="G79" s="49"/>
      <c r="H79" s="332">
        <v>39</v>
      </c>
      <c r="I79" s="332">
        <v>40</v>
      </c>
      <c r="J79" s="332">
        <v>41</v>
      </c>
      <c r="K79" s="332">
        <v>40</v>
      </c>
      <c r="L79" s="332">
        <v>40</v>
      </c>
      <c r="M79" s="332">
        <v>41.998</v>
      </c>
      <c r="N79" s="332">
        <v>39.44666666666667</v>
      </c>
      <c r="O79" s="332">
        <v>39</v>
      </c>
      <c r="P79" s="332">
        <v>37</v>
      </c>
      <c r="Q79" s="332">
        <v>39.22291666666667</v>
      </c>
      <c r="R79" s="332">
        <v>40.095416666666665</v>
      </c>
      <c r="S79" s="332">
        <v>37</v>
      </c>
      <c r="T79" s="14">
        <v>40</v>
      </c>
      <c r="U79" s="14">
        <v>39</v>
      </c>
      <c r="V79" s="14">
        <v>38.4654167</v>
      </c>
      <c r="W79" s="428">
        <v>43</v>
      </c>
      <c r="X79" s="11"/>
    </row>
    <row r="80" spans="3:24" ht="12.75" customHeight="1">
      <c r="C80" s="144" t="str">
        <f>VLOOKUP(78,Textbausteine!$AE$2:$AI$254,Hilfsgrössen!$D$2,FALSE)</f>
        <v>Saint-Gall</v>
      </c>
      <c r="D80" s="1" t="str">
        <f>VLOOKUP(15,Textbausteine!$AE$2:$AI$254,Hilfsgrössen!$D$2,FALSE)</f>
        <v>Unités de personnel</v>
      </c>
      <c r="E80" s="37" t="s">
        <v>2599</v>
      </c>
      <c r="F80" s="11" t="s">
        <v>208</v>
      </c>
      <c r="G80" s="49"/>
      <c r="H80" s="332">
        <v>2001</v>
      </c>
      <c r="I80" s="332">
        <v>1922</v>
      </c>
      <c r="J80" s="332">
        <v>1901</v>
      </c>
      <c r="K80" s="332">
        <v>1854</v>
      </c>
      <c r="L80" s="332">
        <v>1803</v>
      </c>
      <c r="M80" s="332">
        <v>1818.324</v>
      </c>
      <c r="N80" s="332">
        <v>1912.5952319625715</v>
      </c>
      <c r="O80" s="332">
        <v>1945</v>
      </c>
      <c r="P80" s="332">
        <v>1929</v>
      </c>
      <c r="Q80" s="332">
        <v>1947.7953333333332</v>
      </c>
      <c r="R80" s="332">
        <v>2056.244333333333</v>
      </c>
      <c r="S80" s="332">
        <v>2026</v>
      </c>
      <c r="T80" s="17">
        <v>1976</v>
      </c>
      <c r="U80" s="17">
        <v>1803</v>
      </c>
      <c r="V80" s="17">
        <v>1596</v>
      </c>
      <c r="W80" s="414">
        <v>1483</v>
      </c>
      <c r="X80" s="11"/>
    </row>
    <row r="81" spans="3:24" ht="12.75" customHeight="1">
      <c r="C81" s="144" t="str">
        <f>VLOOKUP(72,Textbausteine!$AE$2:$AI$254,Hilfsgrössen!$D$2,FALSE)</f>
        <v>Grisons</v>
      </c>
      <c r="D81" s="1" t="str">
        <f>VLOOKUP(15,Textbausteine!$AE$2:$AI$254,Hilfsgrössen!$D$2,FALSE)</f>
        <v>Unités de personnel</v>
      </c>
      <c r="E81" s="11" t="s">
        <v>1612</v>
      </c>
      <c r="F81" s="11" t="s">
        <v>208</v>
      </c>
      <c r="G81" s="49"/>
      <c r="H81" s="332">
        <v>1120</v>
      </c>
      <c r="I81" s="332">
        <v>1053</v>
      </c>
      <c r="J81" s="332">
        <v>1005</v>
      </c>
      <c r="K81" s="332">
        <v>966</v>
      </c>
      <c r="L81" s="332">
        <v>946</v>
      </c>
      <c r="M81" s="332">
        <v>944.607</v>
      </c>
      <c r="N81" s="332">
        <v>934.5541666666664</v>
      </c>
      <c r="O81" s="332">
        <v>930</v>
      </c>
      <c r="P81" s="332">
        <v>911</v>
      </c>
      <c r="Q81" s="332">
        <v>899.74925</v>
      </c>
      <c r="R81" s="332">
        <v>920.70725</v>
      </c>
      <c r="S81" s="332">
        <v>901</v>
      </c>
      <c r="T81" s="17">
        <v>875</v>
      </c>
      <c r="U81" s="17">
        <v>861</v>
      </c>
      <c r="V81" s="17">
        <v>844.06225</v>
      </c>
      <c r="W81" s="414">
        <v>845</v>
      </c>
      <c r="X81" s="11"/>
    </row>
    <row r="82" spans="3:24" ht="12.75" customHeight="1">
      <c r="C82" s="309" t="str">
        <f>VLOOKUP(63,Textbausteine!$AE$2:$AI$254,Hilfsgrössen!$D$2,FALSE)</f>
        <v>Argovie</v>
      </c>
      <c r="D82" s="67" t="str">
        <f>VLOOKUP(15,Textbausteine!$AE$2:$AI$254,Hilfsgrössen!$D$2,FALSE)</f>
        <v>Unités de personnel</v>
      </c>
      <c r="E82" s="11" t="s">
        <v>1612</v>
      </c>
      <c r="F82" s="11" t="s">
        <v>208</v>
      </c>
      <c r="G82" s="49"/>
      <c r="H82" s="332">
        <v>2575</v>
      </c>
      <c r="I82" s="332">
        <v>2546</v>
      </c>
      <c r="J82" s="332">
        <v>2452</v>
      </c>
      <c r="K82" s="332">
        <v>2354</v>
      </c>
      <c r="L82" s="332">
        <v>2570</v>
      </c>
      <c r="M82" s="332">
        <v>2557.22</v>
      </c>
      <c r="N82" s="332">
        <v>2505.5350000000003</v>
      </c>
      <c r="O82" s="332">
        <v>2504</v>
      </c>
      <c r="P82" s="332">
        <v>2406</v>
      </c>
      <c r="Q82" s="332">
        <v>2228.5073333333335</v>
      </c>
      <c r="R82" s="332">
        <v>2103.5278333333335</v>
      </c>
      <c r="S82" s="332">
        <v>2008</v>
      </c>
      <c r="T82" s="14">
        <v>1983</v>
      </c>
      <c r="U82" s="14">
        <v>1904</v>
      </c>
      <c r="V82" s="14">
        <v>1918.17492</v>
      </c>
      <c r="W82" s="428">
        <v>1976</v>
      </c>
      <c r="X82" s="11"/>
    </row>
    <row r="83" spans="3:23" ht="12.75" customHeight="1">
      <c r="C83" s="144" t="str">
        <f>VLOOKUP(82,Textbausteine!$AE$2:$AI$254,Hilfsgrössen!$D$2,FALSE)</f>
        <v>Thurgovie</v>
      </c>
      <c r="D83" s="1" t="str">
        <f>VLOOKUP(15,Textbausteine!$AE$2:$AI$254,Hilfsgrössen!$D$2,FALSE)</f>
        <v>Unités de personnel</v>
      </c>
      <c r="E83" s="11" t="s">
        <v>1612</v>
      </c>
      <c r="F83" s="11" t="s">
        <v>208</v>
      </c>
      <c r="G83" s="51"/>
      <c r="H83" s="332">
        <v>1103</v>
      </c>
      <c r="I83" s="332">
        <v>1051</v>
      </c>
      <c r="J83" s="332">
        <v>1028</v>
      </c>
      <c r="K83" s="332">
        <v>1017</v>
      </c>
      <c r="L83" s="332">
        <v>1054</v>
      </c>
      <c r="M83" s="332">
        <v>1053.6889999999999</v>
      </c>
      <c r="N83" s="332">
        <v>998.7616666666667</v>
      </c>
      <c r="O83" s="332">
        <v>1014</v>
      </c>
      <c r="P83" s="332">
        <v>1018</v>
      </c>
      <c r="Q83" s="332">
        <v>1028.6684166666666</v>
      </c>
      <c r="R83" s="332">
        <v>995.8000833333333</v>
      </c>
      <c r="S83" s="332">
        <v>993</v>
      </c>
      <c r="T83" s="17">
        <v>973</v>
      </c>
      <c r="U83" s="17">
        <v>1078</v>
      </c>
      <c r="V83" s="17">
        <v>1102.99</v>
      </c>
      <c r="W83" s="414">
        <v>1124</v>
      </c>
    </row>
    <row r="84" spans="3:23" ht="12.75" customHeight="1">
      <c r="C84" s="144" t="str">
        <f>VLOOKUP(83,Textbausteine!$AE$2:$AI$254,Hilfsgrössen!$D$2,FALSE)</f>
        <v>Tessin</v>
      </c>
      <c r="D84" s="1" t="str">
        <f>VLOOKUP(15,Textbausteine!$AE$2:$AI$254,Hilfsgrössen!$D$2,FALSE)</f>
        <v>Unités de personnel</v>
      </c>
      <c r="E84" s="37" t="s">
        <v>2599</v>
      </c>
      <c r="F84" s="11" t="s">
        <v>208</v>
      </c>
      <c r="G84" s="51"/>
      <c r="H84" s="332">
        <v>1845</v>
      </c>
      <c r="I84" s="332">
        <v>1768</v>
      </c>
      <c r="J84" s="332">
        <v>1703</v>
      </c>
      <c r="K84" s="332">
        <v>1640</v>
      </c>
      <c r="L84" s="332">
        <v>1603</v>
      </c>
      <c r="M84" s="332">
        <v>1572.279</v>
      </c>
      <c r="N84" s="332">
        <v>1560.2808333333335</v>
      </c>
      <c r="O84" s="332">
        <v>1545</v>
      </c>
      <c r="P84" s="332">
        <v>1575</v>
      </c>
      <c r="Q84" s="332">
        <v>1547.4628333333333</v>
      </c>
      <c r="R84" s="332">
        <v>1523.1366666666665</v>
      </c>
      <c r="S84" s="332">
        <v>1512</v>
      </c>
      <c r="T84" s="17">
        <v>1482</v>
      </c>
      <c r="U84" s="17">
        <v>1443</v>
      </c>
      <c r="V84" s="17">
        <v>1359</v>
      </c>
      <c r="W84" s="414">
        <v>1346</v>
      </c>
    </row>
    <row r="85" spans="3:23" ht="12.75" customHeight="1">
      <c r="C85" s="144" t="str">
        <f>VLOOKUP(85,Textbausteine!$AE$2:$AI$254,Hilfsgrössen!$D$2,FALSE)</f>
        <v>Vaud</v>
      </c>
      <c r="D85" s="1" t="str">
        <f>VLOOKUP(15,Textbausteine!$AE$2:$AI$254,Hilfsgrössen!$D$2,FALSE)</f>
        <v>Unités de personnel</v>
      </c>
      <c r="E85" s="11" t="s">
        <v>1612</v>
      </c>
      <c r="F85" s="11" t="s">
        <v>208</v>
      </c>
      <c r="G85" s="52"/>
      <c r="H85" s="332">
        <v>3764</v>
      </c>
      <c r="I85" s="332">
        <v>3637</v>
      </c>
      <c r="J85" s="332">
        <v>3477</v>
      </c>
      <c r="K85" s="332">
        <v>3348</v>
      </c>
      <c r="L85" s="332">
        <v>3367</v>
      </c>
      <c r="M85" s="332">
        <v>3392.841</v>
      </c>
      <c r="N85" s="332">
        <v>3303.060833333333</v>
      </c>
      <c r="O85" s="332">
        <v>3316</v>
      </c>
      <c r="P85" s="332">
        <v>3177</v>
      </c>
      <c r="Q85" s="332">
        <v>3084.159916666667</v>
      </c>
      <c r="R85" s="332">
        <v>3059.771666666667</v>
      </c>
      <c r="S85" s="332">
        <v>3038</v>
      </c>
      <c r="T85" s="14">
        <v>2982</v>
      </c>
      <c r="U85" s="14">
        <v>2890</v>
      </c>
      <c r="V85" s="14">
        <v>2820.09217</v>
      </c>
      <c r="W85" s="428">
        <v>2799</v>
      </c>
    </row>
    <row r="86" spans="3:23" ht="12.75" customHeight="1">
      <c r="C86" s="144" t="str">
        <f>VLOOKUP(86,Textbausteine!$AE$2:$AI$254,Hilfsgrössen!$D$2,FALSE)</f>
        <v>Valais</v>
      </c>
      <c r="D86" s="1" t="str">
        <f>VLOOKUP(15,Textbausteine!$AE$2:$AI$254,Hilfsgrössen!$D$2,FALSE)</f>
        <v>Unités de personnel</v>
      </c>
      <c r="E86" s="37" t="s">
        <v>2599</v>
      </c>
      <c r="F86" s="11" t="s">
        <v>208</v>
      </c>
      <c r="G86" s="52"/>
      <c r="H86" s="332">
        <v>1142</v>
      </c>
      <c r="I86" s="332">
        <v>1109</v>
      </c>
      <c r="J86" s="332">
        <v>1074</v>
      </c>
      <c r="K86" s="332">
        <v>1038</v>
      </c>
      <c r="L86" s="332">
        <v>1047</v>
      </c>
      <c r="M86" s="332">
        <v>1047.3909999999998</v>
      </c>
      <c r="N86" s="332">
        <v>1042.2274999999997</v>
      </c>
      <c r="O86" s="332">
        <v>1059</v>
      </c>
      <c r="P86" s="332">
        <v>1062</v>
      </c>
      <c r="Q86" s="332">
        <v>1062.9904166666668</v>
      </c>
      <c r="R86" s="332">
        <v>1086.8663333333334</v>
      </c>
      <c r="S86" s="332">
        <v>1082</v>
      </c>
      <c r="T86" s="14">
        <v>1071</v>
      </c>
      <c r="U86" s="14">
        <v>1057</v>
      </c>
      <c r="V86" s="14">
        <v>1055</v>
      </c>
      <c r="W86" s="428">
        <v>1026</v>
      </c>
    </row>
    <row r="87" spans="3:23" ht="12.75" customHeight="1">
      <c r="C87" s="144" t="str">
        <f>VLOOKUP(75,Textbausteine!$AE$2:$AI$254,Hilfsgrössen!$D$2,FALSE)</f>
        <v>Neuchâtel</v>
      </c>
      <c r="D87" s="1" t="str">
        <f>VLOOKUP(15,Textbausteine!$AE$2:$AI$254,Hilfsgrössen!$D$2,FALSE)</f>
        <v>Unités de personnel</v>
      </c>
      <c r="E87" s="11" t="s">
        <v>1612</v>
      </c>
      <c r="F87" s="11" t="s">
        <v>208</v>
      </c>
      <c r="G87" s="49"/>
      <c r="H87" s="332">
        <v>743</v>
      </c>
      <c r="I87" s="332">
        <v>709</v>
      </c>
      <c r="J87" s="332">
        <v>680</v>
      </c>
      <c r="K87" s="332">
        <v>655</v>
      </c>
      <c r="L87" s="332">
        <v>645</v>
      </c>
      <c r="M87" s="332">
        <v>644.338</v>
      </c>
      <c r="N87" s="332">
        <v>632.7041666666665</v>
      </c>
      <c r="O87" s="332">
        <v>626</v>
      </c>
      <c r="P87" s="332">
        <v>597</v>
      </c>
      <c r="Q87" s="332">
        <v>590.3054166666667</v>
      </c>
      <c r="R87" s="332">
        <v>580.3514166666666</v>
      </c>
      <c r="S87" s="332">
        <v>567</v>
      </c>
      <c r="T87" s="17">
        <v>546</v>
      </c>
      <c r="U87" s="17">
        <v>519</v>
      </c>
      <c r="V87" s="17">
        <v>488.403417</v>
      </c>
      <c r="W87" s="414">
        <v>482</v>
      </c>
    </row>
    <row r="88" spans="3:23" ht="12.75" customHeight="1">
      <c r="C88" s="144" t="str">
        <f>VLOOKUP(70,Textbausteine!$AE$2:$AI$254,Hilfsgrössen!$D$2,FALSE)</f>
        <v>Genève</v>
      </c>
      <c r="D88" s="1" t="str">
        <f>VLOOKUP(15,Textbausteine!$AE$2:$AI$254,Hilfsgrössen!$D$2,FALSE)</f>
        <v>Unités de personnel</v>
      </c>
      <c r="E88" s="11" t="s">
        <v>1612</v>
      </c>
      <c r="F88" s="11" t="s">
        <v>208</v>
      </c>
      <c r="G88" s="49"/>
      <c r="H88" s="332">
        <v>2187</v>
      </c>
      <c r="I88" s="332">
        <v>2169</v>
      </c>
      <c r="J88" s="332">
        <v>2097</v>
      </c>
      <c r="K88" s="332">
        <v>1979</v>
      </c>
      <c r="L88" s="332">
        <v>1806</v>
      </c>
      <c r="M88" s="332">
        <v>1612.696</v>
      </c>
      <c r="N88" s="332">
        <v>1570.3766666666666</v>
      </c>
      <c r="O88" s="332">
        <v>1575</v>
      </c>
      <c r="P88" s="332">
        <v>1504</v>
      </c>
      <c r="Q88" s="332">
        <v>1465.8400833333335</v>
      </c>
      <c r="R88" s="332">
        <v>1431.9389999999999</v>
      </c>
      <c r="S88" s="332">
        <v>1392</v>
      </c>
      <c r="T88" s="17">
        <v>1357</v>
      </c>
      <c r="U88" s="17">
        <v>1289</v>
      </c>
      <c r="V88" s="17">
        <v>1235.62417</v>
      </c>
      <c r="W88" s="414">
        <v>1170</v>
      </c>
    </row>
    <row r="89" spans="3:23" ht="12.75" customHeight="1">
      <c r="C89" s="144" t="str">
        <f>VLOOKUP(73,Textbausteine!$AE$2:$AI$254,Hilfsgrössen!$D$2,FALSE)</f>
        <v>Jura</v>
      </c>
      <c r="D89" s="1" t="str">
        <f>VLOOKUP(15,Textbausteine!$AE$2:$AI$254,Hilfsgrössen!$D$2,FALSE)</f>
        <v>Unités de personnel</v>
      </c>
      <c r="E89" s="37" t="s">
        <v>2599</v>
      </c>
      <c r="F89" s="11" t="s">
        <v>208</v>
      </c>
      <c r="G89" s="49"/>
      <c r="H89" s="332">
        <v>338</v>
      </c>
      <c r="I89" s="332">
        <v>329</v>
      </c>
      <c r="J89" s="332">
        <v>318</v>
      </c>
      <c r="K89" s="332">
        <v>311</v>
      </c>
      <c r="L89" s="332">
        <v>317</v>
      </c>
      <c r="M89" s="332">
        <v>315.418</v>
      </c>
      <c r="N89" s="332">
        <v>305.7</v>
      </c>
      <c r="O89" s="332">
        <v>297</v>
      </c>
      <c r="P89" s="332">
        <v>286</v>
      </c>
      <c r="Q89" s="332">
        <v>279.67633333333333</v>
      </c>
      <c r="R89" s="332">
        <v>289.5348333333333</v>
      </c>
      <c r="S89" s="332">
        <v>317</v>
      </c>
      <c r="T89" s="17">
        <v>334</v>
      </c>
      <c r="U89" s="17">
        <v>326</v>
      </c>
      <c r="V89" s="17">
        <v>320</v>
      </c>
      <c r="W89" s="414">
        <v>326</v>
      </c>
    </row>
    <row r="90" spans="5:23" ht="12.75" customHeight="1">
      <c r="E90" s="13"/>
      <c r="F90" s="11"/>
      <c r="G90" s="48"/>
      <c r="T90" s="119"/>
      <c r="U90" s="119"/>
      <c r="V90" s="119"/>
      <c r="W90" s="260"/>
    </row>
    <row r="91" spans="2:23" ht="12.75" customHeight="1">
      <c r="B91" s="149"/>
      <c r="C91" s="8" t="str">
        <f>VLOOKUP(62,Textbausteine!$AE$2:$AI$254,Hilfsgrössen!$D$2,FALSE)</f>
        <v>Personnel Poste sur 100 employés par canton</v>
      </c>
      <c r="E91" s="39"/>
      <c r="F91" s="39"/>
      <c r="G91" s="49"/>
      <c r="T91" s="119"/>
      <c r="U91" s="119"/>
      <c r="V91" s="119"/>
      <c r="W91" s="260"/>
    </row>
    <row r="92" spans="3:23" ht="12.75" customHeight="1">
      <c r="C92" s="36" t="str">
        <f>VLOOKUP(89,Textbausteine!$AE$2:$AI$254,Hilfsgrössen!$D$2,FALSE)</f>
        <v>Suisse</v>
      </c>
      <c r="D92" s="67" t="str">
        <f>VLOOKUP(12,Textbausteine!$AE$2:$AI$254,Hilfsgrössen!$D$2,FALSE)</f>
        <v>%</v>
      </c>
      <c r="E92" s="13" t="s">
        <v>1586</v>
      </c>
      <c r="F92" s="11" t="s">
        <v>208</v>
      </c>
      <c r="G92" s="49"/>
      <c r="H92" s="190">
        <v>1.4108364367286998</v>
      </c>
      <c r="I92" s="190">
        <v>1.3763565711030843</v>
      </c>
      <c r="J92" s="190">
        <v>1.3358271694868376</v>
      </c>
      <c r="K92" s="190">
        <v>1.2925343995785739</v>
      </c>
      <c r="L92" s="190">
        <v>1.3026169595629598</v>
      </c>
      <c r="M92" s="190">
        <v>1.3263171993287255</v>
      </c>
      <c r="N92" s="190">
        <v>1.3361010167950553</v>
      </c>
      <c r="O92" s="190">
        <v>1.3084444302818399</v>
      </c>
      <c r="P92" s="190">
        <v>1.16</v>
      </c>
      <c r="Q92" s="190">
        <v>1.15</v>
      </c>
      <c r="R92" s="190">
        <v>1.16</v>
      </c>
      <c r="S92" s="190">
        <v>1.13</v>
      </c>
      <c r="T92" s="162">
        <v>1.12</v>
      </c>
      <c r="U92" s="162">
        <v>1.08</v>
      </c>
      <c r="V92" s="162">
        <v>1.01426694</v>
      </c>
      <c r="W92" s="263">
        <v>0.98</v>
      </c>
    </row>
    <row r="93" spans="3:23" ht="12.75" customHeight="1">
      <c r="C93" s="144" t="str">
        <f>VLOOKUP(88,Textbausteine!$AE$2:$AI$254,Hilfsgrössen!$D$2,FALSE)</f>
        <v>Zurich</v>
      </c>
      <c r="D93" s="67" t="str">
        <f>VLOOKUP(12,Textbausteine!$AE$2:$AI$254,Hilfsgrössen!$D$2,FALSE)</f>
        <v>%</v>
      </c>
      <c r="E93" s="13" t="s">
        <v>1586</v>
      </c>
      <c r="F93" s="11" t="s">
        <v>208</v>
      </c>
      <c r="G93" s="49"/>
      <c r="H93" s="190">
        <v>1.1052724449021936</v>
      </c>
      <c r="I93" s="190">
        <v>1.052315759520462</v>
      </c>
      <c r="J93" s="190">
        <v>1.017758101117737</v>
      </c>
      <c r="K93" s="190">
        <v>0.9576024398088299</v>
      </c>
      <c r="L93" s="190">
        <v>0.9426998665547045</v>
      </c>
      <c r="M93" s="190">
        <v>1.05342112607139</v>
      </c>
      <c r="N93" s="190">
        <v>1.2699964835664153</v>
      </c>
      <c r="O93" s="190">
        <v>1.1967319042714593</v>
      </c>
      <c r="P93" s="190">
        <v>1.08</v>
      </c>
      <c r="Q93" s="190">
        <v>1.05</v>
      </c>
      <c r="R93" s="190">
        <v>1.07</v>
      </c>
      <c r="S93" s="190">
        <v>1.04</v>
      </c>
      <c r="T93" s="162">
        <v>1.05</v>
      </c>
      <c r="U93" s="162">
        <v>1.02</v>
      </c>
      <c r="V93" s="162">
        <v>0.97397592</v>
      </c>
      <c r="W93" s="263">
        <v>0.95</v>
      </c>
    </row>
    <row r="94" spans="3:23" ht="12.75" customHeight="1">
      <c r="C94" s="144" t="str">
        <f>VLOOKUP(66,Textbausteine!$AE$2:$AI$254,Hilfsgrössen!$D$2,FALSE)</f>
        <v>Berne</v>
      </c>
      <c r="D94" s="67" t="str">
        <f>VLOOKUP(12,Textbausteine!$AE$2:$AI$254,Hilfsgrössen!$D$2,FALSE)</f>
        <v>%</v>
      </c>
      <c r="E94" s="13" t="s">
        <v>1586</v>
      </c>
      <c r="F94" s="11" t="s">
        <v>208</v>
      </c>
      <c r="H94" s="190">
        <v>2.441923947272641</v>
      </c>
      <c r="I94" s="190">
        <v>2.413790755042587</v>
      </c>
      <c r="J94" s="190">
        <v>2.359333978604264</v>
      </c>
      <c r="K94" s="190">
        <v>2.2824917316791415</v>
      </c>
      <c r="L94" s="190">
        <v>2.2168363848316535</v>
      </c>
      <c r="M94" s="190">
        <v>2.1918632206098776</v>
      </c>
      <c r="N94" s="190">
        <v>2.161522051779918</v>
      </c>
      <c r="O94" s="190">
        <v>2.1316871858169946</v>
      </c>
      <c r="P94" s="190">
        <v>1.93</v>
      </c>
      <c r="Q94" s="190">
        <v>1.91</v>
      </c>
      <c r="R94" s="190">
        <v>1.91</v>
      </c>
      <c r="S94" s="190">
        <v>1.92</v>
      </c>
      <c r="T94" s="162">
        <v>1.91</v>
      </c>
      <c r="U94" s="162">
        <v>1.86</v>
      </c>
      <c r="V94" s="162">
        <v>1.78132177</v>
      </c>
      <c r="W94" s="263">
        <v>1.81</v>
      </c>
    </row>
    <row r="95" spans="3:23" ht="12.75" customHeight="1">
      <c r="C95" s="144" t="str">
        <f>VLOOKUP(74,Textbausteine!$AE$2:$AI$254,Hilfsgrössen!$D$2,FALSE)</f>
        <v>Lucerne</v>
      </c>
      <c r="D95" s="67" t="str">
        <f>VLOOKUP(12,Textbausteine!$AE$2:$AI$254,Hilfsgrössen!$D$2,FALSE)</f>
        <v>%</v>
      </c>
      <c r="E95" s="13" t="s">
        <v>1586</v>
      </c>
      <c r="F95" s="11" t="s">
        <v>208</v>
      </c>
      <c r="H95" s="190">
        <v>1.3643902949750102</v>
      </c>
      <c r="I95" s="190">
        <v>1.3095296744252047</v>
      </c>
      <c r="J95" s="190">
        <v>1.2952407453242287</v>
      </c>
      <c r="K95" s="190">
        <v>1.276222909193103</v>
      </c>
      <c r="L95" s="190">
        <v>1.2420580472026141</v>
      </c>
      <c r="M95" s="190">
        <v>1.2223124101105949</v>
      </c>
      <c r="N95" s="190">
        <v>1.6291948436424248</v>
      </c>
      <c r="O95" s="190">
        <v>1.6048760237978468</v>
      </c>
      <c r="P95" s="190">
        <v>1.31</v>
      </c>
      <c r="Q95" s="190">
        <v>1.3</v>
      </c>
      <c r="R95" s="190">
        <v>1.25</v>
      </c>
      <c r="S95" s="190">
        <v>1.43</v>
      </c>
      <c r="T95" s="140">
        <v>1.42</v>
      </c>
      <c r="U95" s="140">
        <v>1.38</v>
      </c>
      <c r="V95" s="140">
        <v>1.26056634</v>
      </c>
      <c r="W95" s="262">
        <v>1.22</v>
      </c>
    </row>
    <row r="96" spans="3:23" ht="12.75" customHeight="1">
      <c r="C96" s="144" t="str">
        <f>VLOOKUP(84,Textbausteine!$AE$2:$AI$254,Hilfsgrössen!$D$2,FALSE)</f>
        <v>Uri</v>
      </c>
      <c r="D96" s="67" t="str">
        <f>VLOOKUP(12,Textbausteine!$AE$2:$AI$254,Hilfsgrössen!$D$2,FALSE)</f>
        <v>%</v>
      </c>
      <c r="E96" s="13" t="s">
        <v>1586</v>
      </c>
      <c r="F96" s="11" t="s">
        <v>208</v>
      </c>
      <c r="H96" s="190">
        <v>1.079694986166408</v>
      </c>
      <c r="I96" s="190">
        <v>1.0622624108689294</v>
      </c>
      <c r="J96" s="190">
        <v>1.0735092336414964</v>
      </c>
      <c r="K96" s="190">
        <v>1.1134354544841083</v>
      </c>
      <c r="L96" s="190">
        <v>1.1606721101288886</v>
      </c>
      <c r="M96" s="190">
        <v>1.1640461569606586</v>
      </c>
      <c r="N96" s="190">
        <v>0.9728501698270238</v>
      </c>
      <c r="O96" s="190">
        <v>0.9593539824999435</v>
      </c>
      <c r="P96" s="190">
        <v>0.85</v>
      </c>
      <c r="Q96" s="190">
        <v>0.81</v>
      </c>
      <c r="R96" s="190">
        <v>0.79</v>
      </c>
      <c r="S96" s="190">
        <v>0.78</v>
      </c>
      <c r="T96" s="162">
        <v>0.75</v>
      </c>
      <c r="U96" s="162">
        <v>0.7</v>
      </c>
      <c r="V96" s="162">
        <v>0.61658412</v>
      </c>
      <c r="W96" s="263">
        <v>0.56</v>
      </c>
    </row>
    <row r="97" spans="3:23" ht="12.75" customHeight="1">
      <c r="C97" s="144" t="str">
        <f>VLOOKUP(81,Textbausteine!$AE$2:$AI$254,Hilfsgrössen!$D$2,FALSE)</f>
        <v>Schwyz</v>
      </c>
      <c r="D97" s="67" t="str">
        <f>VLOOKUP(12,Textbausteine!$AE$2:$AI$254,Hilfsgrössen!$D$2,FALSE)</f>
        <v>%</v>
      </c>
      <c r="E97" s="13" t="s">
        <v>1586</v>
      </c>
      <c r="F97" s="11" t="s">
        <v>208</v>
      </c>
      <c r="H97" s="190">
        <v>0.9823084247982761</v>
      </c>
      <c r="I97" s="190">
        <v>0.9597554252493359</v>
      </c>
      <c r="J97" s="190">
        <v>0.9434671477973238</v>
      </c>
      <c r="K97" s="190">
        <v>0.9121435373126848</v>
      </c>
      <c r="L97" s="190">
        <v>1.0201751894730393</v>
      </c>
      <c r="M97" s="190">
        <v>1.0856061745100987</v>
      </c>
      <c r="N97" s="190">
        <v>0.8242982119090976</v>
      </c>
      <c r="O97" s="190">
        <v>0.7945059779370409</v>
      </c>
      <c r="P97" s="190">
        <v>0.62</v>
      </c>
      <c r="Q97" s="190">
        <v>0.59</v>
      </c>
      <c r="R97" s="190">
        <v>0.57</v>
      </c>
      <c r="S97" s="190">
        <v>1.52</v>
      </c>
      <c r="T97" s="162">
        <v>0.51</v>
      </c>
      <c r="U97" s="162">
        <v>0.49</v>
      </c>
      <c r="V97" s="162">
        <v>0.45962395</v>
      </c>
      <c r="W97" s="263">
        <v>0.41</v>
      </c>
    </row>
    <row r="98" spans="3:23" ht="12.75" customHeight="1">
      <c r="C98" s="144" t="str">
        <f>VLOOKUP(77,Textbausteine!$AE$2:$AI$254,Hilfsgrössen!$D$2,FALSE)</f>
        <v>Obwald</v>
      </c>
      <c r="D98" s="67" t="str">
        <f>VLOOKUP(12,Textbausteine!$AE$2:$AI$254,Hilfsgrössen!$D$2,FALSE)</f>
        <v>%</v>
      </c>
      <c r="E98" s="13" t="s">
        <v>1586</v>
      </c>
      <c r="F98" s="11" t="s">
        <v>208</v>
      </c>
      <c r="H98" s="190">
        <v>0.7740686985970004</v>
      </c>
      <c r="I98" s="190">
        <v>0.7277052088372843</v>
      </c>
      <c r="J98" s="190">
        <v>0.7302249637155298</v>
      </c>
      <c r="K98" s="190">
        <v>0.7438316400580551</v>
      </c>
      <c r="L98" s="190">
        <v>0.7801161103047896</v>
      </c>
      <c r="M98" s="190">
        <v>0.8945149975810354</v>
      </c>
      <c r="N98" s="190">
        <v>0.7720528946944041</v>
      </c>
      <c r="O98" s="190">
        <v>0.7670133849379132</v>
      </c>
      <c r="P98" s="190">
        <v>0.61</v>
      </c>
      <c r="Q98" s="190">
        <v>0.61</v>
      </c>
      <c r="R98" s="190">
        <v>0.59</v>
      </c>
      <c r="S98" s="190">
        <v>0.56</v>
      </c>
      <c r="T98" s="162">
        <v>0.52</v>
      </c>
      <c r="U98" s="162">
        <v>0.49</v>
      </c>
      <c r="V98" s="162">
        <v>0.43803576</v>
      </c>
      <c r="W98" s="263">
        <v>0.54</v>
      </c>
    </row>
    <row r="99" spans="3:23" ht="12.75" customHeight="1">
      <c r="C99" s="144" t="str">
        <f>VLOOKUP(76,Textbausteine!$AE$2:$AI$254,Hilfsgrössen!$D$2,FALSE)</f>
        <v>Nidwald</v>
      </c>
      <c r="D99" s="67" t="str">
        <f>VLOOKUP(12,Textbausteine!$AE$2:$AI$254,Hilfsgrössen!$D$2,FALSE)</f>
        <v>%</v>
      </c>
      <c r="E99" s="13" t="s">
        <v>1586</v>
      </c>
      <c r="F99" s="11" t="s">
        <v>208</v>
      </c>
      <c r="H99" s="190">
        <v>0.9169750870021544</v>
      </c>
      <c r="I99" s="190">
        <v>0.8718628588263456</v>
      </c>
      <c r="J99" s="190">
        <v>0.8704818722495351</v>
      </c>
      <c r="K99" s="190">
        <v>0.8672595702369773</v>
      </c>
      <c r="L99" s="190">
        <v>0.8893553554659449</v>
      </c>
      <c r="M99" s="190">
        <v>0.9648511296470198</v>
      </c>
      <c r="N99" s="190">
        <v>0.7986705702553906</v>
      </c>
      <c r="O99" s="190">
        <v>0.7613839326815077</v>
      </c>
      <c r="P99" s="190">
        <v>0.58</v>
      </c>
      <c r="Q99" s="190">
        <v>0.55</v>
      </c>
      <c r="R99" s="190">
        <v>0.55</v>
      </c>
      <c r="S99" s="190">
        <v>0.51</v>
      </c>
      <c r="T99" s="140">
        <v>0.48</v>
      </c>
      <c r="U99" s="140">
        <v>0.46</v>
      </c>
      <c r="V99" s="140">
        <v>0.42093979</v>
      </c>
      <c r="W99" s="262">
        <v>0.39</v>
      </c>
    </row>
    <row r="100" spans="3:23" ht="12.75" customHeight="1">
      <c r="C100" s="144" t="str">
        <f>VLOOKUP(71,Textbausteine!$AE$2:$AI$254,Hilfsgrössen!$D$2,FALSE)</f>
        <v>Glaris</v>
      </c>
      <c r="D100" s="67" t="str">
        <f>VLOOKUP(12,Textbausteine!$AE$2:$AI$254,Hilfsgrössen!$D$2,FALSE)</f>
        <v>%</v>
      </c>
      <c r="E100" s="13" t="s">
        <v>1586</v>
      </c>
      <c r="F100" s="11" t="s">
        <v>208</v>
      </c>
      <c r="H100" s="190">
        <v>1.9809162435131966</v>
      </c>
      <c r="I100" s="190">
        <v>2.0980972043970763</v>
      </c>
      <c r="J100" s="190">
        <v>2.005561445603854</v>
      </c>
      <c r="K100" s="190">
        <v>1.936275877462195</v>
      </c>
      <c r="L100" s="190">
        <v>2.0032364265386975</v>
      </c>
      <c r="M100" s="190">
        <v>2.0339266781987613</v>
      </c>
      <c r="N100" s="190">
        <v>1.9511559994791958</v>
      </c>
      <c r="O100" s="190">
        <v>1.9107006677454756</v>
      </c>
      <c r="P100" s="190">
        <v>1.61</v>
      </c>
      <c r="Q100" s="190">
        <v>1.55</v>
      </c>
      <c r="R100" s="190">
        <v>1.46</v>
      </c>
      <c r="S100" s="190">
        <v>1.46</v>
      </c>
      <c r="T100" s="162">
        <v>1.42</v>
      </c>
      <c r="U100" s="162">
        <v>1.33</v>
      </c>
      <c r="V100" s="162">
        <v>1.32967295</v>
      </c>
      <c r="W100" s="263">
        <v>1.54</v>
      </c>
    </row>
    <row r="101" spans="3:23" ht="12.75" customHeight="1">
      <c r="C101" s="144" t="str">
        <f>VLOOKUP(87,Textbausteine!$AE$2:$AI$254,Hilfsgrössen!$D$2,FALSE)</f>
        <v>Zoug</v>
      </c>
      <c r="D101" s="67" t="str">
        <f>VLOOKUP(12,Textbausteine!$AE$2:$AI$254,Hilfsgrössen!$D$2,FALSE)</f>
        <v>%</v>
      </c>
      <c r="E101" s="13" t="s">
        <v>1586</v>
      </c>
      <c r="F101" s="11" t="s">
        <v>208</v>
      </c>
      <c r="G101" s="49"/>
      <c r="H101" s="190">
        <v>0.6150167619798856</v>
      </c>
      <c r="I101" s="190">
        <v>0.5922155393413527</v>
      </c>
      <c r="J101" s="190">
        <v>0.5774255570893315</v>
      </c>
      <c r="K101" s="190">
        <v>0.5644843226188129</v>
      </c>
      <c r="L101" s="190">
        <v>0.5743443107868271</v>
      </c>
      <c r="M101" s="190">
        <v>0.6571275389469532</v>
      </c>
      <c r="N101" s="190">
        <v>0.5262768684677579</v>
      </c>
      <c r="O101" s="190">
        <v>0.5181629198711628</v>
      </c>
      <c r="P101" s="190">
        <v>0.71</v>
      </c>
      <c r="Q101" s="190">
        <v>0.71</v>
      </c>
      <c r="R101" s="190">
        <v>0.72</v>
      </c>
      <c r="S101" s="190">
        <v>0.7</v>
      </c>
      <c r="T101" s="162">
        <v>0.68</v>
      </c>
      <c r="U101" s="162">
        <v>0.65</v>
      </c>
      <c r="V101" s="162">
        <v>0.60757103</v>
      </c>
      <c r="W101" s="263">
        <v>0.43</v>
      </c>
    </row>
    <row r="102" spans="3:23" ht="12.75" customHeight="1">
      <c r="C102" s="144" t="str">
        <f>VLOOKUP(69,Textbausteine!$AE$2:$AI$254,Hilfsgrössen!$D$2,FALSE)</f>
        <v>Fribourg</v>
      </c>
      <c r="D102" s="67" t="str">
        <f>VLOOKUP(12,Textbausteine!$AE$2:$AI$254,Hilfsgrössen!$D$2,FALSE)</f>
        <v>%</v>
      </c>
      <c r="E102" s="13" t="s">
        <v>1586</v>
      </c>
      <c r="F102" s="11" t="s">
        <v>208</v>
      </c>
      <c r="H102" s="190">
        <v>1.5774245599718086</v>
      </c>
      <c r="I102" s="190">
        <v>1.6629277548375423</v>
      </c>
      <c r="J102" s="190">
        <v>1.647207745238051</v>
      </c>
      <c r="K102" s="190">
        <v>1.6302835840273013</v>
      </c>
      <c r="L102" s="190">
        <v>1.6183432501391302</v>
      </c>
      <c r="M102" s="190">
        <v>1.5040868371756588</v>
      </c>
      <c r="N102" s="190">
        <v>1.4054781732415873</v>
      </c>
      <c r="O102" s="190">
        <v>1.381057922362149</v>
      </c>
      <c r="P102" s="190">
        <v>1.12</v>
      </c>
      <c r="Q102" s="190">
        <v>1.14</v>
      </c>
      <c r="R102" s="190">
        <v>1.15</v>
      </c>
      <c r="S102" s="190">
        <v>1.13</v>
      </c>
      <c r="T102" s="162">
        <v>1.09</v>
      </c>
      <c r="U102" s="162">
        <v>1.04</v>
      </c>
      <c r="V102" s="162">
        <v>0.96203344</v>
      </c>
      <c r="W102" s="263">
        <v>0.93</v>
      </c>
    </row>
    <row r="103" spans="3:23" ht="12.75" customHeight="1">
      <c r="C103" s="144" t="str">
        <f>VLOOKUP(80,Textbausteine!$AE$2:$AI$254,Hilfsgrössen!$D$2,FALSE)</f>
        <v>Soleure</v>
      </c>
      <c r="D103" s="67" t="str">
        <f>VLOOKUP(12,Textbausteine!$AE$2:$AI$254,Hilfsgrössen!$D$2,FALSE)</f>
        <v>%</v>
      </c>
      <c r="E103" s="13" t="s">
        <v>1586</v>
      </c>
      <c r="F103" s="11" t="s">
        <v>208</v>
      </c>
      <c r="H103" s="190">
        <v>1.839974139984348</v>
      </c>
      <c r="I103" s="190">
        <v>1.7046672037910258</v>
      </c>
      <c r="J103" s="190">
        <v>1.5919677021271295</v>
      </c>
      <c r="K103" s="190">
        <v>1.5805233250535913</v>
      </c>
      <c r="L103" s="190">
        <v>1.8901629861512812</v>
      </c>
      <c r="M103" s="190">
        <v>2.2489281704038926</v>
      </c>
      <c r="N103" s="190">
        <v>2.169108056302244</v>
      </c>
      <c r="O103" s="190">
        <v>2.177047534791929</v>
      </c>
      <c r="P103" s="190">
        <v>2.24</v>
      </c>
      <c r="Q103" s="190">
        <v>2.2</v>
      </c>
      <c r="R103" s="190">
        <v>2.18</v>
      </c>
      <c r="S103" s="190">
        <v>2.21</v>
      </c>
      <c r="T103" s="162">
        <v>2.15</v>
      </c>
      <c r="U103" s="162">
        <v>2.16</v>
      </c>
      <c r="V103" s="162">
        <v>2.08412605</v>
      </c>
      <c r="W103" s="263">
        <v>1.88</v>
      </c>
    </row>
    <row r="104" spans="3:23" ht="12.75" customHeight="1">
      <c r="C104" s="144" t="str">
        <f>VLOOKUP(68,Textbausteine!$AE$2:$AI$254,Hilfsgrössen!$D$2,FALSE)</f>
        <v>Bâle-Ville</v>
      </c>
      <c r="D104" s="67" t="str">
        <f>VLOOKUP(12,Textbausteine!$AE$2:$AI$254,Hilfsgrössen!$D$2,FALSE)</f>
        <v>%</v>
      </c>
      <c r="E104" s="13" t="s">
        <v>1586</v>
      </c>
      <c r="F104" s="11" t="s">
        <v>208</v>
      </c>
      <c r="H104" s="190">
        <v>1.3629080398378837</v>
      </c>
      <c r="I104" s="190">
        <v>1.272476881669756</v>
      </c>
      <c r="J104" s="190">
        <v>1.2224932515918825</v>
      </c>
      <c r="K104" s="190">
        <v>1.1794275660561122</v>
      </c>
      <c r="L104" s="190">
        <v>1.2391215558138804</v>
      </c>
      <c r="M104" s="190">
        <v>1.0637575795658047</v>
      </c>
      <c r="N104" s="190">
        <v>1.2916051254477872</v>
      </c>
      <c r="O104" s="190">
        <v>1.2049807827243497</v>
      </c>
      <c r="P104" s="190">
        <v>1.48</v>
      </c>
      <c r="Q104" s="190">
        <v>1.53</v>
      </c>
      <c r="R104" s="190">
        <v>1.64</v>
      </c>
      <c r="S104" s="190">
        <v>1.26</v>
      </c>
      <c r="T104" s="162">
        <v>1.25</v>
      </c>
      <c r="U104" s="162">
        <v>1.18</v>
      </c>
      <c r="V104" s="162">
        <v>1.06752702</v>
      </c>
      <c r="W104" s="263">
        <v>0.93</v>
      </c>
    </row>
    <row r="105" spans="3:23" ht="12.75" customHeight="1">
      <c r="C105" s="144" t="str">
        <f>VLOOKUP(67,Textbausteine!$AE$2:$AI$254,Hilfsgrössen!$D$2,FALSE)</f>
        <v>Bâle-Campagne</v>
      </c>
      <c r="D105" s="67" t="str">
        <f>VLOOKUP(12,Textbausteine!$AE$2:$AI$254,Hilfsgrössen!$D$2,FALSE)</f>
        <v>%</v>
      </c>
      <c r="E105" s="13" t="s">
        <v>1586</v>
      </c>
      <c r="F105" s="11" t="s">
        <v>208</v>
      </c>
      <c r="H105" s="190">
        <v>1.1903326662326492</v>
      </c>
      <c r="I105" s="190">
        <v>1.0989166034653897</v>
      </c>
      <c r="J105" s="190">
        <v>1.0472556222744078</v>
      </c>
      <c r="K105" s="190">
        <v>1.0488751717985194</v>
      </c>
      <c r="L105" s="190">
        <v>1.2795473360178107</v>
      </c>
      <c r="M105" s="190">
        <v>1.4396249768925968</v>
      </c>
      <c r="N105" s="190">
        <v>0.9778785126601779</v>
      </c>
      <c r="O105" s="190">
        <v>0.9524938581192046</v>
      </c>
      <c r="P105" s="190">
        <v>0.83</v>
      </c>
      <c r="Q105" s="190">
        <v>0.8</v>
      </c>
      <c r="R105" s="190">
        <v>0.75</v>
      </c>
      <c r="S105" s="190">
        <v>0.7</v>
      </c>
      <c r="T105" s="162">
        <v>0.67</v>
      </c>
      <c r="U105" s="162">
        <v>0.64</v>
      </c>
      <c r="V105" s="162">
        <v>0.59342197</v>
      </c>
      <c r="W105" s="263">
        <v>0.53</v>
      </c>
    </row>
    <row r="106" spans="3:23" ht="12.75" customHeight="1">
      <c r="C106" s="144" t="str">
        <f>VLOOKUP(79,Textbausteine!$AE$2:$AI$254,Hilfsgrössen!$D$2,FALSE)</f>
        <v>Schaffhouse</v>
      </c>
      <c r="D106" s="67" t="str">
        <f>VLOOKUP(12,Textbausteine!$AE$2:$AI$254,Hilfsgrössen!$D$2,FALSE)</f>
        <v>%</v>
      </c>
      <c r="E106" s="13" t="s">
        <v>1586</v>
      </c>
      <c r="F106" s="11" t="s">
        <v>208</v>
      </c>
      <c r="H106" s="190">
        <v>0.9880641846494348</v>
      </c>
      <c r="I106" s="190">
        <v>1.0240736349344364</v>
      </c>
      <c r="J106" s="190">
        <v>1.030880299317577</v>
      </c>
      <c r="K106" s="190">
        <v>0.9827945089979713</v>
      </c>
      <c r="L106" s="190">
        <v>0.9880641846494348</v>
      </c>
      <c r="M106" s="190">
        <v>1.0159486733591547</v>
      </c>
      <c r="N106" s="190">
        <v>0.96918118023169</v>
      </c>
      <c r="O106" s="190">
        <v>1.031978148411632</v>
      </c>
      <c r="P106" s="190">
        <v>0.89</v>
      </c>
      <c r="Q106" s="190">
        <v>0.87</v>
      </c>
      <c r="R106" s="190">
        <v>0.85</v>
      </c>
      <c r="S106" s="190">
        <v>0.53</v>
      </c>
      <c r="T106" s="162">
        <v>0.8</v>
      </c>
      <c r="U106" s="162">
        <v>0.81</v>
      </c>
      <c r="V106" s="162">
        <v>0.75841105</v>
      </c>
      <c r="W106" s="263">
        <v>0.72</v>
      </c>
    </row>
    <row r="107" spans="3:23" ht="12.75" customHeight="1">
      <c r="C107" s="144" t="str">
        <f>VLOOKUP(65,Textbausteine!$AE$2:$AI$254,Hilfsgrössen!$D$2,FALSE)</f>
        <v>Appenzell Rhodes-Extérieures</v>
      </c>
      <c r="D107" s="67" t="str">
        <f>VLOOKUP(12,Textbausteine!$AE$2:$AI$254,Hilfsgrössen!$D$2,FALSE)</f>
        <v>%</v>
      </c>
      <c r="E107" s="13" t="s">
        <v>1586</v>
      </c>
      <c r="F107" s="11" t="s">
        <v>208</v>
      </c>
      <c r="H107" s="190">
        <v>1.36986301369863</v>
      </c>
      <c r="I107" s="190">
        <v>1.3588029893665765</v>
      </c>
      <c r="J107" s="190">
        <v>1.2975778546712802</v>
      </c>
      <c r="K107" s="190">
        <v>1.1850026070057353</v>
      </c>
      <c r="L107" s="190">
        <v>1.1707825757216666</v>
      </c>
      <c r="M107" s="190">
        <v>1.275456226003697</v>
      </c>
      <c r="N107" s="190">
        <v>0.9444470777835711</v>
      </c>
      <c r="O107" s="190">
        <v>0.8923069630753186</v>
      </c>
      <c r="P107" s="190">
        <v>0.77</v>
      </c>
      <c r="Q107" s="190">
        <v>0.76</v>
      </c>
      <c r="R107" s="190">
        <v>0.73</v>
      </c>
      <c r="S107" s="190">
        <v>0.67</v>
      </c>
      <c r="T107" s="162">
        <v>0.66</v>
      </c>
      <c r="U107" s="162">
        <v>0.64</v>
      </c>
      <c r="V107" s="162">
        <v>0.58383234</v>
      </c>
      <c r="W107" s="263">
        <v>0.55</v>
      </c>
    </row>
    <row r="108" spans="3:23" ht="12.75" customHeight="1">
      <c r="C108" s="144" t="str">
        <f>VLOOKUP(64,Textbausteine!$AE$2:$AI$254,Hilfsgrössen!$D$2,FALSE)</f>
        <v>Appenzell Rhodes-Intérieures</v>
      </c>
      <c r="D108" s="67" t="str">
        <f>VLOOKUP(12,Textbausteine!$AE$2:$AI$254,Hilfsgrössen!$D$2,FALSE)</f>
        <v>%</v>
      </c>
      <c r="E108" s="13" t="s">
        <v>1586</v>
      </c>
      <c r="F108" s="11" t="s">
        <v>208</v>
      </c>
      <c r="H108" s="190">
        <v>0.9990173599737963</v>
      </c>
      <c r="I108" s="190">
        <v>1.009935582487171</v>
      </c>
      <c r="J108" s="190">
        <v>1.0426902500272954</v>
      </c>
      <c r="K108" s="190">
        <v>1.0317720275139208</v>
      </c>
      <c r="L108" s="190">
        <v>1.0645266950540453</v>
      </c>
      <c r="M108" s="190">
        <v>1.151867016049787</v>
      </c>
      <c r="N108" s="190">
        <v>0.9457910252210942</v>
      </c>
      <c r="O108" s="190">
        <v>0.918495468937657</v>
      </c>
      <c r="P108" s="190">
        <v>0.74</v>
      </c>
      <c r="Q108" s="190">
        <v>0.77</v>
      </c>
      <c r="R108" s="190">
        <v>0.79</v>
      </c>
      <c r="S108" s="190">
        <v>0.74</v>
      </c>
      <c r="T108" s="162">
        <v>0.79</v>
      </c>
      <c r="U108" s="162">
        <v>0.76</v>
      </c>
      <c r="V108" s="162">
        <v>0.7122235</v>
      </c>
      <c r="W108" s="263">
        <v>0.78</v>
      </c>
    </row>
    <row r="109" spans="3:23" ht="12.75" customHeight="1">
      <c r="C109" s="144" t="str">
        <f>VLOOKUP(78,Textbausteine!$AE$2:$AI$254,Hilfsgrössen!$D$2,FALSE)</f>
        <v>Saint-Gall</v>
      </c>
      <c r="D109" s="67" t="str">
        <f>VLOOKUP(12,Textbausteine!$AE$2:$AI$254,Hilfsgrössen!$D$2,FALSE)</f>
        <v>%</v>
      </c>
      <c r="E109" s="13" t="s">
        <v>1586</v>
      </c>
      <c r="F109" s="11" t="s">
        <v>208</v>
      </c>
      <c r="H109" s="190">
        <v>1.1738766005062162</v>
      </c>
      <c r="I109" s="190">
        <v>1.13272416721376</v>
      </c>
      <c r="J109" s="190">
        <v>1.1278878143017375</v>
      </c>
      <c r="K109" s="190">
        <v>1.1107027982278304</v>
      </c>
      <c r="L109" s="190">
        <v>1.0958383741623277</v>
      </c>
      <c r="M109" s="190">
        <v>1.1529908459921796</v>
      </c>
      <c r="N109" s="190">
        <v>1.303440435142922</v>
      </c>
      <c r="O109" s="190">
        <v>1.340034711182864</v>
      </c>
      <c r="P109" s="190">
        <v>1.17</v>
      </c>
      <c r="Q109" s="190">
        <v>1.3</v>
      </c>
      <c r="R109" s="190">
        <v>1.55</v>
      </c>
      <c r="S109" s="190">
        <v>0.99</v>
      </c>
      <c r="T109" s="162">
        <v>1.45</v>
      </c>
      <c r="U109" s="162">
        <v>1.34</v>
      </c>
      <c r="V109" s="162">
        <v>1.18714389</v>
      </c>
      <c r="W109" s="263">
        <v>1.08</v>
      </c>
    </row>
    <row r="110" spans="3:23" ht="12.75" customHeight="1">
      <c r="C110" s="144" t="str">
        <f>VLOOKUP(72,Textbausteine!$AE$2:$AI$254,Hilfsgrössen!$D$2,FALSE)</f>
        <v>Grisons</v>
      </c>
      <c r="D110" s="67" t="str">
        <f>VLOOKUP(12,Textbausteine!$AE$2:$AI$254,Hilfsgrössen!$D$2,FALSE)</f>
        <v>%</v>
      </c>
      <c r="E110" s="13" t="s">
        <v>1586</v>
      </c>
      <c r="F110" s="11" t="s">
        <v>208</v>
      </c>
      <c r="H110" s="190">
        <v>1.7506620150477072</v>
      </c>
      <c r="I110" s="190">
        <v>1.6917286649012935</v>
      </c>
      <c r="J110" s="190">
        <v>1.6386623793311195</v>
      </c>
      <c r="K110" s="190">
        <v>1.5867344794249925</v>
      </c>
      <c r="L110" s="190">
        <v>1.6266655457946282</v>
      </c>
      <c r="M110" s="190">
        <v>1.585158253120928</v>
      </c>
      <c r="N110" s="190">
        <v>1.3943473022011126</v>
      </c>
      <c r="O110" s="190">
        <v>1.359933027895703</v>
      </c>
      <c r="P110" s="190">
        <v>1.07</v>
      </c>
      <c r="Q110" s="190">
        <v>1.05</v>
      </c>
      <c r="R110" s="190">
        <v>1.06</v>
      </c>
      <c r="S110" s="190">
        <v>1.03</v>
      </c>
      <c r="T110" s="297">
        <v>1</v>
      </c>
      <c r="U110" s="297">
        <v>0.97</v>
      </c>
      <c r="V110" s="297">
        <v>0.92750657</v>
      </c>
      <c r="W110" s="264">
        <v>0.92</v>
      </c>
    </row>
    <row r="111" spans="3:23" ht="12.75" customHeight="1">
      <c r="C111" s="144" t="str">
        <f>VLOOKUP(63,Textbausteine!$AE$2:$AI$254,Hilfsgrössen!$D$2,FALSE)</f>
        <v>Argovie</v>
      </c>
      <c r="D111" s="67" t="str">
        <f>VLOOKUP(12,Textbausteine!$AE$2:$AI$254,Hilfsgrössen!$D$2,FALSE)</f>
        <v>%</v>
      </c>
      <c r="E111" s="13" t="s">
        <v>1586</v>
      </c>
      <c r="F111" s="11" t="s">
        <v>208</v>
      </c>
      <c r="G111" s="46"/>
      <c r="H111" s="190">
        <v>1.309817049549385</v>
      </c>
      <c r="I111" s="190">
        <v>1.3080356761751266</v>
      </c>
      <c r="J111" s="190">
        <v>1.252343102920707</v>
      </c>
      <c r="K111" s="190">
        <v>1.206391205514096</v>
      </c>
      <c r="L111" s="190">
        <v>1.2970258674248791</v>
      </c>
      <c r="M111" s="190">
        <v>1.2784483199695935</v>
      </c>
      <c r="N111" s="190">
        <v>1.179590633443703</v>
      </c>
      <c r="O111" s="190">
        <v>1.1588067898031134</v>
      </c>
      <c r="P111" s="190">
        <v>0.98</v>
      </c>
      <c r="Q111" s="190">
        <v>0.91</v>
      </c>
      <c r="R111" s="190">
        <v>0.86</v>
      </c>
      <c r="S111" s="190">
        <v>0.81</v>
      </c>
      <c r="T111" s="140">
        <v>0.79</v>
      </c>
      <c r="U111" s="140">
        <v>0.75</v>
      </c>
      <c r="V111" s="140">
        <v>0.72422097</v>
      </c>
      <c r="W111" s="262">
        <v>0.73</v>
      </c>
    </row>
    <row r="112" spans="3:23" ht="12.75" customHeight="1">
      <c r="C112" s="144" t="str">
        <f>VLOOKUP(82,Textbausteine!$AE$2:$AI$254,Hilfsgrössen!$D$2,FALSE)</f>
        <v>Thurgovie</v>
      </c>
      <c r="D112" s="67" t="str">
        <f>VLOOKUP(12,Textbausteine!$AE$2:$AI$254,Hilfsgrössen!$D$2,FALSE)</f>
        <v>%</v>
      </c>
      <c r="E112" s="13" t="s">
        <v>1586</v>
      </c>
      <c r="F112" s="11" t="s">
        <v>208</v>
      </c>
      <c r="H112" s="190">
        <v>1.4557934734440263</v>
      </c>
      <c r="I112" s="190">
        <v>1.3977283084572423</v>
      </c>
      <c r="J112" s="190">
        <v>1.356634829041697</v>
      </c>
      <c r="K112" s="190">
        <v>1.3369916744453558</v>
      </c>
      <c r="L112" s="190">
        <v>1.3643349456434626</v>
      </c>
      <c r="M112" s="190">
        <v>1.4631007269538654</v>
      </c>
      <c r="N112" s="190">
        <v>1.229111469402251</v>
      </c>
      <c r="O112" s="190">
        <v>1.2201541909063194</v>
      </c>
      <c r="P112" s="190">
        <v>1.09</v>
      </c>
      <c r="Q112" s="190">
        <v>1.09</v>
      </c>
      <c r="R112" s="190">
        <v>1.05</v>
      </c>
      <c r="S112" s="190">
        <v>0.97</v>
      </c>
      <c r="T112" s="162">
        <v>1</v>
      </c>
      <c r="U112" s="162">
        <v>1.09</v>
      </c>
      <c r="V112" s="162">
        <v>1.07594028</v>
      </c>
      <c r="W112" s="263">
        <v>1.07</v>
      </c>
    </row>
    <row r="113" spans="3:23" ht="12.75" customHeight="1">
      <c r="C113" s="144" t="str">
        <f>VLOOKUP(83,Textbausteine!$AE$2:$AI$254,Hilfsgrössen!$D$2,FALSE)</f>
        <v>Tessin</v>
      </c>
      <c r="D113" s="67" t="str">
        <f>VLOOKUP(12,Textbausteine!$AE$2:$AI$254,Hilfsgrössen!$D$2,FALSE)</f>
        <v>%</v>
      </c>
      <c r="E113" s="13" t="s">
        <v>1586</v>
      </c>
      <c r="F113" s="11" t="s">
        <v>208</v>
      </c>
      <c r="H113" s="190">
        <v>1.3728575442540039</v>
      </c>
      <c r="I113" s="190">
        <v>1.338198342102172</v>
      </c>
      <c r="J113" s="190">
        <v>1.303317841169236</v>
      </c>
      <c r="K113" s="190">
        <v>1.2891261590334364</v>
      </c>
      <c r="L113" s="190">
        <v>1.2655240236021355</v>
      </c>
      <c r="M113" s="190">
        <v>1.2258595110986232</v>
      </c>
      <c r="N113" s="190">
        <v>1.132106396927976</v>
      </c>
      <c r="O113" s="190">
        <v>1.1130467359745249</v>
      </c>
      <c r="P113" s="190">
        <v>1.03</v>
      </c>
      <c r="Q113" s="190">
        <v>1.02</v>
      </c>
      <c r="R113" s="190">
        <v>1.01</v>
      </c>
      <c r="S113" s="190">
        <v>1.02</v>
      </c>
      <c r="T113" s="162">
        <v>0.96</v>
      </c>
      <c r="U113" s="162">
        <v>0.93</v>
      </c>
      <c r="V113" s="162">
        <v>0.83160433</v>
      </c>
      <c r="W113" s="263">
        <v>0.82</v>
      </c>
    </row>
    <row r="114" spans="3:23" ht="12.75" customHeight="1">
      <c r="C114" s="144" t="str">
        <f>VLOOKUP(85,Textbausteine!$AE$2:$AI$254,Hilfsgrössen!$D$2,FALSE)</f>
        <v>Vaud</v>
      </c>
      <c r="D114" s="67" t="str">
        <f>VLOOKUP(12,Textbausteine!$AE$2:$AI$254,Hilfsgrössen!$D$2,FALSE)</f>
        <v>%</v>
      </c>
      <c r="E114" s="13" t="s">
        <v>1586</v>
      </c>
      <c r="F114" s="11" t="s">
        <v>208</v>
      </c>
      <c r="H114" s="190">
        <v>1.4888809754779768</v>
      </c>
      <c r="I114" s="190">
        <v>1.4629350775832723</v>
      </c>
      <c r="J114" s="190">
        <v>1.4029073464613198</v>
      </c>
      <c r="K114" s="190">
        <v>1.354728194800889</v>
      </c>
      <c r="L114" s="190">
        <v>1.3767185481091746</v>
      </c>
      <c r="M114" s="190">
        <v>1.3737867922443114</v>
      </c>
      <c r="N114" s="190">
        <v>1.305047664656933</v>
      </c>
      <c r="O114" s="190">
        <v>1.290926319322503</v>
      </c>
      <c r="P114" s="190">
        <v>1.01</v>
      </c>
      <c r="Q114" s="190">
        <v>0.97</v>
      </c>
      <c r="R114" s="190">
        <v>0.96</v>
      </c>
      <c r="S114" s="190">
        <v>0.94</v>
      </c>
      <c r="T114" s="162">
        <v>0.93</v>
      </c>
      <c r="U114" s="162">
        <v>0.9</v>
      </c>
      <c r="V114" s="162">
        <v>0.83015677</v>
      </c>
      <c r="W114" s="263">
        <v>0.81</v>
      </c>
    </row>
    <row r="115" spans="3:23" ht="12.75" customHeight="1">
      <c r="C115" s="144" t="str">
        <f>VLOOKUP(86,Textbausteine!$AE$2:$AI$254,Hilfsgrössen!$D$2,FALSE)</f>
        <v>Valais</v>
      </c>
      <c r="D115" s="67" t="str">
        <f>VLOOKUP(12,Textbausteine!$AE$2:$AI$254,Hilfsgrössen!$D$2,FALSE)</f>
        <v>%</v>
      </c>
      <c r="E115" s="13" t="s">
        <v>1586</v>
      </c>
      <c r="F115" s="11" t="s">
        <v>208</v>
      </c>
      <c r="G115" s="49"/>
      <c r="H115" s="190">
        <v>1.2505175348473463</v>
      </c>
      <c r="I115" s="190">
        <v>1.2424765767561683</v>
      </c>
      <c r="J115" s="190">
        <v>1.218059793803894</v>
      </c>
      <c r="K115" s="190">
        <v>1.2198488031527457</v>
      </c>
      <c r="L115" s="190">
        <v>1.2390167604618711</v>
      </c>
      <c r="M115" s="190">
        <v>1.2230437182770306</v>
      </c>
      <c r="N115" s="190">
        <v>1.1165974064475896</v>
      </c>
      <c r="O115" s="190">
        <v>1.1214532889659017</v>
      </c>
      <c r="P115" s="190">
        <v>0.93</v>
      </c>
      <c r="Q115" s="190">
        <v>0.92</v>
      </c>
      <c r="R115" s="190">
        <v>0.93</v>
      </c>
      <c r="S115" s="190">
        <v>0.91</v>
      </c>
      <c r="T115" s="162">
        <v>0.9</v>
      </c>
      <c r="U115" s="162">
        <v>0.88</v>
      </c>
      <c r="V115" s="162">
        <v>0.84012909</v>
      </c>
      <c r="W115" s="263">
        <v>0.81</v>
      </c>
    </row>
    <row r="116" spans="3:23" ht="12.75" customHeight="1">
      <c r="C116" s="144" t="str">
        <f>VLOOKUP(75,Textbausteine!$AE$2:$AI$254,Hilfsgrössen!$D$2,FALSE)</f>
        <v>Neuchâtel</v>
      </c>
      <c r="D116" s="67" t="str">
        <f>VLOOKUP(12,Textbausteine!$AE$2:$AI$254,Hilfsgrössen!$D$2,FALSE)</f>
        <v>%</v>
      </c>
      <c r="E116" s="13" t="s">
        <v>1586</v>
      </c>
      <c r="F116" s="11" t="s">
        <v>208</v>
      </c>
      <c r="H116" s="190">
        <v>1.1246145474333396</v>
      </c>
      <c r="I116" s="190">
        <v>1.0840853437329947</v>
      </c>
      <c r="J116" s="190">
        <v>1.0398716669689823</v>
      </c>
      <c r="K116" s="190">
        <v>0.9897061491021222</v>
      </c>
      <c r="L116" s="190">
        <v>1.0051014439243662</v>
      </c>
      <c r="M116" s="190">
        <v>1.0235273444585524</v>
      </c>
      <c r="N116" s="190">
        <v>0.9459648406796058</v>
      </c>
      <c r="O116" s="190">
        <v>0.9294319487272509</v>
      </c>
      <c r="P116" s="190">
        <v>0.77</v>
      </c>
      <c r="Q116" s="190">
        <v>0.75</v>
      </c>
      <c r="R116" s="190">
        <v>0.73</v>
      </c>
      <c r="S116" s="190">
        <v>0.71</v>
      </c>
      <c r="T116" s="140">
        <v>0.68</v>
      </c>
      <c r="U116" s="140">
        <v>0.64</v>
      </c>
      <c r="V116" s="140">
        <v>0.58487455</v>
      </c>
      <c r="W116" s="262">
        <v>0.56</v>
      </c>
    </row>
    <row r="117" spans="3:23" ht="12.75" customHeight="1">
      <c r="C117" s="144" t="str">
        <f>VLOOKUP(70,Textbausteine!$AE$2:$AI$254,Hilfsgrössen!$D$2,FALSE)</f>
        <v>Genève</v>
      </c>
      <c r="D117" s="67" t="str">
        <f>VLOOKUP(12,Textbausteine!$AE$2:$AI$254,Hilfsgrössen!$D$2,FALSE)</f>
        <v>%</v>
      </c>
      <c r="E117" s="13" t="s">
        <v>1586</v>
      </c>
      <c r="F117" s="11" t="s">
        <v>208</v>
      </c>
      <c r="H117" s="190">
        <v>1.0265724612674139</v>
      </c>
      <c r="I117" s="190">
        <v>1.0448868142712704</v>
      </c>
      <c r="J117" s="190">
        <v>1.0070472419492527</v>
      </c>
      <c r="K117" s="190">
        <v>0.930671849174492</v>
      </c>
      <c r="L117" s="190">
        <v>0.8306528586350476</v>
      </c>
      <c r="M117" s="190">
        <v>0.7519781317543637</v>
      </c>
      <c r="N117" s="190">
        <v>0.726005170399162</v>
      </c>
      <c r="O117" s="190">
        <v>0.7282162122890822</v>
      </c>
      <c r="P117" s="190">
        <v>0.59</v>
      </c>
      <c r="Q117" s="190">
        <v>0.58</v>
      </c>
      <c r="R117" s="190">
        <v>0.57</v>
      </c>
      <c r="S117" s="190">
        <v>0.54</v>
      </c>
      <c r="T117" s="162">
        <v>0.53</v>
      </c>
      <c r="U117" s="162">
        <v>0.5</v>
      </c>
      <c r="V117" s="162">
        <v>0.46017728</v>
      </c>
      <c r="W117" s="263">
        <v>0.43</v>
      </c>
    </row>
    <row r="118" spans="3:23" ht="12.75" customHeight="1">
      <c r="C118" s="144" t="str">
        <f>VLOOKUP(73,Textbausteine!$AE$2:$AI$254,Hilfsgrössen!$D$2,FALSE)</f>
        <v>Jura</v>
      </c>
      <c r="D118" s="67" t="str">
        <f>VLOOKUP(12,Textbausteine!$AE$2:$AI$254,Hilfsgrössen!$D$2,FALSE)</f>
        <v>%</v>
      </c>
      <c r="E118" s="13" t="s">
        <v>1586</v>
      </c>
      <c r="F118" s="11" t="s">
        <v>208</v>
      </c>
      <c r="H118" s="190">
        <v>1.4999107196000239</v>
      </c>
      <c r="I118" s="190">
        <v>1.4547745173898379</v>
      </c>
      <c r="J118" s="190">
        <v>1.4014542785151678</v>
      </c>
      <c r="K118" s="190">
        <v>1.4255103862865306</v>
      </c>
      <c r="L118" s="190">
        <v>1.4582465329444676</v>
      </c>
      <c r="M118" s="190">
        <v>1.38781322540325</v>
      </c>
      <c r="N118" s="190">
        <v>1.2397575541138424</v>
      </c>
      <c r="O118" s="190">
        <v>1.179245283018868</v>
      </c>
      <c r="P118" s="190">
        <v>0.98</v>
      </c>
      <c r="Q118" s="190">
        <v>0.97</v>
      </c>
      <c r="R118" s="190">
        <v>1.01</v>
      </c>
      <c r="S118" s="190">
        <v>1.07</v>
      </c>
      <c r="T118" s="297">
        <v>1.11</v>
      </c>
      <c r="U118" s="297">
        <v>1.07</v>
      </c>
      <c r="V118" s="297">
        <v>1.04348458</v>
      </c>
      <c r="W118" s="264">
        <v>1</v>
      </c>
    </row>
    <row r="119" spans="5:23" ht="12.75" customHeight="1">
      <c r="E119" s="13"/>
      <c r="G119" s="49"/>
      <c r="T119" s="107"/>
      <c r="U119" s="107"/>
      <c r="V119" s="107"/>
      <c r="W119" s="261"/>
    </row>
    <row r="120" spans="2:23" ht="12.75" customHeight="1">
      <c r="B120" s="228"/>
      <c r="C120" s="8" t="str">
        <f>VLOOKUP(101,Textbausteine!$AE$2:$AI$254,Hilfsgrössen!$D$2,FALSE)</f>
        <v>Emplois dans les communes rurales</v>
      </c>
      <c r="E120" s="13"/>
      <c r="G120" s="49"/>
      <c r="T120" s="107"/>
      <c r="U120" s="107"/>
      <c r="V120" s="107"/>
      <c r="W120" s="261"/>
    </row>
    <row r="121" spans="1:81" s="31" customFormat="1" ht="12.75" customHeight="1">
      <c r="A121" s="90"/>
      <c r="B121" s="228"/>
      <c r="C121" s="149" t="str">
        <f>VLOOKUP(102,Textbausteine!$AE$2:$AI$254,Hilfsgrössen!$D$2,FALSE)</f>
        <v>Effectif</v>
      </c>
      <c r="E121" s="7"/>
      <c r="F121" s="39"/>
      <c r="G121" s="48"/>
      <c r="H121" s="96"/>
      <c r="I121" s="96"/>
      <c r="J121" s="96"/>
      <c r="K121" s="96"/>
      <c r="L121" s="96"/>
      <c r="M121" s="96"/>
      <c r="N121" s="96"/>
      <c r="O121" s="96"/>
      <c r="P121" s="96"/>
      <c r="Q121" s="96"/>
      <c r="R121" s="96"/>
      <c r="S121" s="96"/>
      <c r="T121" s="103"/>
      <c r="U121" s="103"/>
      <c r="V121" s="103"/>
      <c r="W121" s="330"/>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39"/>
      <c r="BY121" s="39"/>
      <c r="BZ121" s="39"/>
      <c r="CA121" s="39"/>
      <c r="CB121" s="39"/>
      <c r="CC121" s="39"/>
    </row>
    <row r="122" spans="3:23" ht="12.75" customHeight="1">
      <c r="C122" s="144" t="str">
        <f>VLOOKUP(103,Textbausteine!$AE$2:$AI$254,Hilfsgrössen!$D$2,FALSE)</f>
        <v>Emplois dans les communes rurales</v>
      </c>
      <c r="D122" s="1" t="str">
        <f>VLOOKUP(15,Textbausteine!$AE$2:$AI$254,Hilfsgrössen!$D$2,FALSE)</f>
        <v>Unités de personnel</v>
      </c>
      <c r="E122" s="13" t="s">
        <v>1577</v>
      </c>
      <c r="F122" s="11" t="s">
        <v>208</v>
      </c>
      <c r="H122" s="100">
        <v>15818.296666666667</v>
      </c>
      <c r="I122" s="100">
        <v>15315.269166666663</v>
      </c>
      <c r="J122" s="100">
        <v>14931.553249999999</v>
      </c>
      <c r="K122" s="100">
        <v>14492.717416666666</v>
      </c>
      <c r="L122" s="100">
        <v>14628.051666666668</v>
      </c>
      <c r="M122" s="100">
        <v>14515.069166666668</v>
      </c>
      <c r="N122" s="100">
        <v>14523</v>
      </c>
      <c r="O122" s="100">
        <v>14338.631416666669</v>
      </c>
      <c r="P122" s="100">
        <v>14203</v>
      </c>
      <c r="Q122" s="100">
        <v>13668.8575833333</v>
      </c>
      <c r="R122" s="100">
        <v>13442</v>
      </c>
      <c r="S122" s="100">
        <v>13135</v>
      </c>
      <c r="T122" s="107">
        <v>12842.4985</v>
      </c>
      <c r="U122" s="107">
        <v>12539</v>
      </c>
      <c r="V122" s="107">
        <v>12094</v>
      </c>
      <c r="W122" s="261">
        <v>11814</v>
      </c>
    </row>
    <row r="123" spans="3:23" ht="12.75" customHeight="1">
      <c r="C123" s="144" t="str">
        <f>VLOOKUP(104,Textbausteine!$AE$2:$AI$254,Hilfsgrössen!$D$2,FALSE)</f>
        <v>Part de tous les emplois</v>
      </c>
      <c r="D123" s="1" t="str">
        <f>VLOOKUP(12,Textbausteine!$AE$2:$AI$254,Hilfsgrössen!$D$2,FALSE)</f>
        <v>%</v>
      </c>
      <c r="E123" s="13" t="s">
        <v>1577</v>
      </c>
      <c r="F123" s="11" t="s">
        <v>208</v>
      </c>
      <c r="H123" s="100">
        <f>_xlfn.IFERROR(H122/('102'!H$191-'102'!H$192)*100,"—")</f>
        <v>38.4630079917003</v>
      </c>
      <c r="I123" s="100">
        <f>_xlfn.IFERROR(I122/('102'!I$191-'102'!I$192)*100,"—")</f>
        <v>38.552255869371855</v>
      </c>
      <c r="J123" s="100">
        <f>_xlfn.IFERROR(J122/('102'!J$191-'102'!J$192)*100,"—")</f>
        <v>38.48437653032295</v>
      </c>
      <c r="K123" s="100">
        <f>_xlfn.IFERROR(K122/('102'!K$191-'102'!K$192)*100,"—")</f>
        <v>38.205086246287415</v>
      </c>
      <c r="L123" s="100">
        <f>_xlfn.IFERROR(L122/('102'!L$191-'102'!L$192)*100,"—")</f>
        <v>38.594405748157534</v>
      </c>
      <c r="M123" s="100">
        <f>_xlfn.IFERROR(M122/('102'!M$191-'102'!M$192)*100,"—")</f>
        <v>38.382391957761506</v>
      </c>
      <c r="N123" s="100">
        <f>_xlfn.IFERROR(N122/('102'!N$191-'102'!N$192)*100,"—")</f>
        <v>38.34556687965359</v>
      </c>
      <c r="O123" s="100">
        <f>_xlfn.IFERROR(O122/('102'!O$191-'102'!O$192)*100,"—")</f>
        <v>38.03047878594984</v>
      </c>
      <c r="P123" s="100">
        <f>_xlfn.IFERROR(P122/('102'!P$191-'102'!P$192)*100,"—")</f>
        <v>37.3920598146588</v>
      </c>
      <c r="Q123" s="100">
        <f>_xlfn.IFERROR(Q122/('102'!Q$191-'102'!Q$192)*100,"—")</f>
        <v>36.620204638411025</v>
      </c>
      <c r="R123" s="100">
        <f>_xlfn.IFERROR(R122/('102'!R$191-'102'!R$192)*100,"—")</f>
        <v>36.27678523236358</v>
      </c>
      <c r="S123" s="100">
        <f>_xlfn.IFERROR(S122/('102'!S$191-'102'!S$192)*100,"—")</f>
        <v>35.80775312142195</v>
      </c>
      <c r="T123" s="20">
        <f>_xlfn.IFERROR(T122/('102'!T$191-'102'!T$192)*100,"—")</f>
        <v>35.38853265362359</v>
      </c>
      <c r="U123" s="20">
        <f>_xlfn.IFERROR(U122/('102'!U$191-'102'!U$192)*100,"—")</f>
        <v>35.47602206818503</v>
      </c>
      <c r="V123" s="20">
        <v>35.24</v>
      </c>
      <c r="W123" s="261">
        <v>35.43</v>
      </c>
    </row>
    <row r="124" spans="5:23" ht="12.75" customHeight="1">
      <c r="E124" s="13"/>
      <c r="F124" s="11"/>
      <c r="W124" s="259"/>
    </row>
    <row r="125" spans="3:23" ht="12.75" customHeight="1">
      <c r="C125" s="144" t="str">
        <f>VLOOKUP(103,Textbausteine!$AE$2:$AI$254,Hilfsgrössen!$D$2,FALSE)</f>
        <v>Emplois dans les communes rurales</v>
      </c>
      <c r="D125" s="1" t="str">
        <f>VLOOKUP(16,Textbausteine!$AE$2:$AI$254,Hilfsgrössen!$D$2,FALSE)</f>
        <v>Personnes</v>
      </c>
      <c r="E125" s="13" t="s">
        <v>2560</v>
      </c>
      <c r="F125" s="11" t="s">
        <v>208</v>
      </c>
      <c r="H125" s="100">
        <v>22395.25</v>
      </c>
      <c r="I125" s="100">
        <v>21916.41666666667</v>
      </c>
      <c r="J125" s="100">
        <v>21420</v>
      </c>
      <c r="K125" s="100">
        <v>21068.583333333332</v>
      </c>
      <c r="L125" s="100">
        <v>21319.083333333332</v>
      </c>
      <c r="M125" s="100">
        <v>20776.166666666668</v>
      </c>
      <c r="N125" s="100">
        <v>20603</v>
      </c>
      <c r="O125" s="100">
        <v>20417.5</v>
      </c>
      <c r="P125" s="100">
        <v>20172</v>
      </c>
      <c r="Q125" s="100">
        <v>19494.166666666668</v>
      </c>
      <c r="R125" s="100">
        <v>19106</v>
      </c>
      <c r="S125" s="100">
        <v>18633</v>
      </c>
      <c r="T125" s="20">
        <v>18175.666666666668</v>
      </c>
      <c r="U125" s="20">
        <v>17640</v>
      </c>
      <c r="V125" s="20">
        <v>16765</v>
      </c>
      <c r="W125" s="259">
        <v>16073</v>
      </c>
    </row>
    <row r="126" spans="3:23" ht="12.75" customHeight="1">
      <c r="C126" s="144" t="str">
        <f>VLOOKUP(104,Textbausteine!$AE$2:$AI$254,Hilfsgrössen!$D$2,FALSE)</f>
        <v>Part de tous les emplois</v>
      </c>
      <c r="D126" s="1" t="str">
        <f>VLOOKUP(12,Textbausteine!$AE$2:$AI$254,Hilfsgrössen!$D$2,FALSE)</f>
        <v>%</v>
      </c>
      <c r="E126" s="13" t="s">
        <v>2560</v>
      </c>
      <c r="F126" s="11" t="s">
        <v>208</v>
      </c>
      <c r="H126" s="100" t="str">
        <f>_xlfn.IFERROR(H125/('102'!H$195-'102'!H$196)*100,"—")</f>
        <v>—</v>
      </c>
      <c r="I126" s="100" t="str">
        <f>_xlfn.IFERROR(I125/('102'!I$195-'102'!I$196)*100,"—")</f>
        <v>—</v>
      </c>
      <c r="J126" s="100" t="str">
        <f>_xlfn.IFERROR(J125/('102'!J$195-'102'!J$196)*100,"—")</f>
        <v>—</v>
      </c>
      <c r="K126" s="100" t="str">
        <f>_xlfn.IFERROR(K125/('102'!K$195-'102'!K$196)*100,"—")</f>
        <v>—</v>
      </c>
      <c r="L126" s="100" t="str">
        <f>_xlfn.IFERROR(L125/('102'!L$195-'102'!L$196)*100,"—")</f>
        <v>—</v>
      </c>
      <c r="M126" s="100">
        <f>_xlfn.IFERROR(M125/('102'!M$195-'102'!M$196)*100,"—")</f>
        <v>39.01700814412791</v>
      </c>
      <c r="N126" s="100">
        <f>_xlfn.IFERROR(N125/('102'!N$195-'102'!N$196)*100,"—")</f>
        <v>38.38972944771559</v>
      </c>
      <c r="O126" s="100">
        <f>_xlfn.IFERROR(O125/('102'!O$195-'102'!O$196)*100,"—")</f>
        <v>38.84755888732448</v>
      </c>
      <c r="P126" s="100">
        <f>_xlfn.IFERROR(P125/('102'!P$195-'102'!P$196)*100,"—")</f>
        <v>36.70439244513993</v>
      </c>
      <c r="Q126" s="100">
        <f>_xlfn.IFERROR(Q125/('102'!Q$195-'102'!Q$196)*100,"—")</f>
        <v>35.827620640434226</v>
      </c>
      <c r="R126" s="100">
        <f>_xlfn.IFERROR(R125/('102'!R$195-'102'!R$196)*100,"—")</f>
        <v>34.75397908140064</v>
      </c>
      <c r="S126" s="100">
        <f>_xlfn.IFERROR(S125/('102'!S$195-'102'!S$196)*100,"—")</f>
        <v>34.23925027563396</v>
      </c>
      <c r="T126" s="20">
        <f>_xlfn.IFERROR(T125/('102'!T$195-'102'!T$196)*100,"—")</f>
        <v>33.94465714196782</v>
      </c>
      <c r="U126" s="20">
        <f>_xlfn.IFERROR(U125/('102'!U$195-'102'!U$196)*100,"—")</f>
        <v>33.987129590381876</v>
      </c>
      <c r="V126" s="20">
        <v>33.34</v>
      </c>
      <c r="W126" s="259">
        <v>32.74</v>
      </c>
    </row>
    <row r="127" ht="12.75" customHeight="1">
      <c r="G127" s="49"/>
    </row>
    <row r="128" spans="1:81" s="21" customFormat="1" ht="12.75" customHeight="1">
      <c r="A128" s="318"/>
      <c r="B128" s="22" t="str">
        <f>VLOOKUP(211,Textbausteine!$AE$2:$AI$254,Hilfsgrössen!$D$2,FALSE)</f>
        <v>1) Sans les apprentis</v>
      </c>
      <c r="C128" s="22"/>
      <c r="D128" s="22"/>
      <c r="E128" s="22"/>
      <c r="F128" s="22"/>
      <c r="G128" s="22"/>
      <c r="H128" s="22"/>
      <c r="I128" s="22"/>
      <c r="J128" s="22"/>
      <c r="K128" s="22"/>
      <c r="L128" s="22"/>
      <c r="M128" s="22"/>
      <c r="N128" s="22"/>
      <c r="O128" s="22"/>
      <c r="P128" s="22"/>
      <c r="Q128" s="22"/>
      <c r="R128" s="22"/>
      <c r="S128" s="319"/>
      <c r="T128" s="320"/>
      <c r="U128" s="320"/>
      <c r="V128" s="320"/>
      <c r="W128" s="320"/>
      <c r="X128" s="321"/>
      <c r="Y128" s="321"/>
      <c r="Z128" s="321"/>
      <c r="AA128" s="321"/>
      <c r="AB128" s="321"/>
      <c r="AC128" s="321"/>
      <c r="AD128" s="321"/>
      <c r="AE128" s="321"/>
      <c r="AF128" s="321"/>
      <c r="AG128" s="321"/>
      <c r="AH128" s="321"/>
      <c r="AI128" s="321"/>
      <c r="AJ128" s="321"/>
      <c r="AK128" s="321"/>
      <c r="AL128" s="321"/>
      <c r="AM128" s="321"/>
      <c r="AN128" s="321"/>
      <c r="AO128" s="321"/>
      <c r="AP128" s="321"/>
      <c r="AQ128" s="321"/>
      <c r="AR128" s="321"/>
      <c r="AS128" s="321"/>
      <c r="AT128" s="321"/>
      <c r="AU128" s="321"/>
      <c r="AV128" s="321"/>
      <c r="AW128" s="321"/>
      <c r="AX128" s="321"/>
      <c r="AY128" s="321"/>
      <c r="AZ128" s="321"/>
      <c r="BA128" s="321"/>
      <c r="BB128" s="321"/>
      <c r="BC128" s="321"/>
      <c r="BD128" s="321"/>
      <c r="BE128" s="321"/>
      <c r="BF128" s="321"/>
      <c r="BG128" s="321"/>
      <c r="BH128" s="321"/>
      <c r="BI128" s="321"/>
      <c r="BJ128" s="321"/>
      <c r="BK128" s="321"/>
      <c r="BL128" s="321"/>
      <c r="BM128" s="321"/>
      <c r="BN128" s="321"/>
      <c r="BO128" s="321"/>
      <c r="BP128" s="321"/>
      <c r="BQ128" s="321"/>
      <c r="BR128" s="321"/>
      <c r="BS128" s="321"/>
      <c r="BT128" s="321"/>
      <c r="BU128" s="321"/>
      <c r="BV128" s="321"/>
      <c r="BW128" s="321"/>
      <c r="BX128" s="321"/>
      <c r="BY128" s="321"/>
      <c r="BZ128" s="321"/>
      <c r="CA128" s="321"/>
      <c r="CB128" s="321"/>
      <c r="CC128" s="321"/>
    </row>
    <row r="129" spans="1:81" s="21" customFormat="1" ht="12.75" customHeight="1">
      <c r="A129" s="318"/>
      <c r="B129" s="22" t="str">
        <f>VLOOKUP(212,Textbausteine!$AE$2:$AI$254,Hilfsgrössen!$D$2,FALSE)</f>
        <v>2) Une unité de personnel correspond à un poste à plein temps.</v>
      </c>
      <c r="C129" s="22"/>
      <c r="D129" s="22"/>
      <c r="E129" s="22"/>
      <c r="F129" s="22"/>
      <c r="G129" s="22"/>
      <c r="H129" s="22"/>
      <c r="I129" s="22"/>
      <c r="J129" s="22"/>
      <c r="K129" s="22"/>
      <c r="L129" s="22"/>
      <c r="M129" s="22"/>
      <c r="N129" s="22"/>
      <c r="O129" s="22"/>
      <c r="P129" s="22"/>
      <c r="Q129" s="22"/>
      <c r="R129" s="22"/>
      <c r="S129" s="319"/>
      <c r="T129" s="320"/>
      <c r="U129" s="320"/>
      <c r="V129" s="320"/>
      <c r="W129" s="320"/>
      <c r="X129" s="321"/>
      <c r="Y129" s="321"/>
      <c r="Z129" s="321"/>
      <c r="AA129" s="321"/>
      <c r="AB129" s="321"/>
      <c r="AC129" s="321"/>
      <c r="AD129" s="321"/>
      <c r="AE129" s="321"/>
      <c r="AF129" s="321"/>
      <c r="AG129" s="321"/>
      <c r="AH129" s="321"/>
      <c r="AI129" s="321"/>
      <c r="AJ129" s="321"/>
      <c r="AK129" s="321"/>
      <c r="AL129" s="321"/>
      <c r="AM129" s="321"/>
      <c r="AN129" s="321"/>
      <c r="AO129" s="321"/>
      <c r="AP129" s="321"/>
      <c r="AQ129" s="321"/>
      <c r="AR129" s="321"/>
      <c r="AS129" s="321"/>
      <c r="AT129" s="321"/>
      <c r="AU129" s="321"/>
      <c r="AV129" s="321"/>
      <c r="AW129" s="321"/>
      <c r="AX129" s="321"/>
      <c r="AY129" s="321"/>
      <c r="AZ129" s="321"/>
      <c r="BA129" s="321"/>
      <c r="BB129" s="321"/>
      <c r="BC129" s="321"/>
      <c r="BD129" s="321"/>
      <c r="BE129" s="321"/>
      <c r="BF129" s="321"/>
      <c r="BG129" s="321"/>
      <c r="BH129" s="321"/>
      <c r="BI129" s="321"/>
      <c r="BJ129" s="321"/>
      <c r="BK129" s="321"/>
      <c r="BL129" s="321"/>
      <c r="BM129" s="321"/>
      <c r="BN129" s="321"/>
      <c r="BO129" s="321"/>
      <c r="BP129" s="321"/>
      <c r="BQ129" s="321"/>
      <c r="BR129" s="321"/>
      <c r="BS129" s="321"/>
      <c r="BT129" s="321"/>
      <c r="BU129" s="321"/>
      <c r="BV129" s="321"/>
      <c r="BW129" s="321"/>
      <c r="BX129" s="321"/>
      <c r="BY129" s="321"/>
      <c r="BZ129" s="321"/>
      <c r="CA129" s="321"/>
      <c r="CB129" s="321"/>
      <c r="CC129" s="321"/>
    </row>
    <row r="130" spans="1:81" s="21" customFormat="1" ht="12.75" customHeight="1">
      <c r="A130" s="318"/>
      <c r="B130" s="24" t="str">
        <f>VLOOKUP(213,Textbausteine!$AE$2:$AI$254,Hilfsgrössen!$D$2,FALSE)</f>
        <v>3) Valeurs annuelles moyennes</v>
      </c>
      <c r="C130" s="24"/>
      <c r="D130" s="24"/>
      <c r="E130" s="24"/>
      <c r="F130" s="24"/>
      <c r="G130" s="24"/>
      <c r="H130" s="24"/>
      <c r="I130" s="24"/>
      <c r="J130" s="24"/>
      <c r="K130" s="24"/>
      <c r="L130" s="24"/>
      <c r="M130" s="24"/>
      <c r="N130" s="24"/>
      <c r="O130" s="24"/>
      <c r="P130" s="24"/>
      <c r="Q130" s="24"/>
      <c r="R130" s="24"/>
      <c r="S130" s="319"/>
      <c r="T130" s="322"/>
      <c r="U130" s="322"/>
      <c r="V130" s="322"/>
      <c r="W130" s="322"/>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1"/>
      <c r="AY130" s="321"/>
      <c r="AZ130" s="321"/>
      <c r="BA130" s="321"/>
      <c r="BB130" s="321"/>
      <c r="BC130" s="321"/>
      <c r="BD130" s="321"/>
      <c r="BE130" s="321"/>
      <c r="BF130" s="321"/>
      <c r="BG130" s="321"/>
      <c r="BH130" s="321"/>
      <c r="BI130" s="321"/>
      <c r="BJ130" s="321"/>
      <c r="BK130" s="321"/>
      <c r="BL130" s="321"/>
      <c r="BM130" s="321"/>
      <c r="BN130" s="321"/>
      <c r="BO130" s="321"/>
      <c r="BP130" s="321"/>
      <c r="BQ130" s="321"/>
      <c r="BR130" s="321"/>
      <c r="BS130" s="321"/>
      <c r="BT130" s="321"/>
      <c r="BU130" s="321"/>
      <c r="BV130" s="321"/>
      <c r="BW130" s="321"/>
      <c r="BX130" s="321"/>
      <c r="BY130" s="321"/>
      <c r="BZ130" s="321"/>
      <c r="CA130" s="321"/>
      <c r="CB130" s="321"/>
      <c r="CC130" s="321"/>
    </row>
    <row r="131" spans="1:81" s="21" customFormat="1" ht="12.75" customHeight="1">
      <c r="A131" s="318"/>
      <c r="B131" s="24" t="str">
        <f>VLOOKUP(214,Textbausteine!$AE$2:$AI$254,Hilfsgrössen!$D$2,FALSE)</f>
        <v>4) Depuis 2015, le nombre d'employés dans les cantons se fonde sur l'analyse STATENT.</v>
      </c>
      <c r="C131" s="24"/>
      <c r="D131" s="24"/>
      <c r="E131" s="24"/>
      <c r="F131" s="24"/>
      <c r="G131" s="24"/>
      <c r="H131" s="24"/>
      <c r="I131" s="24"/>
      <c r="J131" s="24"/>
      <c r="K131" s="24"/>
      <c r="L131" s="24"/>
      <c r="M131" s="24"/>
      <c r="N131" s="24"/>
      <c r="O131" s="24"/>
      <c r="P131" s="24"/>
      <c r="Q131" s="24"/>
      <c r="R131" s="24"/>
      <c r="S131" s="319"/>
      <c r="T131" s="322"/>
      <c r="U131" s="322"/>
      <c r="V131" s="322"/>
      <c r="W131" s="322"/>
      <c r="X131" s="321"/>
      <c r="Y131" s="321"/>
      <c r="Z131" s="321"/>
      <c r="AA131" s="321"/>
      <c r="AB131" s="321"/>
      <c r="AC131" s="321"/>
      <c r="AD131" s="321"/>
      <c r="AE131" s="321"/>
      <c r="AF131" s="321"/>
      <c r="AG131" s="321"/>
      <c r="AH131" s="321"/>
      <c r="AI131" s="321"/>
      <c r="AJ131" s="321"/>
      <c r="AK131" s="321"/>
      <c r="AL131" s="321"/>
      <c r="AM131" s="321"/>
      <c r="AN131" s="321"/>
      <c r="AO131" s="321"/>
      <c r="AP131" s="321"/>
      <c r="AQ131" s="321"/>
      <c r="AR131" s="321"/>
      <c r="AS131" s="321"/>
      <c r="AT131" s="321"/>
      <c r="AU131" s="321"/>
      <c r="AV131" s="321"/>
      <c r="AW131" s="321"/>
      <c r="AX131" s="321"/>
      <c r="AY131" s="321"/>
      <c r="AZ131" s="321"/>
      <c r="BA131" s="321"/>
      <c r="BB131" s="321"/>
      <c r="BC131" s="321"/>
      <c r="BD131" s="321"/>
      <c r="BE131" s="321"/>
      <c r="BF131" s="321"/>
      <c r="BG131" s="321"/>
      <c r="BH131" s="321"/>
      <c r="BI131" s="321"/>
      <c r="BJ131" s="321"/>
      <c r="BK131" s="321"/>
      <c r="BL131" s="321"/>
      <c r="BM131" s="321"/>
      <c r="BN131" s="321"/>
      <c r="BO131" s="321"/>
      <c r="BP131" s="321"/>
      <c r="BQ131" s="321"/>
      <c r="BR131" s="321"/>
      <c r="BS131" s="321"/>
      <c r="BT131" s="321"/>
      <c r="BU131" s="321"/>
      <c r="BV131" s="321"/>
      <c r="BW131" s="321"/>
      <c r="BX131" s="321"/>
      <c r="BY131" s="321"/>
      <c r="BZ131" s="321"/>
      <c r="CA131" s="321"/>
      <c r="CB131" s="321"/>
      <c r="CC131" s="321"/>
    </row>
    <row r="132" spans="1:81" s="21" customFormat="1" ht="12.75" customHeight="1">
      <c r="A132" s="318"/>
      <c r="B132" s="24" t="str">
        <f>VLOOKUP(215,Textbausteine!$AE$2:$AI$254,Hilfsgrössen!$D$2,FALSE)</f>
        <v>5) La définition des communautés rurales est basée sur les typologies territoriales de l'Office fédéral de la statistique (OFS)</v>
      </c>
      <c r="C132" s="24"/>
      <c r="D132" s="24"/>
      <c r="E132" s="24"/>
      <c r="F132" s="24"/>
      <c r="G132" s="24"/>
      <c r="H132" s="24"/>
      <c r="I132" s="24"/>
      <c r="J132" s="24"/>
      <c r="K132" s="24"/>
      <c r="L132" s="24"/>
      <c r="M132" s="24"/>
      <c r="N132" s="24"/>
      <c r="O132" s="24"/>
      <c r="P132" s="24"/>
      <c r="Q132" s="24"/>
      <c r="R132" s="24"/>
      <c r="S132" s="319"/>
      <c r="T132" s="323"/>
      <c r="U132" s="323"/>
      <c r="V132" s="323"/>
      <c r="W132" s="323"/>
      <c r="X132" s="321"/>
      <c r="Y132" s="321"/>
      <c r="Z132" s="321"/>
      <c r="AA132" s="321"/>
      <c r="AB132" s="321"/>
      <c r="AC132" s="321"/>
      <c r="AD132" s="321"/>
      <c r="AE132" s="321"/>
      <c r="AF132" s="321"/>
      <c r="AG132" s="321"/>
      <c r="AH132" s="321"/>
      <c r="AI132" s="321"/>
      <c r="AJ132" s="321"/>
      <c r="AK132" s="321"/>
      <c r="AL132" s="321"/>
      <c r="AM132" s="321"/>
      <c r="AN132" s="321"/>
      <c r="AO132" s="321"/>
      <c r="AP132" s="321"/>
      <c r="AQ132" s="321"/>
      <c r="AR132" s="321"/>
      <c r="AS132" s="321"/>
      <c r="AT132" s="321"/>
      <c r="AU132" s="321"/>
      <c r="AV132" s="321"/>
      <c r="AW132" s="321"/>
      <c r="AX132" s="321"/>
      <c r="AY132" s="321"/>
      <c r="AZ132" s="321"/>
      <c r="BA132" s="321"/>
      <c r="BB132" s="321"/>
      <c r="BC132" s="321"/>
      <c r="BD132" s="321"/>
      <c r="BE132" s="321"/>
      <c r="BF132" s="321"/>
      <c r="BG132" s="321"/>
      <c r="BH132" s="321"/>
      <c r="BI132" s="321"/>
      <c r="BJ132" s="321"/>
      <c r="BK132" s="321"/>
      <c r="BL132" s="321"/>
      <c r="BM132" s="321"/>
      <c r="BN132" s="321"/>
      <c r="BO132" s="321"/>
      <c r="BP132" s="321"/>
      <c r="BQ132" s="321"/>
      <c r="BR132" s="321"/>
      <c r="BS132" s="321"/>
      <c r="BT132" s="321"/>
      <c r="BU132" s="321"/>
      <c r="BV132" s="321"/>
      <c r="BW132" s="321"/>
      <c r="BX132" s="321"/>
      <c r="BY132" s="321"/>
      <c r="BZ132" s="321"/>
      <c r="CA132" s="321"/>
      <c r="CB132" s="321"/>
      <c r="CC132" s="321"/>
    </row>
    <row r="133" spans="1:81" s="21" customFormat="1" ht="12.75" customHeight="1">
      <c r="A133" s="318"/>
      <c r="B133" s="24" t="str">
        <f>VLOOKUP(216,Textbausteine!$AE$2:$AI$254,Hilfsgrössen!$D$2,FALSE)</f>
        <v>6) Groupe Suisse: données provenant du système du personnel; actuellement sans les données de 1000 unités de personnel ou 6113 personnes des sociétés du groupe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et notime Schweiz AG.</v>
      </c>
      <c r="C133" s="24"/>
      <c r="D133" s="24"/>
      <c r="E133" s="24"/>
      <c r="F133" s="24"/>
      <c r="G133" s="24"/>
      <c r="H133" s="24"/>
      <c r="I133" s="24"/>
      <c r="J133" s="24"/>
      <c r="K133" s="24"/>
      <c r="L133" s="24"/>
      <c r="M133" s="24"/>
      <c r="N133" s="24"/>
      <c r="O133" s="24"/>
      <c r="P133" s="24"/>
      <c r="Q133" s="24"/>
      <c r="R133" s="24"/>
      <c r="S133" s="319"/>
      <c r="T133" s="323"/>
      <c r="U133" s="323"/>
      <c r="V133" s="323"/>
      <c r="W133" s="323"/>
      <c r="X133" s="321"/>
      <c r="Y133" s="321"/>
      <c r="Z133" s="321"/>
      <c r="AA133" s="321"/>
      <c r="AB133" s="321"/>
      <c r="AC133" s="321"/>
      <c r="AD133" s="321"/>
      <c r="AE133" s="321"/>
      <c r="AF133" s="321"/>
      <c r="AG133" s="321"/>
      <c r="AH133" s="321"/>
      <c r="AI133" s="321"/>
      <c r="AJ133" s="321"/>
      <c r="AK133" s="321"/>
      <c r="AL133" s="321"/>
      <c r="AM133" s="321"/>
      <c r="AN133" s="321"/>
      <c r="AO133" s="321"/>
      <c r="AP133" s="321"/>
      <c r="AQ133" s="321"/>
      <c r="AR133" s="321"/>
      <c r="AS133" s="321"/>
      <c r="AT133" s="321"/>
      <c r="AU133" s="321"/>
      <c r="AV133" s="321"/>
      <c r="AW133" s="321"/>
      <c r="AX133" s="321"/>
      <c r="AY133" s="321"/>
      <c r="AZ133" s="321"/>
      <c r="BA133" s="321"/>
      <c r="BB133" s="321"/>
      <c r="BC133" s="321"/>
      <c r="BD133" s="321"/>
      <c r="BE133" s="321"/>
      <c r="BF133" s="321"/>
      <c r="BG133" s="321"/>
      <c r="BH133" s="321"/>
      <c r="BI133" s="321"/>
      <c r="BJ133" s="321"/>
      <c r="BK133" s="321"/>
      <c r="BL133" s="321"/>
      <c r="BM133" s="321"/>
      <c r="BN133" s="321"/>
      <c r="BO133" s="321"/>
      <c r="BP133" s="321"/>
      <c r="BQ133" s="321"/>
      <c r="BR133" s="321"/>
      <c r="BS133" s="321"/>
      <c r="BT133" s="321"/>
      <c r="BU133" s="321"/>
      <c r="BV133" s="321"/>
      <c r="BW133" s="321"/>
      <c r="BX133" s="321"/>
      <c r="BY133" s="321"/>
      <c r="BZ133" s="321"/>
      <c r="CA133" s="321"/>
      <c r="CB133" s="321"/>
      <c r="CC133" s="321"/>
    </row>
    <row r="134" spans="1:81" s="21" customFormat="1" ht="12.75" customHeight="1">
      <c r="A134" s="318"/>
      <c r="B134" s="24" t="str">
        <f>VLOOKUP(217,Textbausteine!$AE$2:$AI$254,Hilfsgrössen!$D$2,FALSE)</f>
        <v>7) Dans le segment PostMail, le calcul de l’effectif moyen en équivalents plein temps (hors apprentis) de deux filiales a été remanié, ce qui a entraîné l’ajustement de la valeur de 2018. Dans le segment CarPostal, la valeur de 2018 a été ajustée suite à la classification du groupe CarPostal France comme groupe sortant détenu en vue de la vente et activité abandonnée.</v>
      </c>
      <c r="C134" s="24"/>
      <c r="D134" s="24"/>
      <c r="E134" s="24"/>
      <c r="F134" s="24"/>
      <c r="G134" s="24"/>
      <c r="H134" s="24"/>
      <c r="I134" s="24"/>
      <c r="J134" s="24"/>
      <c r="K134" s="24"/>
      <c r="L134" s="24"/>
      <c r="M134" s="24"/>
      <c r="N134" s="24"/>
      <c r="O134" s="24"/>
      <c r="P134" s="24"/>
      <c r="Q134" s="24"/>
      <c r="R134" s="24"/>
      <c r="S134" s="319"/>
      <c r="T134" s="323"/>
      <c r="U134" s="323"/>
      <c r="V134" s="323"/>
      <c r="W134" s="323"/>
      <c r="X134" s="321"/>
      <c r="Y134" s="321"/>
      <c r="Z134" s="321"/>
      <c r="AA134" s="321"/>
      <c r="AB134" s="321"/>
      <c r="AC134" s="321"/>
      <c r="AD134" s="321"/>
      <c r="AE134" s="321"/>
      <c r="AF134" s="321"/>
      <c r="AG134" s="321"/>
      <c r="AH134" s="321"/>
      <c r="AI134" s="321"/>
      <c r="AJ134" s="321"/>
      <c r="AK134" s="321"/>
      <c r="AL134" s="321"/>
      <c r="AM134" s="321"/>
      <c r="AN134" s="321"/>
      <c r="AO134" s="321"/>
      <c r="AP134" s="321"/>
      <c r="AQ134" s="321"/>
      <c r="AR134" s="321"/>
      <c r="AS134" s="321"/>
      <c r="AT134" s="321"/>
      <c r="AU134" s="321"/>
      <c r="AV134" s="321"/>
      <c r="AW134" s="321"/>
      <c r="AX134" s="321"/>
      <c r="AY134" s="321"/>
      <c r="AZ134" s="321"/>
      <c r="BA134" s="321"/>
      <c r="BB134" s="321"/>
      <c r="BC134" s="321"/>
      <c r="BD134" s="321"/>
      <c r="BE134" s="321"/>
      <c r="BF134" s="321"/>
      <c r="BG134" s="321"/>
      <c r="BH134" s="321"/>
      <c r="BI134" s="321"/>
      <c r="BJ134" s="321"/>
      <c r="BK134" s="321"/>
      <c r="BL134" s="321"/>
      <c r="BM134" s="321"/>
      <c r="BN134" s="321"/>
      <c r="BO134" s="321"/>
      <c r="BP134" s="321"/>
      <c r="BQ134" s="321"/>
      <c r="BR134" s="321"/>
      <c r="BS134" s="321"/>
      <c r="BT134" s="321"/>
      <c r="BU134" s="321"/>
      <c r="BV134" s="321"/>
      <c r="BW134" s="321"/>
      <c r="BX134" s="321"/>
      <c r="BY134" s="321"/>
      <c r="BZ134" s="321"/>
      <c r="CA134" s="321"/>
      <c r="CB134" s="321"/>
      <c r="CC134" s="321"/>
    </row>
    <row r="135" spans="20:23" ht="12.75" customHeight="1">
      <c r="T135" s="140"/>
      <c r="U135" s="140"/>
      <c r="V135" s="140"/>
      <c r="W135" s="140"/>
    </row>
    <row r="136" spans="20:23" ht="12.75" customHeight="1">
      <c r="T136" s="140"/>
      <c r="U136" s="140"/>
      <c r="V136" s="140"/>
      <c r="W136" s="140"/>
    </row>
    <row r="137" spans="1:81" s="31" customFormat="1" ht="12.75" customHeight="1">
      <c r="A137" s="56" t="s">
        <v>807</v>
      </c>
      <c r="B137" s="479" t="str">
        <f>$C$10</f>
        <v>Comparaison des prix des services postaux</v>
      </c>
      <c r="C137" s="479"/>
      <c r="D137" s="6" t="str">
        <f>VLOOKUP(32,Textbausteine!$A$2:$E$67,Hilfsgrössen!$D$2,FALSE)</f>
        <v>Unité</v>
      </c>
      <c r="E137" s="39" t="str">
        <f>VLOOKUP(33,Textbausteine!$A$2:$E$67,Hilfsgrössen!$D$2,FALSE)</f>
        <v>Notes</v>
      </c>
      <c r="F137" s="39" t="str">
        <f>VLOOKUP(34,Textbausteine!$A$2:$E$67,Hilfsgrössen!$D$2,FALSE)</f>
        <v>GRI</v>
      </c>
      <c r="G137" s="53"/>
      <c r="H137" s="117">
        <v>2004</v>
      </c>
      <c r="I137" s="117">
        <v>2005</v>
      </c>
      <c r="J137" s="117">
        <v>2006</v>
      </c>
      <c r="K137" s="117">
        <v>2007</v>
      </c>
      <c r="L137" s="117">
        <v>2008</v>
      </c>
      <c r="M137" s="117">
        <v>2009</v>
      </c>
      <c r="N137" s="117">
        <v>2010</v>
      </c>
      <c r="O137" s="117">
        <v>2011</v>
      </c>
      <c r="P137" s="117">
        <v>2012</v>
      </c>
      <c r="Q137" s="117">
        <v>2013</v>
      </c>
      <c r="R137" s="117">
        <v>2014</v>
      </c>
      <c r="S137" s="117">
        <v>2015</v>
      </c>
      <c r="T137" s="117">
        <v>2016</v>
      </c>
      <c r="U137" s="117">
        <v>2017</v>
      </c>
      <c r="V137" s="117">
        <v>2018</v>
      </c>
      <c r="W137" s="258">
        <v>2019</v>
      </c>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c r="BW137" s="39"/>
      <c r="BX137" s="39"/>
      <c r="BY137" s="39"/>
      <c r="BZ137" s="39"/>
      <c r="CA137" s="39"/>
      <c r="CB137" s="39"/>
      <c r="CC137" s="39"/>
    </row>
    <row r="138" spans="1:81" s="31" customFormat="1" ht="12.75" customHeight="1">
      <c r="A138" s="55"/>
      <c r="B138" s="479"/>
      <c r="C138" s="479"/>
      <c r="D138" s="6"/>
      <c r="E138" s="37"/>
      <c r="F138" s="37"/>
      <c r="G138" s="47"/>
      <c r="H138" s="117"/>
      <c r="I138" s="117"/>
      <c r="J138" s="117"/>
      <c r="K138" s="117"/>
      <c r="L138" s="106"/>
      <c r="M138" s="106"/>
      <c r="N138" s="107"/>
      <c r="O138" s="107"/>
      <c r="P138" s="107"/>
      <c r="Q138" s="107"/>
      <c r="R138" s="107"/>
      <c r="S138" s="107"/>
      <c r="T138" s="20"/>
      <c r="U138" s="20"/>
      <c r="V138" s="20"/>
      <c r="W138" s="259"/>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row>
    <row r="139" spans="1:23" ht="12.75" customHeight="1">
      <c r="A139" s="66"/>
      <c r="B139" s="8"/>
      <c r="C139" s="9"/>
      <c r="D139" s="9"/>
      <c r="E139" s="40"/>
      <c r="F139" s="40"/>
      <c r="H139" s="117"/>
      <c r="I139" s="117"/>
      <c r="J139" s="117"/>
      <c r="K139" s="117"/>
      <c r="L139" s="106"/>
      <c r="M139" s="106"/>
      <c r="N139" s="107"/>
      <c r="O139" s="107"/>
      <c r="P139" s="107"/>
      <c r="Q139" s="107"/>
      <c r="R139" s="107"/>
      <c r="S139" s="107"/>
      <c r="W139" s="259"/>
    </row>
    <row r="140" spans="1:23" ht="12.75" customHeight="1">
      <c r="A140" s="66"/>
      <c r="B140" s="8" t="str">
        <f>VLOOKUP(36,Textbausteine!$A$2:$E$67,Hilfsgrössen!$D$2,FALSE)</f>
        <v>Groupe</v>
      </c>
      <c r="C140" s="9"/>
      <c r="D140" s="9"/>
      <c r="E140" s="40"/>
      <c r="F140" s="40"/>
      <c r="H140" s="117"/>
      <c r="I140" s="117"/>
      <c r="J140" s="117"/>
      <c r="K140" s="117"/>
      <c r="L140" s="106"/>
      <c r="M140" s="106"/>
      <c r="N140" s="107"/>
      <c r="O140" s="107"/>
      <c r="P140" s="107"/>
      <c r="Q140" s="107"/>
      <c r="R140" s="107"/>
      <c r="S140" s="107"/>
      <c r="W140" s="259"/>
    </row>
    <row r="141" spans="3:23" ht="12.75" customHeight="1">
      <c r="C141" s="31" t="str">
        <f>VLOOKUP(111,Textbausteine!$AE$2:$AI$254,Hilfsgrössen!$D$2,FALSE)</f>
        <v>Indice du prix des lettres corrigé du taux de change</v>
      </c>
      <c r="W141" s="259"/>
    </row>
    <row r="142" spans="3:23" ht="12.75" customHeight="1">
      <c r="C142" s="36" t="str">
        <f>VLOOKUP(119,Textbausteine!$AE$2:$AI$254,Hilfsgrössen!$D$2,FALSE)</f>
        <v>Danemark</v>
      </c>
      <c r="D142" s="1" t="str">
        <f>VLOOKUP(17,Textbausteine!$AE$2:$AI$254,Hilfsgrössen!$D$2,FALSE)</f>
        <v>Indice</v>
      </c>
      <c r="E142" s="37" t="s">
        <v>716</v>
      </c>
      <c r="H142" s="100" t="s">
        <v>1470</v>
      </c>
      <c r="I142" s="100" t="s">
        <v>1470</v>
      </c>
      <c r="J142" s="100" t="s">
        <v>1470</v>
      </c>
      <c r="K142" s="100" t="s">
        <v>1470</v>
      </c>
      <c r="L142" s="332">
        <v>137</v>
      </c>
      <c r="M142" s="332">
        <v>127</v>
      </c>
      <c r="N142" s="332">
        <v>129</v>
      </c>
      <c r="O142" s="332">
        <v>147</v>
      </c>
      <c r="P142" s="332">
        <v>146</v>
      </c>
      <c r="Q142" s="332">
        <v>150</v>
      </c>
      <c r="R142" s="332">
        <v>164</v>
      </c>
      <c r="S142" s="332">
        <v>156</v>
      </c>
      <c r="T142" s="14">
        <v>303</v>
      </c>
      <c r="U142" s="14">
        <v>324</v>
      </c>
      <c r="V142" s="14">
        <v>325</v>
      </c>
      <c r="W142" s="428">
        <v>338</v>
      </c>
    </row>
    <row r="143" spans="3:24" ht="12.75" customHeight="1">
      <c r="C143" s="36" t="str">
        <f>VLOOKUP(127,Textbausteine!$AE$2:$AI$254,Hilfsgrössen!$D$2,FALSE)</f>
        <v>Norvège</v>
      </c>
      <c r="D143" s="1" t="str">
        <f>VLOOKUP(17,Textbausteine!$AE$2:$AI$254,Hilfsgrössen!$D$2,FALSE)</f>
        <v>Indice</v>
      </c>
      <c r="E143" s="37" t="s">
        <v>716</v>
      </c>
      <c r="H143" s="100" t="s">
        <v>1470</v>
      </c>
      <c r="I143" s="100" t="s">
        <v>1470</v>
      </c>
      <c r="J143" s="100" t="s">
        <v>1470</v>
      </c>
      <c r="K143" s="100" t="s">
        <v>1470</v>
      </c>
      <c r="L143" s="332">
        <v>206</v>
      </c>
      <c r="M143" s="332">
        <v>173</v>
      </c>
      <c r="N143" s="332">
        <v>206</v>
      </c>
      <c r="O143" s="332">
        <v>203</v>
      </c>
      <c r="P143" s="332">
        <v>214</v>
      </c>
      <c r="Q143" s="332">
        <v>209</v>
      </c>
      <c r="R143" s="332">
        <v>199</v>
      </c>
      <c r="S143" s="332">
        <v>166</v>
      </c>
      <c r="T143" s="14">
        <v>179</v>
      </c>
      <c r="U143" s="14">
        <v>211</v>
      </c>
      <c r="V143" s="14">
        <v>220</v>
      </c>
      <c r="W143" s="428">
        <v>221</v>
      </c>
      <c r="X143" s="11"/>
    </row>
    <row r="144" spans="3:24" ht="12.75" customHeight="1">
      <c r="C144" s="36" t="str">
        <f>VLOOKUP(121,Textbausteine!$AE$2:$AI$254,Hilfsgrössen!$D$2,FALSE)</f>
        <v>Finlande</v>
      </c>
      <c r="D144" s="1" t="str">
        <f>VLOOKUP(17,Textbausteine!$AE$2:$AI$254,Hilfsgrössen!$D$2,FALSE)</f>
        <v>Indice</v>
      </c>
      <c r="E144" s="37" t="s">
        <v>716</v>
      </c>
      <c r="H144" s="100" t="s">
        <v>1470</v>
      </c>
      <c r="I144" s="100" t="s">
        <v>1470</v>
      </c>
      <c r="J144" s="100" t="s">
        <v>1470</v>
      </c>
      <c r="K144" s="100" t="s">
        <v>1470</v>
      </c>
      <c r="L144" s="332">
        <v>116</v>
      </c>
      <c r="M144" s="332">
        <v>116</v>
      </c>
      <c r="N144" s="332">
        <v>117</v>
      </c>
      <c r="O144" s="332">
        <v>93</v>
      </c>
      <c r="P144" s="332">
        <v>103</v>
      </c>
      <c r="Q144" s="332">
        <v>112</v>
      </c>
      <c r="R144" s="332">
        <v>131</v>
      </c>
      <c r="S144" s="332">
        <v>130</v>
      </c>
      <c r="T144" s="14">
        <v>142</v>
      </c>
      <c r="U144" s="14">
        <v>182</v>
      </c>
      <c r="V144" s="14">
        <v>192</v>
      </c>
      <c r="W144" s="428">
        <v>201</v>
      </c>
      <c r="X144" s="11"/>
    </row>
    <row r="145" spans="3:24" ht="12.75" customHeight="1">
      <c r="C145" s="36" t="str">
        <f>VLOOKUP(125,Textbausteine!$AE$2:$AI$254,Hilfsgrössen!$D$2,FALSE)</f>
        <v>Italie</v>
      </c>
      <c r="D145" s="1" t="str">
        <f>VLOOKUP(17,Textbausteine!$AE$2:$AI$254,Hilfsgrössen!$D$2,FALSE)</f>
        <v>Indice</v>
      </c>
      <c r="E145" s="37" t="s">
        <v>716</v>
      </c>
      <c r="H145" s="100" t="s">
        <v>1470</v>
      </c>
      <c r="I145" s="100" t="s">
        <v>1470</v>
      </c>
      <c r="J145" s="100" t="s">
        <v>1470</v>
      </c>
      <c r="K145" s="100" t="s">
        <v>1470</v>
      </c>
      <c r="L145" s="332">
        <v>166</v>
      </c>
      <c r="M145" s="332">
        <v>152</v>
      </c>
      <c r="N145" s="332">
        <v>147</v>
      </c>
      <c r="O145" s="332">
        <v>130</v>
      </c>
      <c r="P145" s="332">
        <v>130</v>
      </c>
      <c r="Q145" s="332">
        <v>169</v>
      </c>
      <c r="R145" s="332">
        <v>161</v>
      </c>
      <c r="S145" s="332">
        <v>182</v>
      </c>
      <c r="T145" s="14">
        <v>182</v>
      </c>
      <c r="U145" s="14">
        <v>195</v>
      </c>
      <c r="V145" s="14">
        <v>201</v>
      </c>
      <c r="W145" s="428">
        <v>190</v>
      </c>
      <c r="X145" s="11"/>
    </row>
    <row r="146" spans="3:24" ht="12.75" customHeight="1">
      <c r="C146" s="36" t="str">
        <f>VLOOKUP(122,Textbausteine!$AE$2:$AI$254,Hilfsgrössen!$D$2,FALSE)</f>
        <v>France</v>
      </c>
      <c r="D146" s="1" t="str">
        <f>VLOOKUP(17,Textbausteine!$AE$2:$AI$254,Hilfsgrössen!$D$2,FALSE)</f>
        <v>Indice</v>
      </c>
      <c r="E146" s="37" t="s">
        <v>716</v>
      </c>
      <c r="H146" s="100" t="s">
        <v>1470</v>
      </c>
      <c r="I146" s="100" t="s">
        <v>1470</v>
      </c>
      <c r="J146" s="100" t="s">
        <v>1470</v>
      </c>
      <c r="K146" s="100" t="s">
        <v>1470</v>
      </c>
      <c r="L146" s="332">
        <v>117</v>
      </c>
      <c r="M146" s="332">
        <v>110</v>
      </c>
      <c r="N146" s="332">
        <v>114</v>
      </c>
      <c r="O146" s="332">
        <v>111</v>
      </c>
      <c r="P146" s="332">
        <v>111</v>
      </c>
      <c r="Q146" s="332">
        <v>118</v>
      </c>
      <c r="R146" s="332">
        <v>121</v>
      </c>
      <c r="S146" s="332">
        <v>119</v>
      </c>
      <c r="T146" s="14">
        <v>128</v>
      </c>
      <c r="U146" s="14">
        <v>145</v>
      </c>
      <c r="V146" s="14">
        <v>157</v>
      </c>
      <c r="W146" s="428">
        <v>160</v>
      </c>
      <c r="X146" s="11"/>
    </row>
    <row r="147" spans="3:24" ht="12.75" customHeight="1">
      <c r="C147" s="36" t="str">
        <f>VLOOKUP(126,Textbausteine!$AE$2:$AI$254,Hilfsgrössen!$D$2,FALSE)</f>
        <v>Pays-Bas</v>
      </c>
      <c r="D147" s="1" t="str">
        <f>VLOOKUP(17,Textbausteine!$AE$2:$AI$254,Hilfsgrössen!$D$2,FALSE)</f>
        <v>Indice</v>
      </c>
      <c r="E147" s="37" t="s">
        <v>716</v>
      </c>
      <c r="H147" s="100" t="s">
        <v>1470</v>
      </c>
      <c r="I147" s="100" t="s">
        <v>1470</v>
      </c>
      <c r="J147" s="100" t="s">
        <v>1470</v>
      </c>
      <c r="K147" s="100" t="s">
        <v>1470</v>
      </c>
      <c r="L147" s="332">
        <v>116</v>
      </c>
      <c r="M147" s="332">
        <v>106</v>
      </c>
      <c r="N147" s="332">
        <v>103</v>
      </c>
      <c r="O147" s="332">
        <v>95</v>
      </c>
      <c r="P147" s="332">
        <v>103</v>
      </c>
      <c r="Q147" s="332">
        <v>126</v>
      </c>
      <c r="R147" s="332">
        <v>132</v>
      </c>
      <c r="S147" s="332">
        <v>120</v>
      </c>
      <c r="T147" s="14">
        <v>126</v>
      </c>
      <c r="U147" s="14">
        <v>145</v>
      </c>
      <c r="V147" s="14">
        <v>150</v>
      </c>
      <c r="W147" s="428">
        <v>149</v>
      </c>
      <c r="X147" s="11"/>
    </row>
    <row r="148" spans="3:24" ht="12.75" customHeight="1">
      <c r="C148" s="36" t="str">
        <f>VLOOKUP(116,Textbausteine!$AE$2:$AI$254,Hilfsgrössen!$D$2,FALSE)</f>
        <v>Belgique</v>
      </c>
      <c r="D148" s="1" t="str">
        <f>VLOOKUP(17,Textbausteine!$AE$2:$AI$254,Hilfsgrössen!$D$2,FALSE)</f>
        <v>Indice</v>
      </c>
      <c r="E148" s="37" t="s">
        <v>716</v>
      </c>
      <c r="H148" s="100" t="s">
        <v>1470</v>
      </c>
      <c r="I148" s="100" t="s">
        <v>1470</v>
      </c>
      <c r="J148" s="100" t="s">
        <v>1470</v>
      </c>
      <c r="K148" s="100" t="s">
        <v>1470</v>
      </c>
      <c r="L148" s="332">
        <v>102</v>
      </c>
      <c r="M148" s="332">
        <v>105</v>
      </c>
      <c r="N148" s="332">
        <v>120</v>
      </c>
      <c r="O148" s="332">
        <v>109</v>
      </c>
      <c r="P148" s="332">
        <v>114</v>
      </c>
      <c r="Q148" s="332">
        <v>120</v>
      </c>
      <c r="R148" s="332">
        <v>118</v>
      </c>
      <c r="S148" s="332">
        <v>103</v>
      </c>
      <c r="T148" s="14">
        <v>105</v>
      </c>
      <c r="U148" s="14">
        <v>112</v>
      </c>
      <c r="V148" s="14">
        <v>121</v>
      </c>
      <c r="W148" s="428">
        <v>131</v>
      </c>
      <c r="X148" s="11"/>
    </row>
    <row r="149" spans="3:24" ht="12.75" customHeight="1">
      <c r="C149" s="36" t="str">
        <f>VLOOKUP(124,Textbausteine!$AE$2:$AI$254,Hilfsgrössen!$D$2,FALSE)</f>
        <v>Irlande</v>
      </c>
      <c r="D149" s="1" t="str">
        <f>VLOOKUP(17,Textbausteine!$AE$2:$AI$254,Hilfsgrössen!$D$2,FALSE)</f>
        <v>Indice</v>
      </c>
      <c r="E149" s="37" t="s">
        <v>716</v>
      </c>
      <c r="H149" s="100" t="s">
        <v>1470</v>
      </c>
      <c r="I149" s="100" t="s">
        <v>1470</v>
      </c>
      <c r="J149" s="100" t="s">
        <v>1470</v>
      </c>
      <c r="K149" s="100" t="s">
        <v>1470</v>
      </c>
      <c r="L149" s="332">
        <v>96</v>
      </c>
      <c r="M149" s="332">
        <v>88</v>
      </c>
      <c r="N149" s="332">
        <v>86</v>
      </c>
      <c r="O149" s="332">
        <v>76</v>
      </c>
      <c r="P149" s="332">
        <v>77</v>
      </c>
      <c r="Q149" s="332">
        <v>85</v>
      </c>
      <c r="R149" s="332">
        <v>94</v>
      </c>
      <c r="S149" s="332">
        <v>87</v>
      </c>
      <c r="T149" s="14">
        <v>89</v>
      </c>
      <c r="U149" s="14">
        <v>128</v>
      </c>
      <c r="V149" s="14">
        <v>128</v>
      </c>
      <c r="W149" s="428">
        <v>125</v>
      </c>
      <c r="X149" s="11"/>
    </row>
    <row r="150" spans="3:24" ht="12.75" customHeight="1">
      <c r="C150" s="36" t="str">
        <f>VLOOKUP(115,Textbausteine!$AE$2:$AI$254,Hilfsgrössen!$D$2,FALSE)</f>
        <v>Autriche</v>
      </c>
      <c r="D150" s="1" t="str">
        <f>VLOOKUP(17,Textbausteine!$AE$2:$AI$254,Hilfsgrössen!$D$2,FALSE)</f>
        <v>Indice</v>
      </c>
      <c r="E150" s="37" t="s">
        <v>716</v>
      </c>
      <c r="H150" s="100" t="s">
        <v>1470</v>
      </c>
      <c r="I150" s="100" t="s">
        <v>1470</v>
      </c>
      <c r="J150" s="100" t="s">
        <v>1470</v>
      </c>
      <c r="K150" s="100" t="s">
        <v>1470</v>
      </c>
      <c r="L150" s="332">
        <v>110</v>
      </c>
      <c r="M150" s="332">
        <v>100</v>
      </c>
      <c r="N150" s="332">
        <v>97</v>
      </c>
      <c r="O150" s="332">
        <v>102</v>
      </c>
      <c r="P150" s="332">
        <v>101</v>
      </c>
      <c r="Q150" s="332">
        <v>103</v>
      </c>
      <c r="R150" s="332">
        <v>101</v>
      </c>
      <c r="S150" s="332">
        <v>96</v>
      </c>
      <c r="T150" s="14">
        <v>96</v>
      </c>
      <c r="U150" s="14">
        <v>123</v>
      </c>
      <c r="V150" s="14">
        <v>130</v>
      </c>
      <c r="W150" s="428">
        <v>123</v>
      </c>
      <c r="X150" s="11"/>
    </row>
    <row r="151" spans="3:24" ht="12.75" customHeight="1">
      <c r="C151" s="36" t="str">
        <f>VLOOKUP(129,Textbausteine!$AE$2:$AI$254,Hilfsgrössen!$D$2,FALSE)</f>
        <v>Suède</v>
      </c>
      <c r="D151" s="1" t="str">
        <f>VLOOKUP(17,Textbausteine!$AE$2:$AI$254,Hilfsgrössen!$D$2,FALSE)</f>
        <v>Indice</v>
      </c>
      <c r="E151" s="37" t="s">
        <v>716</v>
      </c>
      <c r="H151" s="100" t="s">
        <v>1470</v>
      </c>
      <c r="I151" s="100" t="s">
        <v>1470</v>
      </c>
      <c r="J151" s="100" t="s">
        <v>1470</v>
      </c>
      <c r="K151" s="100" t="s">
        <v>1470</v>
      </c>
      <c r="L151" s="332">
        <v>141</v>
      </c>
      <c r="M151" s="332">
        <v>122</v>
      </c>
      <c r="N151" s="332">
        <v>140</v>
      </c>
      <c r="O151" s="332">
        <v>127</v>
      </c>
      <c r="P151" s="332">
        <v>133</v>
      </c>
      <c r="Q151" s="332">
        <v>132</v>
      </c>
      <c r="R151" s="332">
        <v>119</v>
      </c>
      <c r="S151" s="332">
        <v>103</v>
      </c>
      <c r="T151" s="14">
        <v>90</v>
      </c>
      <c r="U151" s="14">
        <v>101</v>
      </c>
      <c r="V151" s="14">
        <v>128</v>
      </c>
      <c r="W151" s="428">
        <v>118</v>
      </c>
      <c r="X151" s="11"/>
    </row>
    <row r="152" spans="3:24" ht="12.75" customHeight="1">
      <c r="C152" s="36" t="str">
        <f>VLOOKUP(118,Textbausteine!$AE$2:$AI$254,Hilfsgrössen!$D$2,FALSE)</f>
        <v>Allemagne</v>
      </c>
      <c r="D152" s="1" t="str">
        <f>VLOOKUP(17,Textbausteine!$AE$2:$AI$254,Hilfsgrössen!$D$2,FALSE)</f>
        <v>Indice</v>
      </c>
      <c r="E152" s="37" t="s">
        <v>716</v>
      </c>
      <c r="H152" s="100" t="s">
        <v>1470</v>
      </c>
      <c r="I152" s="100" t="s">
        <v>1470</v>
      </c>
      <c r="J152" s="100" t="s">
        <v>1470</v>
      </c>
      <c r="K152" s="100" t="s">
        <v>1470</v>
      </c>
      <c r="L152" s="332">
        <v>123</v>
      </c>
      <c r="M152" s="332">
        <v>113</v>
      </c>
      <c r="N152" s="332">
        <v>110</v>
      </c>
      <c r="O152" s="332">
        <v>97</v>
      </c>
      <c r="P152" s="332">
        <v>96</v>
      </c>
      <c r="Q152" s="332">
        <v>101</v>
      </c>
      <c r="R152" s="332">
        <v>99</v>
      </c>
      <c r="S152" s="332">
        <v>85</v>
      </c>
      <c r="T152" s="14">
        <v>91</v>
      </c>
      <c r="U152" s="14">
        <v>97</v>
      </c>
      <c r="V152" s="14">
        <v>95</v>
      </c>
      <c r="W152" s="428">
        <v>102</v>
      </c>
      <c r="X152" s="11"/>
    </row>
    <row r="153" spans="3:24" ht="12.75" customHeight="1">
      <c r="C153" s="317" t="str">
        <f>VLOOKUP(117,Textbausteine!$AE$2:$AI$254,Hilfsgrössen!$D$2,FALSE)</f>
        <v>Suisse</v>
      </c>
      <c r="D153" s="31" t="str">
        <f>VLOOKUP(17,Textbausteine!$AE$2:$AI$254,Hilfsgrössen!$D$2,FALSE)</f>
        <v>Indice</v>
      </c>
      <c r="E153" s="39" t="s">
        <v>716</v>
      </c>
      <c r="F153" s="39"/>
      <c r="G153" s="46"/>
      <c r="H153" s="96" t="s">
        <v>1470</v>
      </c>
      <c r="I153" s="96" t="s">
        <v>1470</v>
      </c>
      <c r="J153" s="96" t="s">
        <v>1470</v>
      </c>
      <c r="K153" s="96" t="s">
        <v>1470</v>
      </c>
      <c r="L153" s="429">
        <v>100</v>
      </c>
      <c r="M153" s="429">
        <v>100</v>
      </c>
      <c r="N153" s="429">
        <v>100</v>
      </c>
      <c r="O153" s="429">
        <v>100</v>
      </c>
      <c r="P153" s="429">
        <v>100</v>
      </c>
      <c r="Q153" s="429">
        <v>100</v>
      </c>
      <c r="R153" s="429">
        <v>100</v>
      </c>
      <c r="S153" s="429">
        <v>100</v>
      </c>
      <c r="T153" s="124">
        <v>100</v>
      </c>
      <c r="U153" s="124">
        <v>100</v>
      </c>
      <c r="V153" s="124">
        <v>100</v>
      </c>
      <c r="W153" s="430">
        <v>100</v>
      </c>
      <c r="X153" s="11"/>
    </row>
    <row r="154" spans="3:24" ht="12.75" customHeight="1">
      <c r="C154" s="36" t="str">
        <f aca="true" t="array" ref="C154">VLOOKUP(123,Textbausteine!$AE$2:$AI$254,Hilfsgrössen!$D$2,FALSE)</f>
        <v>Royaume-Uni</v>
      </c>
      <c r="D154" s="1" t="str">
        <f>VLOOKUP(17,Textbausteine!$AE$2:$AI$254,Hilfsgrössen!$D$2,FALSE)</f>
        <v>Indice</v>
      </c>
      <c r="E154" s="37" t="s">
        <v>716</v>
      </c>
      <c r="H154" s="100" t="s">
        <v>1470</v>
      </c>
      <c r="I154" s="100" t="s">
        <v>1470</v>
      </c>
      <c r="J154" s="100" t="s">
        <v>1470</v>
      </c>
      <c r="K154" s="100" t="s">
        <v>1470</v>
      </c>
      <c r="L154" s="332">
        <v>67</v>
      </c>
      <c r="M154" s="332">
        <v>56</v>
      </c>
      <c r="N154" s="332">
        <v>67</v>
      </c>
      <c r="O154" s="332">
        <v>67</v>
      </c>
      <c r="P154" s="332">
        <v>92</v>
      </c>
      <c r="Q154" s="332">
        <v>88</v>
      </c>
      <c r="R154" s="332">
        <v>97</v>
      </c>
      <c r="S154" s="332">
        <v>98</v>
      </c>
      <c r="T154" s="14">
        <v>79</v>
      </c>
      <c r="U154" s="14">
        <v>88</v>
      </c>
      <c r="V154" s="14">
        <v>89</v>
      </c>
      <c r="W154" s="428">
        <v>92</v>
      </c>
      <c r="X154" s="11"/>
    </row>
    <row r="155" spans="3:24" ht="12.75" customHeight="1">
      <c r="C155" s="36" t="str">
        <f>VLOOKUP(128,Textbausteine!$AE$2:$AI$254,Hilfsgrössen!$D$2,FALSE)</f>
        <v>Portugal</v>
      </c>
      <c r="D155" s="1" t="str">
        <f>VLOOKUP(17,Textbausteine!$AE$2:$AI$254,Hilfsgrössen!$D$2,FALSE)</f>
        <v>Indice</v>
      </c>
      <c r="E155" s="37" t="s">
        <v>716</v>
      </c>
      <c r="H155" s="100" t="s">
        <v>1470</v>
      </c>
      <c r="I155" s="100" t="s">
        <v>1470</v>
      </c>
      <c r="J155" s="100" t="s">
        <v>1470</v>
      </c>
      <c r="K155" s="100" t="s">
        <v>1470</v>
      </c>
      <c r="L155" s="332">
        <v>83</v>
      </c>
      <c r="M155" s="332">
        <v>82</v>
      </c>
      <c r="N155" s="332">
        <v>80</v>
      </c>
      <c r="O155" s="332">
        <v>71</v>
      </c>
      <c r="P155" s="332">
        <v>70</v>
      </c>
      <c r="Q155" s="332">
        <v>79</v>
      </c>
      <c r="R155" s="332">
        <v>80</v>
      </c>
      <c r="S155" s="332">
        <v>75</v>
      </c>
      <c r="T155" s="14">
        <v>78</v>
      </c>
      <c r="U155" s="14">
        <v>87</v>
      </c>
      <c r="V155" s="14">
        <v>91</v>
      </c>
      <c r="W155" s="428">
        <v>86</v>
      </c>
      <c r="X155" s="11"/>
    </row>
    <row r="156" spans="3:24" ht="12.75" customHeight="1">
      <c r="C156" s="36" t="str">
        <f>VLOOKUP(120,Textbausteine!$AE$2:$AI$254,Hilfsgrössen!$D$2,FALSE)</f>
        <v>Espagne</v>
      </c>
      <c r="D156" s="1" t="str">
        <f>VLOOKUP(17,Textbausteine!$AE$2:$AI$254,Hilfsgrössen!$D$2,FALSE)</f>
        <v>Indice</v>
      </c>
      <c r="E156" s="37" t="s">
        <v>716</v>
      </c>
      <c r="H156" s="100" t="s">
        <v>1470</v>
      </c>
      <c r="I156" s="100" t="s">
        <v>1470</v>
      </c>
      <c r="J156" s="100" t="s">
        <v>1470</v>
      </c>
      <c r="K156" s="100" t="s">
        <v>1470</v>
      </c>
      <c r="L156" s="332">
        <v>82</v>
      </c>
      <c r="M156" s="332">
        <v>83</v>
      </c>
      <c r="N156" s="332">
        <v>79</v>
      </c>
      <c r="O156" s="332">
        <v>68</v>
      </c>
      <c r="P156" s="332">
        <v>69</v>
      </c>
      <c r="Q156" s="332">
        <v>72</v>
      </c>
      <c r="R156" s="332">
        <v>72</v>
      </c>
      <c r="S156" s="332">
        <v>66</v>
      </c>
      <c r="T156" s="14">
        <v>68</v>
      </c>
      <c r="U156" s="14">
        <v>78</v>
      </c>
      <c r="V156" s="14">
        <v>82</v>
      </c>
      <c r="W156" s="428">
        <v>84</v>
      </c>
      <c r="X156" s="11"/>
    </row>
    <row r="157" spans="23:24" ht="12.75" customHeight="1">
      <c r="W157" s="259"/>
      <c r="X157" s="11"/>
    </row>
    <row r="158" spans="1:81" s="31" customFormat="1" ht="12.75" customHeight="1">
      <c r="A158" s="90"/>
      <c r="C158" s="31" t="str">
        <f>VLOOKUP(112,Textbausteine!$AE$2:$AI$254,Hilfsgrössen!$D$2,FALSE)</f>
        <v>Indice du prix des lettres en parité de pouvoir d'achat</v>
      </c>
      <c r="E158" s="39"/>
      <c r="F158" s="39"/>
      <c r="G158" s="46"/>
      <c r="H158" s="96"/>
      <c r="I158" s="96"/>
      <c r="J158" s="96"/>
      <c r="K158" s="96"/>
      <c r="L158" s="96"/>
      <c r="M158" s="96"/>
      <c r="N158" s="96"/>
      <c r="O158" s="96"/>
      <c r="P158" s="96"/>
      <c r="Q158" s="96"/>
      <c r="R158" s="96"/>
      <c r="S158" s="96"/>
      <c r="T158" s="117"/>
      <c r="U158" s="117"/>
      <c r="V158" s="117"/>
      <c r="W158" s="258"/>
      <c r="X158" s="40"/>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c r="BN158" s="39"/>
      <c r="BO158" s="39"/>
      <c r="BP158" s="39"/>
      <c r="BQ158" s="39"/>
      <c r="BR158" s="39"/>
      <c r="BS158" s="39"/>
      <c r="BT158" s="39"/>
      <c r="BU158" s="39"/>
      <c r="BV158" s="39"/>
      <c r="BW158" s="39"/>
      <c r="BX158" s="39"/>
      <c r="BY158" s="39"/>
      <c r="BZ158" s="39"/>
      <c r="CA158" s="39"/>
      <c r="CB158" s="39"/>
      <c r="CC158" s="39"/>
    </row>
    <row r="159" spans="3:23" ht="12.75" customHeight="1">
      <c r="C159" s="36" t="str">
        <f>VLOOKUP(119,Textbausteine!$AE$2:$AI$254,Hilfsgrössen!$D$2,FALSE)</f>
        <v>Danemark</v>
      </c>
      <c r="D159" s="1" t="str">
        <f>VLOOKUP(17,Textbausteine!$AE$2:$AI$254,Hilfsgrössen!$D$2,FALSE)</f>
        <v>Indice</v>
      </c>
      <c r="E159" s="37">
        <v>1</v>
      </c>
      <c r="H159" s="100" t="s">
        <v>1470</v>
      </c>
      <c r="I159" s="100" t="s">
        <v>1470</v>
      </c>
      <c r="J159" s="100" t="s">
        <v>1470</v>
      </c>
      <c r="K159" s="100" t="s">
        <v>1470</v>
      </c>
      <c r="L159" s="100" t="s">
        <v>1470</v>
      </c>
      <c r="M159" s="100" t="s">
        <v>1470</v>
      </c>
      <c r="N159" s="100" t="s">
        <v>1470</v>
      </c>
      <c r="O159" s="100">
        <v>172</v>
      </c>
      <c r="P159" s="100">
        <v>169</v>
      </c>
      <c r="Q159" s="100">
        <v>163</v>
      </c>
      <c r="R159" s="100">
        <v>182</v>
      </c>
      <c r="S159" s="100">
        <v>193</v>
      </c>
      <c r="T159" s="20">
        <v>354</v>
      </c>
      <c r="U159" s="20">
        <v>352</v>
      </c>
      <c r="V159" s="20">
        <v>358</v>
      </c>
      <c r="W159" s="259">
        <v>393</v>
      </c>
    </row>
    <row r="160" spans="3:23" ht="12.75" customHeight="1">
      <c r="C160" s="36" t="str">
        <f>VLOOKUP(125,Textbausteine!$AE$2:$AI$254,Hilfsgrössen!$D$2,FALSE)</f>
        <v>Italie</v>
      </c>
      <c r="D160" s="1" t="str">
        <f>VLOOKUP(17,Textbausteine!$AE$2:$AI$254,Hilfsgrössen!$D$2,FALSE)</f>
        <v>Indice</v>
      </c>
      <c r="E160" s="37">
        <v>1</v>
      </c>
      <c r="H160" s="100" t="s">
        <v>1470</v>
      </c>
      <c r="I160" s="100" t="s">
        <v>1470</v>
      </c>
      <c r="J160" s="100" t="s">
        <v>1470</v>
      </c>
      <c r="K160" s="100" t="s">
        <v>1470</v>
      </c>
      <c r="L160" s="100" t="s">
        <v>1470</v>
      </c>
      <c r="M160" s="100" t="s">
        <v>1470</v>
      </c>
      <c r="N160" s="100" t="s">
        <v>1470</v>
      </c>
      <c r="O160" s="100">
        <v>201</v>
      </c>
      <c r="P160" s="100">
        <v>199</v>
      </c>
      <c r="Q160" s="100">
        <v>245</v>
      </c>
      <c r="R160" s="100">
        <v>245</v>
      </c>
      <c r="S160" s="100">
        <v>302</v>
      </c>
      <c r="T160" s="20">
        <v>285</v>
      </c>
      <c r="U160" s="20">
        <v>285</v>
      </c>
      <c r="V160" s="20">
        <v>299</v>
      </c>
      <c r="W160" s="259">
        <v>295</v>
      </c>
    </row>
    <row r="161" spans="3:23" ht="12.75" customHeight="1">
      <c r="C161" s="36" t="str">
        <f>VLOOKUP(121,Textbausteine!$AE$2:$AI$254,Hilfsgrössen!$D$2,FALSE)</f>
        <v>Finlande</v>
      </c>
      <c r="D161" s="1" t="str">
        <f>VLOOKUP(17,Textbausteine!$AE$2:$AI$254,Hilfsgrössen!$D$2,FALSE)</f>
        <v>Indice</v>
      </c>
      <c r="E161" s="37" t="s">
        <v>716</v>
      </c>
      <c r="H161" s="100" t="s">
        <v>1470</v>
      </c>
      <c r="I161" s="100" t="s">
        <v>1470</v>
      </c>
      <c r="J161" s="100" t="s">
        <v>1470</v>
      </c>
      <c r="K161" s="100" t="s">
        <v>1470</v>
      </c>
      <c r="L161" s="100" t="s">
        <v>1470</v>
      </c>
      <c r="M161" s="100" t="s">
        <v>1470</v>
      </c>
      <c r="N161" s="100" t="s">
        <v>1470</v>
      </c>
      <c r="O161" s="100">
        <v>121</v>
      </c>
      <c r="P161" s="100">
        <v>133</v>
      </c>
      <c r="Q161" s="100">
        <v>137</v>
      </c>
      <c r="R161" s="100">
        <v>162</v>
      </c>
      <c r="S161" s="100">
        <v>174</v>
      </c>
      <c r="T161" s="20">
        <v>180</v>
      </c>
      <c r="U161" s="20">
        <v>213</v>
      </c>
      <c r="V161" s="20">
        <v>227</v>
      </c>
      <c r="W161" s="259">
        <v>248</v>
      </c>
    </row>
    <row r="162" spans="3:23" ht="12.75" customHeight="1">
      <c r="C162" s="36" t="str">
        <f>VLOOKUP(127,Textbausteine!$AE$2:$AI$254,Hilfsgrössen!$D$2,FALSE)</f>
        <v>Norvège</v>
      </c>
      <c r="D162" s="1" t="str">
        <f>VLOOKUP(17,Textbausteine!$AE$2:$AI$254,Hilfsgrössen!$D$2,FALSE)</f>
        <v>Indice</v>
      </c>
      <c r="E162" s="37">
        <v>1</v>
      </c>
      <c r="H162" s="100" t="s">
        <v>1470</v>
      </c>
      <c r="I162" s="100" t="s">
        <v>1470</v>
      </c>
      <c r="J162" s="100" t="s">
        <v>1470</v>
      </c>
      <c r="K162" s="100" t="s">
        <v>1470</v>
      </c>
      <c r="L162" s="100" t="s">
        <v>1470</v>
      </c>
      <c r="M162" s="100" t="s">
        <v>1470</v>
      </c>
      <c r="N162" s="100" t="s">
        <v>1470</v>
      </c>
      <c r="O162" s="100">
        <v>202</v>
      </c>
      <c r="P162" s="100">
        <v>215</v>
      </c>
      <c r="Q162" s="100">
        <v>215</v>
      </c>
      <c r="R162" s="100">
        <v>215</v>
      </c>
      <c r="S162" s="100">
        <v>206</v>
      </c>
      <c r="T162" s="20">
        <v>196</v>
      </c>
      <c r="U162" s="20">
        <v>212</v>
      </c>
      <c r="V162" s="20">
        <v>221</v>
      </c>
      <c r="W162" s="259">
        <v>242</v>
      </c>
    </row>
    <row r="163" spans="3:23" ht="12.75" customHeight="1">
      <c r="C163" s="36" t="str">
        <f>VLOOKUP(122,Textbausteine!$AE$2:$AI$254,Hilfsgrössen!$D$2,FALSE)</f>
        <v>France</v>
      </c>
      <c r="D163" s="1" t="str">
        <f>VLOOKUP(17,Textbausteine!$AE$2:$AI$254,Hilfsgrössen!$D$2,FALSE)</f>
        <v>Indice</v>
      </c>
      <c r="E163" s="37">
        <v>1</v>
      </c>
      <c r="H163" s="100" t="s">
        <v>1470</v>
      </c>
      <c r="I163" s="100" t="s">
        <v>1470</v>
      </c>
      <c r="J163" s="100" t="s">
        <v>1470</v>
      </c>
      <c r="K163" s="100" t="s">
        <v>1470</v>
      </c>
      <c r="L163" s="100" t="s">
        <v>1470</v>
      </c>
      <c r="M163" s="100" t="s">
        <v>1470</v>
      </c>
      <c r="N163" s="100" t="s">
        <v>1470</v>
      </c>
      <c r="O163" s="100">
        <v>158</v>
      </c>
      <c r="P163" s="100">
        <v>154</v>
      </c>
      <c r="Q163" s="100">
        <v>156</v>
      </c>
      <c r="R163" s="100">
        <v>165</v>
      </c>
      <c r="S163" s="100">
        <v>180</v>
      </c>
      <c r="T163" s="20">
        <v>183</v>
      </c>
      <c r="U163" s="20">
        <v>191</v>
      </c>
      <c r="V163" s="20">
        <v>211</v>
      </c>
      <c r="W163" s="259">
        <v>223</v>
      </c>
    </row>
    <row r="164" spans="3:23" ht="12.75" customHeight="1">
      <c r="C164" s="36" t="str">
        <f>VLOOKUP(126,Textbausteine!$AE$2:$AI$254,Hilfsgrössen!$D$2,FALSE)</f>
        <v>Pays-Bas</v>
      </c>
      <c r="D164" s="1" t="str">
        <f>VLOOKUP(17,Textbausteine!$AE$2:$AI$254,Hilfsgrössen!$D$2,FALSE)</f>
        <v>Indice</v>
      </c>
      <c r="E164" s="37">
        <v>1</v>
      </c>
      <c r="H164" s="100" t="s">
        <v>1470</v>
      </c>
      <c r="I164" s="100" t="s">
        <v>1470</v>
      </c>
      <c r="J164" s="100" t="s">
        <v>1470</v>
      </c>
      <c r="K164" s="100" t="s">
        <v>1470</v>
      </c>
      <c r="L164" s="100" t="s">
        <v>1470</v>
      </c>
      <c r="M164" s="100" t="s">
        <v>1470</v>
      </c>
      <c r="N164" s="100" t="s">
        <v>1470</v>
      </c>
      <c r="O164" s="100">
        <v>141</v>
      </c>
      <c r="P164" s="100">
        <v>148</v>
      </c>
      <c r="Q164" s="100">
        <v>172</v>
      </c>
      <c r="R164" s="100">
        <v>184</v>
      </c>
      <c r="S164" s="100">
        <v>183</v>
      </c>
      <c r="T164" s="20">
        <v>180</v>
      </c>
      <c r="U164" s="20">
        <v>189</v>
      </c>
      <c r="V164" s="20">
        <v>197</v>
      </c>
      <c r="W164" s="259">
        <v>202</v>
      </c>
    </row>
    <row r="165" spans="3:23" ht="12.75" customHeight="1">
      <c r="C165" s="36" t="str">
        <f>VLOOKUP(116,Textbausteine!$AE$2:$AI$254,Hilfsgrössen!$D$2,FALSE)</f>
        <v>Belgique</v>
      </c>
      <c r="D165" s="1" t="str">
        <f>VLOOKUP(17,Textbausteine!$AE$2:$AI$254,Hilfsgrössen!$D$2,FALSE)</f>
        <v>Indice</v>
      </c>
      <c r="E165" s="37">
        <v>1</v>
      </c>
      <c r="H165" s="100" t="s">
        <v>1470</v>
      </c>
      <c r="I165" s="100" t="s">
        <v>1470</v>
      </c>
      <c r="J165" s="100" t="s">
        <v>1470</v>
      </c>
      <c r="K165" s="100" t="s">
        <v>1470</v>
      </c>
      <c r="L165" s="100" t="s">
        <v>1470</v>
      </c>
      <c r="M165" s="100" t="s">
        <v>1470</v>
      </c>
      <c r="N165" s="100" t="s">
        <v>1470</v>
      </c>
      <c r="O165" s="100">
        <v>155</v>
      </c>
      <c r="P165" s="100">
        <v>159</v>
      </c>
      <c r="Q165" s="100">
        <v>159</v>
      </c>
      <c r="R165" s="100">
        <v>160</v>
      </c>
      <c r="S165" s="100">
        <v>155</v>
      </c>
      <c r="T165" s="20">
        <v>150</v>
      </c>
      <c r="U165" s="20">
        <v>148</v>
      </c>
      <c r="V165" s="20">
        <v>162</v>
      </c>
      <c r="W165" s="259">
        <v>181</v>
      </c>
    </row>
    <row r="166" spans="3:23" ht="12.75" customHeight="1">
      <c r="C166" s="36" t="str">
        <f>VLOOKUP(115,Textbausteine!$AE$2:$AI$254,Hilfsgrössen!$D$2,FALSE)</f>
        <v>Autriche</v>
      </c>
      <c r="D166" s="1" t="str">
        <f>VLOOKUP(17,Textbausteine!$AE$2:$AI$254,Hilfsgrössen!$D$2,FALSE)</f>
        <v>Indice</v>
      </c>
      <c r="E166" s="37">
        <v>1</v>
      </c>
      <c r="H166" s="100" t="s">
        <v>1470</v>
      </c>
      <c r="I166" s="100" t="s">
        <v>1470</v>
      </c>
      <c r="J166" s="100" t="s">
        <v>1470</v>
      </c>
      <c r="K166" s="100" t="s">
        <v>1470</v>
      </c>
      <c r="L166" s="100" t="s">
        <v>1470</v>
      </c>
      <c r="M166" s="100" t="s">
        <v>1470</v>
      </c>
      <c r="N166" s="100" t="s">
        <v>1470</v>
      </c>
      <c r="O166" s="100">
        <v>148</v>
      </c>
      <c r="P166" s="100">
        <v>144</v>
      </c>
      <c r="Q166" s="100">
        <v>141</v>
      </c>
      <c r="R166" s="100">
        <v>139</v>
      </c>
      <c r="S166" s="100">
        <v>145</v>
      </c>
      <c r="T166" s="20">
        <v>138</v>
      </c>
      <c r="U166" s="20">
        <v>163</v>
      </c>
      <c r="V166" s="20">
        <v>173</v>
      </c>
      <c r="W166" s="259">
        <v>169</v>
      </c>
    </row>
    <row r="167" spans="3:23" ht="12.75" customHeight="1">
      <c r="C167" s="36" t="str">
        <f>VLOOKUP(124,Textbausteine!$AE$2:$AI$254,Hilfsgrössen!$D$2,FALSE)</f>
        <v>Irlande</v>
      </c>
      <c r="D167" s="1" t="str">
        <f>VLOOKUP(17,Textbausteine!$AE$2:$AI$254,Hilfsgrössen!$D$2,FALSE)</f>
        <v>Indice</v>
      </c>
      <c r="E167" s="37">
        <v>1</v>
      </c>
      <c r="H167" s="100" t="s">
        <v>1470</v>
      </c>
      <c r="I167" s="100" t="s">
        <v>1470</v>
      </c>
      <c r="J167" s="100" t="s">
        <v>1470</v>
      </c>
      <c r="K167" s="100" t="s">
        <v>1470</v>
      </c>
      <c r="L167" s="100" t="s">
        <v>1470</v>
      </c>
      <c r="M167" s="100" t="s">
        <v>1470</v>
      </c>
      <c r="N167" s="100" t="s">
        <v>1470</v>
      </c>
      <c r="O167" s="100">
        <v>111</v>
      </c>
      <c r="P167" s="100">
        <v>112</v>
      </c>
      <c r="Q167" s="100">
        <v>118</v>
      </c>
      <c r="R167" s="100">
        <v>131</v>
      </c>
      <c r="S167" s="100">
        <v>130</v>
      </c>
      <c r="T167" s="20">
        <v>124</v>
      </c>
      <c r="U167" s="20">
        <v>168</v>
      </c>
      <c r="V167" s="20">
        <v>169</v>
      </c>
      <c r="W167" s="259">
        <v>169</v>
      </c>
    </row>
    <row r="168" spans="3:23" ht="12.75" customHeight="1">
      <c r="C168" s="36" t="str">
        <f>VLOOKUP(128,Textbausteine!$AE$2:$AI$254,Hilfsgrössen!$D$2,FALSE)</f>
        <v>Portugal</v>
      </c>
      <c r="D168" s="1" t="str">
        <f>VLOOKUP(17,Textbausteine!$AE$2:$AI$254,Hilfsgrössen!$D$2,FALSE)</f>
        <v>Indice</v>
      </c>
      <c r="E168" s="37">
        <v>1</v>
      </c>
      <c r="H168" s="100" t="s">
        <v>1470</v>
      </c>
      <c r="I168" s="100" t="s">
        <v>1470</v>
      </c>
      <c r="J168" s="100" t="s">
        <v>1470</v>
      </c>
      <c r="K168" s="100" t="s">
        <v>1470</v>
      </c>
      <c r="L168" s="100" t="s">
        <v>1470</v>
      </c>
      <c r="M168" s="100" t="s">
        <v>1470</v>
      </c>
      <c r="N168" s="100" t="s">
        <v>1470</v>
      </c>
      <c r="O168" s="100">
        <v>138</v>
      </c>
      <c r="P168" s="100">
        <v>134</v>
      </c>
      <c r="Q168" s="100">
        <v>145</v>
      </c>
      <c r="R168" s="100">
        <v>151</v>
      </c>
      <c r="S168" s="100">
        <v>160</v>
      </c>
      <c r="T168" s="20">
        <v>154</v>
      </c>
      <c r="U168" s="20">
        <v>158</v>
      </c>
      <c r="V168" s="20">
        <v>164</v>
      </c>
      <c r="W168" s="259">
        <v>156</v>
      </c>
    </row>
    <row r="169" spans="3:23" ht="12.75" customHeight="1">
      <c r="C169" s="36" t="str">
        <f>VLOOKUP(129,Textbausteine!$AE$2:$AI$254,Hilfsgrössen!$D$2,FALSE)</f>
        <v>Suède</v>
      </c>
      <c r="D169" s="1" t="str">
        <f>VLOOKUP(17,Textbausteine!$AE$2:$AI$254,Hilfsgrössen!$D$2,FALSE)</f>
        <v>Indice</v>
      </c>
      <c r="E169" s="37" t="s">
        <v>716</v>
      </c>
      <c r="H169" s="100" t="s">
        <v>1470</v>
      </c>
      <c r="I169" s="100" t="s">
        <v>1470</v>
      </c>
      <c r="J169" s="100" t="s">
        <v>1470</v>
      </c>
      <c r="K169" s="100" t="s">
        <v>1470</v>
      </c>
      <c r="L169" s="100" t="s">
        <v>1470</v>
      </c>
      <c r="M169" s="100" t="s">
        <v>1470</v>
      </c>
      <c r="N169" s="100" t="s">
        <v>1470</v>
      </c>
      <c r="O169" s="100">
        <v>159</v>
      </c>
      <c r="P169" s="100">
        <v>154</v>
      </c>
      <c r="Q169" s="100">
        <v>152</v>
      </c>
      <c r="R169" s="100">
        <v>146</v>
      </c>
      <c r="S169" s="100">
        <v>136</v>
      </c>
      <c r="T169" s="20">
        <v>115</v>
      </c>
      <c r="U169" s="20">
        <v>116</v>
      </c>
      <c r="V169" s="20">
        <v>156</v>
      </c>
      <c r="W169" s="259">
        <v>154</v>
      </c>
    </row>
    <row r="170" spans="3:23" ht="12.75" customHeight="1">
      <c r="C170" s="36" t="str">
        <f>VLOOKUP(118,Textbausteine!$AE$2:$AI$254,Hilfsgrössen!$D$2,FALSE)</f>
        <v>Allemagne</v>
      </c>
      <c r="D170" s="1" t="str">
        <f>VLOOKUP(17,Textbausteine!$AE$2:$AI$254,Hilfsgrössen!$D$2,FALSE)</f>
        <v>Indice</v>
      </c>
      <c r="E170" s="37">
        <v>1</v>
      </c>
      <c r="H170" s="100" t="s">
        <v>1470</v>
      </c>
      <c r="I170" s="100" t="s">
        <v>1470</v>
      </c>
      <c r="J170" s="100" t="s">
        <v>1470</v>
      </c>
      <c r="K170" s="100" t="s">
        <v>1470</v>
      </c>
      <c r="L170" s="100" t="s">
        <v>1470</v>
      </c>
      <c r="M170" s="100" t="s">
        <v>1470</v>
      </c>
      <c r="N170" s="100" t="s">
        <v>1470</v>
      </c>
      <c r="O170" s="100">
        <v>150</v>
      </c>
      <c r="P170" s="100">
        <v>145</v>
      </c>
      <c r="Q170" s="100">
        <v>144</v>
      </c>
      <c r="R170" s="100">
        <v>146</v>
      </c>
      <c r="S170" s="100">
        <v>137</v>
      </c>
      <c r="T170" s="20">
        <v>136</v>
      </c>
      <c r="U170" s="20">
        <v>132</v>
      </c>
      <c r="V170" s="20">
        <v>130</v>
      </c>
      <c r="W170" s="259">
        <v>145</v>
      </c>
    </row>
    <row r="171" spans="3:23" ht="12.75" customHeight="1">
      <c r="C171" s="36" t="str">
        <f>VLOOKUP(120,Textbausteine!$AE$2:$AI$254,Hilfsgrössen!$D$2,FALSE)</f>
        <v>Espagne</v>
      </c>
      <c r="D171" s="1" t="str">
        <f>VLOOKUP(17,Textbausteine!$AE$2:$AI$254,Hilfsgrössen!$D$2,FALSE)</f>
        <v>Indice</v>
      </c>
      <c r="E171" s="37">
        <v>1</v>
      </c>
      <c r="H171" s="100" t="s">
        <v>1470</v>
      </c>
      <c r="I171" s="100" t="s">
        <v>1470</v>
      </c>
      <c r="J171" s="100" t="s">
        <v>1470</v>
      </c>
      <c r="K171" s="100" t="s">
        <v>1470</v>
      </c>
      <c r="L171" s="100" t="s">
        <v>1470</v>
      </c>
      <c r="M171" s="100" t="s">
        <v>1470</v>
      </c>
      <c r="N171" s="100" t="s">
        <v>1470</v>
      </c>
      <c r="O171" s="100">
        <v>117</v>
      </c>
      <c r="P171" s="100">
        <v>117</v>
      </c>
      <c r="Q171" s="100">
        <v>117</v>
      </c>
      <c r="R171" s="100">
        <v>122</v>
      </c>
      <c r="S171" s="100">
        <v>122</v>
      </c>
      <c r="T171" s="20">
        <v>119</v>
      </c>
      <c r="U171" s="20">
        <v>125</v>
      </c>
      <c r="V171" s="20">
        <v>134</v>
      </c>
      <c r="W171" s="259">
        <v>141</v>
      </c>
    </row>
    <row r="172" spans="3:23" ht="12.75" customHeight="1">
      <c r="C172" s="36" t="str">
        <f>VLOOKUP(123,Textbausteine!$AE$2:$AI$254,Hilfsgrössen!$D$2,FALSE)</f>
        <v>Royaume-Uni</v>
      </c>
      <c r="D172" s="1" t="str">
        <f>VLOOKUP(17,Textbausteine!$AE$2:$AI$254,Hilfsgrössen!$D$2,FALSE)</f>
        <v>Indice</v>
      </c>
      <c r="E172" s="37">
        <v>1</v>
      </c>
      <c r="H172" s="100" t="s">
        <v>1470</v>
      </c>
      <c r="I172" s="100" t="s">
        <v>1470</v>
      </c>
      <c r="J172" s="100" t="s">
        <v>1470</v>
      </c>
      <c r="K172" s="100" t="s">
        <v>1470</v>
      </c>
      <c r="L172" s="100" t="s">
        <v>1470</v>
      </c>
      <c r="M172" s="100" t="s">
        <v>1470</v>
      </c>
      <c r="N172" s="100" t="s">
        <v>1470</v>
      </c>
      <c r="O172" s="100">
        <v>107</v>
      </c>
      <c r="P172" s="100">
        <v>132</v>
      </c>
      <c r="Q172" s="100">
        <v>127</v>
      </c>
      <c r="R172" s="100">
        <v>126</v>
      </c>
      <c r="S172" s="100">
        <v>124</v>
      </c>
      <c r="T172" s="20">
        <v>121</v>
      </c>
      <c r="U172" s="20">
        <v>118</v>
      </c>
      <c r="V172" s="20">
        <v>118</v>
      </c>
      <c r="W172" s="259">
        <v>123</v>
      </c>
    </row>
    <row r="173" spans="1:81" s="31" customFormat="1" ht="12.75" customHeight="1">
      <c r="A173" s="90"/>
      <c r="C173" s="317" t="str">
        <f>VLOOKUP(117,Textbausteine!$AE$2:$AI$254,Hilfsgrössen!$D$2,FALSE)</f>
        <v>Suisse</v>
      </c>
      <c r="D173" s="31" t="str">
        <f>VLOOKUP(17,Textbausteine!$AE$2:$AI$254,Hilfsgrössen!$D$2,FALSE)</f>
        <v>Indice</v>
      </c>
      <c r="E173" s="39">
        <v>1</v>
      </c>
      <c r="F173" s="39"/>
      <c r="G173" s="46"/>
      <c r="H173" s="96" t="s">
        <v>1470</v>
      </c>
      <c r="I173" s="96" t="s">
        <v>1470</v>
      </c>
      <c r="J173" s="96" t="s">
        <v>1470</v>
      </c>
      <c r="K173" s="96" t="s">
        <v>1470</v>
      </c>
      <c r="L173" s="96" t="s">
        <v>1470</v>
      </c>
      <c r="M173" s="96" t="s">
        <v>1470</v>
      </c>
      <c r="N173" s="96" t="s">
        <v>1470</v>
      </c>
      <c r="O173" s="96">
        <v>100</v>
      </c>
      <c r="P173" s="96">
        <v>100</v>
      </c>
      <c r="Q173" s="96">
        <v>100</v>
      </c>
      <c r="R173" s="96">
        <v>100</v>
      </c>
      <c r="S173" s="96">
        <v>100</v>
      </c>
      <c r="T173" s="117">
        <v>100</v>
      </c>
      <c r="U173" s="117">
        <v>100</v>
      </c>
      <c r="V173" s="117">
        <v>100</v>
      </c>
      <c r="W173" s="258">
        <v>100</v>
      </c>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c r="BN173" s="39"/>
      <c r="BO173" s="39"/>
      <c r="BP173" s="39"/>
      <c r="BQ173" s="39"/>
      <c r="BR173" s="39"/>
      <c r="BS173" s="39"/>
      <c r="BT173" s="39"/>
      <c r="BU173" s="39"/>
      <c r="BV173" s="39"/>
      <c r="BW173" s="39"/>
      <c r="BX173" s="39"/>
      <c r="BY173" s="39"/>
      <c r="BZ173" s="39"/>
      <c r="CA173" s="39"/>
      <c r="CB173" s="39"/>
      <c r="CC173" s="39"/>
    </row>
    <row r="174" ht="12.75" customHeight="1">
      <c r="W174" s="259"/>
    </row>
    <row r="175" spans="1:81" s="31" customFormat="1" ht="12.75" customHeight="1">
      <c r="A175" s="90"/>
      <c r="C175" s="31" t="str">
        <f>VLOOKUP(113,Textbausteine!$AE$2:$AI$254,Hilfsgrössen!$D$2,FALSE)</f>
        <v>Indice du prix des colis corrigé du taux de change</v>
      </c>
      <c r="E175" s="39"/>
      <c r="F175" s="39"/>
      <c r="G175" s="46"/>
      <c r="H175" s="96"/>
      <c r="I175" s="96"/>
      <c r="J175" s="96"/>
      <c r="K175" s="96"/>
      <c r="L175" s="96"/>
      <c r="M175" s="96"/>
      <c r="N175" s="96"/>
      <c r="O175" s="96"/>
      <c r="P175" s="96"/>
      <c r="Q175" s="96"/>
      <c r="R175" s="96"/>
      <c r="S175" s="96"/>
      <c r="T175" s="117"/>
      <c r="U175" s="117"/>
      <c r="V175" s="117"/>
      <c r="W175" s="258"/>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c r="BM175" s="39"/>
      <c r="BN175" s="39"/>
      <c r="BO175" s="39"/>
      <c r="BP175" s="39"/>
      <c r="BQ175" s="39"/>
      <c r="BR175" s="39"/>
      <c r="BS175" s="39"/>
      <c r="BT175" s="39"/>
      <c r="BU175" s="39"/>
      <c r="BV175" s="39"/>
      <c r="BW175" s="39"/>
      <c r="BX175" s="39"/>
      <c r="BY175" s="39"/>
      <c r="BZ175" s="39"/>
      <c r="CA175" s="39"/>
      <c r="CB175" s="39"/>
      <c r="CC175" s="39"/>
    </row>
    <row r="176" spans="3:23" ht="12.75" customHeight="1">
      <c r="C176" s="36" t="str">
        <f>VLOOKUP(121,Textbausteine!$AE$2:$AI$254,Hilfsgrössen!$D$2,FALSE)</f>
        <v>Finlande</v>
      </c>
      <c r="D176" s="1" t="str">
        <f>VLOOKUP(17,Textbausteine!$AE$2:$AI$254,Hilfsgrössen!$D$2,FALSE)</f>
        <v>Indice</v>
      </c>
      <c r="E176" s="37" t="s">
        <v>382</v>
      </c>
      <c r="H176" s="100" t="s">
        <v>1470</v>
      </c>
      <c r="I176" s="100" t="s">
        <v>1470</v>
      </c>
      <c r="J176" s="100" t="s">
        <v>1470</v>
      </c>
      <c r="K176" s="100" t="s">
        <v>1470</v>
      </c>
      <c r="L176" s="332">
        <v>308</v>
      </c>
      <c r="M176" s="332">
        <v>284</v>
      </c>
      <c r="N176" s="332">
        <v>245</v>
      </c>
      <c r="O176" s="332">
        <v>219</v>
      </c>
      <c r="P176" s="332">
        <v>217</v>
      </c>
      <c r="Q176" s="332">
        <v>243</v>
      </c>
      <c r="R176" s="332">
        <v>245</v>
      </c>
      <c r="S176" s="332">
        <v>265</v>
      </c>
      <c r="T176" s="14">
        <v>272</v>
      </c>
      <c r="U176" s="14">
        <v>295</v>
      </c>
      <c r="V176" s="14">
        <v>298</v>
      </c>
      <c r="W176" s="428">
        <v>287</v>
      </c>
    </row>
    <row r="177" spans="3:23" ht="12.75" customHeight="1">
      <c r="C177" s="36" t="str">
        <f>VLOOKUP(127,Textbausteine!$AE$2:$AI$254,Hilfsgrössen!$D$2,FALSE)</f>
        <v>Norvège</v>
      </c>
      <c r="D177" s="1" t="str">
        <f>VLOOKUP(17,Textbausteine!$AE$2:$AI$254,Hilfsgrössen!$D$2,FALSE)</f>
        <v>Indice</v>
      </c>
      <c r="E177" s="37" t="s">
        <v>382</v>
      </c>
      <c r="H177" s="100" t="s">
        <v>1470</v>
      </c>
      <c r="I177" s="100" t="s">
        <v>1470</v>
      </c>
      <c r="J177" s="100" t="s">
        <v>1470</v>
      </c>
      <c r="K177" s="100" t="s">
        <v>1470</v>
      </c>
      <c r="L177" s="332">
        <v>370</v>
      </c>
      <c r="M177" s="332">
        <v>316</v>
      </c>
      <c r="N177" s="332">
        <v>323</v>
      </c>
      <c r="O177" s="332">
        <v>318</v>
      </c>
      <c r="P177" s="332">
        <v>353</v>
      </c>
      <c r="Q177" s="332">
        <v>271</v>
      </c>
      <c r="R177" s="332">
        <v>270</v>
      </c>
      <c r="S177" s="332">
        <v>227</v>
      </c>
      <c r="T177" s="14">
        <v>241</v>
      </c>
      <c r="U177" s="14">
        <v>260</v>
      </c>
      <c r="V177" s="14">
        <v>257</v>
      </c>
      <c r="W177" s="428">
        <v>238</v>
      </c>
    </row>
    <row r="178" spans="3:23" ht="12.75" customHeight="1">
      <c r="C178" s="36" t="str">
        <f>VLOOKUP(129,Textbausteine!$AE$2:$AI$254,Hilfsgrössen!$D$2,FALSE)</f>
        <v>Suède</v>
      </c>
      <c r="D178" s="1" t="str">
        <f>VLOOKUP(17,Textbausteine!$AE$2:$AI$254,Hilfsgrössen!$D$2,FALSE)</f>
        <v>Indice</v>
      </c>
      <c r="E178" s="37" t="s">
        <v>382</v>
      </c>
      <c r="H178" s="100" t="s">
        <v>1470</v>
      </c>
      <c r="I178" s="100" t="s">
        <v>1470</v>
      </c>
      <c r="J178" s="100" t="s">
        <v>1470</v>
      </c>
      <c r="K178" s="100" t="s">
        <v>1470</v>
      </c>
      <c r="L178" s="332">
        <v>399</v>
      </c>
      <c r="M178" s="332">
        <v>339</v>
      </c>
      <c r="N178" s="332">
        <v>311</v>
      </c>
      <c r="O178" s="332">
        <v>285</v>
      </c>
      <c r="P178" s="332">
        <v>307</v>
      </c>
      <c r="Q178" s="332">
        <v>308</v>
      </c>
      <c r="R178" s="332">
        <v>288</v>
      </c>
      <c r="S178" s="332">
        <v>256</v>
      </c>
      <c r="T178" s="14">
        <v>226</v>
      </c>
      <c r="U178" s="14">
        <v>246</v>
      </c>
      <c r="V178" s="14">
        <v>197</v>
      </c>
      <c r="W178" s="428">
        <v>183</v>
      </c>
    </row>
    <row r="179" spans="3:23" ht="12.75" customHeight="1">
      <c r="C179" s="36" t="str">
        <f>VLOOKUP(120,Textbausteine!$AE$2:$AI$254,Hilfsgrössen!$D$2,FALSE)</f>
        <v>Espagne</v>
      </c>
      <c r="D179" s="1" t="str">
        <f>VLOOKUP(17,Textbausteine!$AE$2:$AI$254,Hilfsgrössen!$D$2,FALSE)</f>
        <v>Indice</v>
      </c>
      <c r="E179" s="37" t="s">
        <v>382</v>
      </c>
      <c r="H179" s="100" t="s">
        <v>1470</v>
      </c>
      <c r="I179" s="100" t="s">
        <v>1470</v>
      </c>
      <c r="J179" s="100" t="s">
        <v>1470</v>
      </c>
      <c r="K179" s="100" t="s">
        <v>1470</v>
      </c>
      <c r="L179" s="332">
        <v>170</v>
      </c>
      <c r="M179" s="332">
        <v>163</v>
      </c>
      <c r="N179" s="332">
        <v>141</v>
      </c>
      <c r="O179" s="332">
        <v>125</v>
      </c>
      <c r="P179" s="332">
        <v>132</v>
      </c>
      <c r="Q179" s="332">
        <v>137</v>
      </c>
      <c r="R179" s="332">
        <v>143</v>
      </c>
      <c r="S179" s="332">
        <v>138</v>
      </c>
      <c r="T179" s="14">
        <v>138</v>
      </c>
      <c r="U179" s="14">
        <v>177</v>
      </c>
      <c r="V179" s="14">
        <v>184</v>
      </c>
      <c r="W179" s="428">
        <v>181</v>
      </c>
    </row>
    <row r="180" spans="3:23" ht="12.75" customHeight="1">
      <c r="C180" s="36" t="str">
        <f>VLOOKUP(124,Textbausteine!$AE$2:$AI$254,Hilfsgrössen!$D$2,FALSE)</f>
        <v>Irlande</v>
      </c>
      <c r="D180" s="1" t="str">
        <f>VLOOKUP(17,Textbausteine!$AE$2:$AI$254,Hilfsgrössen!$D$2,FALSE)</f>
        <v>Indice</v>
      </c>
      <c r="E180" s="37" t="s">
        <v>382</v>
      </c>
      <c r="H180" s="100" t="s">
        <v>1470</v>
      </c>
      <c r="I180" s="100" t="s">
        <v>1470</v>
      </c>
      <c r="J180" s="100" t="s">
        <v>1470</v>
      </c>
      <c r="K180" s="100" t="s">
        <v>1470</v>
      </c>
      <c r="L180" s="332">
        <v>211</v>
      </c>
      <c r="M180" s="332">
        <v>195</v>
      </c>
      <c r="N180" s="332">
        <v>154</v>
      </c>
      <c r="O180" s="332">
        <v>137</v>
      </c>
      <c r="P180" s="332">
        <v>140</v>
      </c>
      <c r="Q180" s="332">
        <v>144</v>
      </c>
      <c r="R180" s="332">
        <v>151</v>
      </c>
      <c r="S180" s="332">
        <v>137</v>
      </c>
      <c r="T180" s="14">
        <v>138</v>
      </c>
      <c r="U180" s="14">
        <v>162</v>
      </c>
      <c r="V180" s="14">
        <v>169</v>
      </c>
      <c r="W180" s="428">
        <v>159</v>
      </c>
    </row>
    <row r="181" spans="3:23" ht="12.75" customHeight="1">
      <c r="C181" s="36" t="str">
        <f>VLOOKUP(125,Textbausteine!$AE$2:$AI$254,Hilfsgrössen!$D$2,FALSE)</f>
        <v>Italie</v>
      </c>
      <c r="D181" s="1" t="str">
        <f>VLOOKUP(17,Textbausteine!$AE$2:$AI$254,Hilfsgrössen!$D$2,FALSE)</f>
        <v>Indice</v>
      </c>
      <c r="E181" s="37" t="s">
        <v>382</v>
      </c>
      <c r="H181" s="100" t="s">
        <v>1470</v>
      </c>
      <c r="I181" s="100" t="s">
        <v>1470</v>
      </c>
      <c r="J181" s="100" t="s">
        <v>1470</v>
      </c>
      <c r="K181" s="100" t="s">
        <v>1470</v>
      </c>
      <c r="L181" s="332">
        <v>220</v>
      </c>
      <c r="M181" s="332">
        <v>204</v>
      </c>
      <c r="N181" s="332">
        <v>204</v>
      </c>
      <c r="O181" s="332">
        <v>181</v>
      </c>
      <c r="P181" s="332">
        <v>170</v>
      </c>
      <c r="Q181" s="332">
        <v>167</v>
      </c>
      <c r="R181" s="332">
        <v>164</v>
      </c>
      <c r="S181" s="332">
        <v>147</v>
      </c>
      <c r="T181" s="14">
        <v>151</v>
      </c>
      <c r="U181" s="14">
        <v>161</v>
      </c>
      <c r="V181" s="14">
        <v>156</v>
      </c>
      <c r="W181" s="428">
        <v>138</v>
      </c>
    </row>
    <row r="182" spans="3:23" ht="12.75" customHeight="1">
      <c r="C182" s="36" t="str">
        <f>VLOOKUP(122,Textbausteine!$AE$2:$AI$254,Hilfsgrössen!$D$2,FALSE)</f>
        <v>France</v>
      </c>
      <c r="D182" s="1" t="str">
        <f>VLOOKUP(17,Textbausteine!$AE$2:$AI$254,Hilfsgrössen!$D$2,FALSE)</f>
        <v>Indice</v>
      </c>
      <c r="E182" s="37" t="s">
        <v>382</v>
      </c>
      <c r="H182" s="100" t="s">
        <v>1470</v>
      </c>
      <c r="I182" s="100" t="s">
        <v>1470</v>
      </c>
      <c r="J182" s="100" t="s">
        <v>1470</v>
      </c>
      <c r="K182" s="100" t="s">
        <v>1470</v>
      </c>
      <c r="L182" s="332">
        <v>176</v>
      </c>
      <c r="M182" s="332">
        <v>162</v>
      </c>
      <c r="N182" s="332">
        <v>137</v>
      </c>
      <c r="O182" s="332">
        <v>123</v>
      </c>
      <c r="P182" s="332">
        <v>126</v>
      </c>
      <c r="Q182" s="332">
        <v>134</v>
      </c>
      <c r="R182" s="332">
        <v>136</v>
      </c>
      <c r="S182" s="332">
        <v>126</v>
      </c>
      <c r="T182" s="14">
        <v>124</v>
      </c>
      <c r="U182" s="14">
        <v>135</v>
      </c>
      <c r="V182" s="14">
        <v>133</v>
      </c>
      <c r="W182" s="428">
        <v>130</v>
      </c>
    </row>
    <row r="183" spans="3:23" ht="12.75" customHeight="1">
      <c r="C183" s="36" t="str">
        <f>VLOOKUP(128,Textbausteine!$AE$2:$AI$254,Hilfsgrössen!$D$2,FALSE)</f>
        <v>Portugal</v>
      </c>
      <c r="D183" s="1" t="str">
        <f>VLOOKUP(17,Textbausteine!$AE$2:$AI$254,Hilfsgrössen!$D$2,FALSE)</f>
        <v>Indice</v>
      </c>
      <c r="E183" s="37" t="s">
        <v>382</v>
      </c>
      <c r="H183" s="100" t="s">
        <v>1470</v>
      </c>
      <c r="I183" s="100" t="s">
        <v>1470</v>
      </c>
      <c r="J183" s="100" t="s">
        <v>1470</v>
      </c>
      <c r="K183" s="100" t="s">
        <v>1470</v>
      </c>
      <c r="L183" s="332">
        <v>88</v>
      </c>
      <c r="M183" s="332">
        <v>123</v>
      </c>
      <c r="N183" s="332">
        <v>104</v>
      </c>
      <c r="O183" s="332">
        <v>95</v>
      </c>
      <c r="P183" s="332">
        <v>97</v>
      </c>
      <c r="Q183" s="332">
        <v>109</v>
      </c>
      <c r="R183" s="332">
        <v>116</v>
      </c>
      <c r="S183" s="332">
        <v>109</v>
      </c>
      <c r="T183" s="14">
        <v>113</v>
      </c>
      <c r="U183" s="14">
        <v>126</v>
      </c>
      <c r="V183" s="14">
        <v>128</v>
      </c>
      <c r="W183" s="428">
        <v>125</v>
      </c>
    </row>
    <row r="184" spans="3:23" ht="12.75" customHeight="1">
      <c r="C184" s="36" t="str">
        <f>VLOOKUP(119,Textbausteine!$AE$2:$AI$254,Hilfsgrössen!$D$2,FALSE)</f>
        <v>Danemark</v>
      </c>
      <c r="D184" s="1" t="str">
        <f>VLOOKUP(17,Textbausteine!$AE$2:$AI$254,Hilfsgrössen!$D$2,FALSE)</f>
        <v>Indice</v>
      </c>
      <c r="E184" s="37" t="s">
        <v>382</v>
      </c>
      <c r="H184" s="100" t="s">
        <v>1470</v>
      </c>
      <c r="I184" s="100" t="s">
        <v>1470</v>
      </c>
      <c r="J184" s="100" t="s">
        <v>1470</v>
      </c>
      <c r="K184" s="100" t="s">
        <v>1470</v>
      </c>
      <c r="L184" s="332">
        <v>211</v>
      </c>
      <c r="M184" s="332">
        <v>210</v>
      </c>
      <c r="N184" s="332">
        <v>181</v>
      </c>
      <c r="O184" s="332">
        <v>169</v>
      </c>
      <c r="P184" s="332">
        <v>171</v>
      </c>
      <c r="Q184" s="332">
        <v>212</v>
      </c>
      <c r="R184" s="332">
        <v>208</v>
      </c>
      <c r="S184" s="332">
        <v>190</v>
      </c>
      <c r="T184" s="14">
        <v>208</v>
      </c>
      <c r="U184" s="14">
        <v>199</v>
      </c>
      <c r="V184" s="14">
        <v>210</v>
      </c>
      <c r="W184" s="428">
        <v>123</v>
      </c>
    </row>
    <row r="185" spans="3:23" ht="12.75" customHeight="1">
      <c r="C185" s="36" t="str">
        <f>VLOOKUP(116,Textbausteine!$AE$2:$AI$254,Hilfsgrössen!$D$2,FALSE)</f>
        <v>Belgique</v>
      </c>
      <c r="D185" s="1" t="str">
        <f>VLOOKUP(17,Textbausteine!$AE$2:$AI$254,Hilfsgrössen!$D$2,FALSE)</f>
        <v>Indice</v>
      </c>
      <c r="E185" s="37" t="s">
        <v>382</v>
      </c>
      <c r="H185" s="100" t="s">
        <v>1470</v>
      </c>
      <c r="I185" s="100" t="s">
        <v>1470</v>
      </c>
      <c r="J185" s="100" t="s">
        <v>1470</v>
      </c>
      <c r="K185" s="100" t="s">
        <v>1470</v>
      </c>
      <c r="L185" s="332">
        <v>118</v>
      </c>
      <c r="M185" s="332">
        <v>124</v>
      </c>
      <c r="N185" s="332">
        <v>104</v>
      </c>
      <c r="O185" s="332">
        <v>94</v>
      </c>
      <c r="P185" s="332">
        <v>99</v>
      </c>
      <c r="Q185" s="332">
        <v>105</v>
      </c>
      <c r="R185" s="332">
        <v>104</v>
      </c>
      <c r="S185" s="332">
        <v>94</v>
      </c>
      <c r="T185" s="14">
        <v>95</v>
      </c>
      <c r="U185" s="14">
        <v>102</v>
      </c>
      <c r="V185" s="14">
        <v>101</v>
      </c>
      <c r="W185" s="428">
        <v>100</v>
      </c>
    </row>
    <row r="186" spans="3:23" ht="12.75" customHeight="1">
      <c r="C186" s="317" t="str">
        <f>VLOOKUP(117,Textbausteine!$AE$2:$AI$254,Hilfsgrössen!$D$2,FALSE)</f>
        <v>Suisse</v>
      </c>
      <c r="D186" s="31" t="str">
        <f>VLOOKUP(17,Textbausteine!$AE$2:$AI$254,Hilfsgrössen!$D$2,FALSE)</f>
        <v>Indice</v>
      </c>
      <c r="E186" s="39" t="s">
        <v>382</v>
      </c>
      <c r="F186" s="39"/>
      <c r="G186" s="46"/>
      <c r="H186" s="96" t="s">
        <v>1470</v>
      </c>
      <c r="I186" s="96" t="s">
        <v>1470</v>
      </c>
      <c r="J186" s="96" t="s">
        <v>1470</v>
      </c>
      <c r="K186" s="96" t="s">
        <v>1470</v>
      </c>
      <c r="L186" s="429">
        <v>100</v>
      </c>
      <c r="M186" s="429">
        <v>100</v>
      </c>
      <c r="N186" s="429">
        <v>100</v>
      </c>
      <c r="O186" s="429">
        <v>100</v>
      </c>
      <c r="P186" s="429">
        <v>100</v>
      </c>
      <c r="Q186" s="429">
        <v>100</v>
      </c>
      <c r="R186" s="429">
        <v>100</v>
      </c>
      <c r="S186" s="429">
        <v>100</v>
      </c>
      <c r="T186" s="124">
        <v>100</v>
      </c>
      <c r="U186" s="124">
        <v>100</v>
      </c>
      <c r="V186" s="124">
        <v>100</v>
      </c>
      <c r="W186" s="430">
        <v>100</v>
      </c>
    </row>
    <row r="187" spans="3:23" ht="12.75" customHeight="1">
      <c r="C187" s="36" t="str">
        <f>VLOOKUP(126,Textbausteine!$AE$2:$AI$254,Hilfsgrössen!$D$2,FALSE)</f>
        <v>Pays-Bas</v>
      </c>
      <c r="D187" s="1" t="str">
        <f>VLOOKUP(17,Textbausteine!$AE$2:$AI$254,Hilfsgrössen!$D$2,FALSE)</f>
        <v>Indice</v>
      </c>
      <c r="E187" s="37" t="s">
        <v>382</v>
      </c>
      <c r="H187" s="100" t="s">
        <v>1470</v>
      </c>
      <c r="I187" s="100" t="s">
        <v>1470</v>
      </c>
      <c r="J187" s="100" t="s">
        <v>1470</v>
      </c>
      <c r="K187" s="100" t="s">
        <v>1470</v>
      </c>
      <c r="L187" s="332">
        <v>137</v>
      </c>
      <c r="M187" s="332">
        <v>138</v>
      </c>
      <c r="N187" s="332">
        <v>119</v>
      </c>
      <c r="O187" s="332">
        <v>105</v>
      </c>
      <c r="P187" s="332">
        <v>104</v>
      </c>
      <c r="Q187" s="332">
        <v>105</v>
      </c>
      <c r="R187" s="332">
        <v>106</v>
      </c>
      <c r="S187" s="332">
        <v>95</v>
      </c>
      <c r="T187" s="14">
        <v>95</v>
      </c>
      <c r="U187" s="14">
        <v>102</v>
      </c>
      <c r="V187" s="14">
        <v>98</v>
      </c>
      <c r="W187" s="428">
        <v>95</v>
      </c>
    </row>
    <row r="188" spans="3:23" ht="12.75" customHeight="1">
      <c r="C188" s="36" t="str">
        <f>VLOOKUP(123,Textbausteine!$AE$2:$AI$254,Hilfsgrössen!$D$2,FALSE)</f>
        <v>Royaume-Uni</v>
      </c>
      <c r="D188" s="1" t="str">
        <f>VLOOKUP(17,Textbausteine!$AE$2:$AI$254,Hilfsgrössen!$D$2,FALSE)</f>
        <v>Indice</v>
      </c>
      <c r="E188" s="37" t="s">
        <v>382</v>
      </c>
      <c r="H188" s="100" t="s">
        <v>1470</v>
      </c>
      <c r="I188" s="100" t="s">
        <v>1470</v>
      </c>
      <c r="J188" s="100" t="s">
        <v>1470</v>
      </c>
      <c r="K188" s="100" t="s">
        <v>1470</v>
      </c>
      <c r="L188" s="332">
        <v>213</v>
      </c>
      <c r="M188" s="332">
        <v>178</v>
      </c>
      <c r="N188" s="332">
        <v>123</v>
      </c>
      <c r="O188" s="332">
        <v>114</v>
      </c>
      <c r="P188" s="332">
        <v>138</v>
      </c>
      <c r="Q188" s="332">
        <v>107</v>
      </c>
      <c r="R188" s="332">
        <v>109</v>
      </c>
      <c r="S188" s="332">
        <v>106</v>
      </c>
      <c r="T188" s="14">
        <v>85</v>
      </c>
      <c r="U188" s="14">
        <v>95</v>
      </c>
      <c r="V188" s="14">
        <v>93</v>
      </c>
      <c r="W188" s="428">
        <v>92</v>
      </c>
    </row>
    <row r="189" spans="3:23" ht="12.75" customHeight="1">
      <c r="C189" s="36" t="str">
        <f>VLOOKUP(115,Textbausteine!$AE$2:$AI$254,Hilfsgrössen!$D$2,FALSE)</f>
        <v>Autriche</v>
      </c>
      <c r="D189" s="1" t="str">
        <f>VLOOKUP(17,Textbausteine!$AE$2:$AI$254,Hilfsgrössen!$D$2,FALSE)</f>
        <v>Indice</v>
      </c>
      <c r="E189" s="37" t="s">
        <v>382</v>
      </c>
      <c r="H189" s="100" t="s">
        <v>1470</v>
      </c>
      <c r="I189" s="100" t="s">
        <v>1470</v>
      </c>
      <c r="J189" s="100" t="s">
        <v>1470</v>
      </c>
      <c r="K189" s="100" t="s">
        <v>1470</v>
      </c>
      <c r="L189" s="332">
        <v>103</v>
      </c>
      <c r="M189" s="332">
        <v>95</v>
      </c>
      <c r="N189" s="332">
        <v>81</v>
      </c>
      <c r="O189" s="332">
        <v>72</v>
      </c>
      <c r="P189" s="332">
        <v>71</v>
      </c>
      <c r="Q189" s="332">
        <v>76</v>
      </c>
      <c r="R189" s="332">
        <v>75</v>
      </c>
      <c r="S189" s="332">
        <v>69</v>
      </c>
      <c r="T189" s="14">
        <v>69</v>
      </c>
      <c r="U189" s="14">
        <v>67</v>
      </c>
      <c r="V189" s="14">
        <v>75</v>
      </c>
      <c r="W189" s="428">
        <v>72</v>
      </c>
    </row>
    <row r="190" spans="3:23" ht="12.75" customHeight="1">
      <c r="C190" s="36" t="str">
        <f>VLOOKUP(118,Textbausteine!$AE$2:$AI$254,Hilfsgrössen!$D$2,FALSE)</f>
        <v>Allemagne</v>
      </c>
      <c r="D190" s="1" t="str">
        <f>VLOOKUP(17,Textbausteine!$AE$2:$AI$254,Hilfsgrössen!$D$2,FALSE)</f>
        <v>Indice</v>
      </c>
      <c r="E190" s="37" t="s">
        <v>382</v>
      </c>
      <c r="H190" s="100" t="s">
        <v>1470</v>
      </c>
      <c r="I190" s="100" t="s">
        <v>1470</v>
      </c>
      <c r="J190" s="100" t="s">
        <v>1470</v>
      </c>
      <c r="K190" s="100" t="s">
        <v>1470</v>
      </c>
      <c r="L190" s="332">
        <v>107</v>
      </c>
      <c r="M190" s="332">
        <v>98</v>
      </c>
      <c r="N190" s="332">
        <v>82</v>
      </c>
      <c r="O190" s="332">
        <v>72</v>
      </c>
      <c r="P190" s="332">
        <v>72</v>
      </c>
      <c r="Q190" s="332">
        <v>73</v>
      </c>
      <c r="R190" s="332">
        <v>72</v>
      </c>
      <c r="S190" s="332">
        <v>66</v>
      </c>
      <c r="T190" s="14">
        <v>67</v>
      </c>
      <c r="U190" s="14">
        <v>72</v>
      </c>
      <c r="V190" s="14">
        <v>68</v>
      </c>
      <c r="W190" s="428">
        <v>67</v>
      </c>
    </row>
    <row r="191" ht="12.75" customHeight="1">
      <c r="W191" s="259"/>
    </row>
    <row r="192" spans="1:81" s="31" customFormat="1" ht="12.75" customHeight="1">
      <c r="A192" s="90"/>
      <c r="C192" s="31" t="str">
        <f>VLOOKUP(114,Textbausteine!$AE$2:$AI$254,Hilfsgrössen!$D$2,FALSE)</f>
        <v>Indice du prix des colis en parité de pouvoir d'achat</v>
      </c>
      <c r="E192" s="39"/>
      <c r="F192" s="39"/>
      <c r="G192" s="46"/>
      <c r="H192" s="96"/>
      <c r="I192" s="96"/>
      <c r="J192" s="96"/>
      <c r="K192" s="96"/>
      <c r="L192" s="96"/>
      <c r="M192" s="96"/>
      <c r="N192" s="96"/>
      <c r="O192" s="96"/>
      <c r="P192" s="96"/>
      <c r="Q192" s="96"/>
      <c r="R192" s="96"/>
      <c r="S192" s="96"/>
      <c r="T192" s="117"/>
      <c r="U192" s="117"/>
      <c r="V192" s="117"/>
      <c r="W192" s="258"/>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9"/>
      <c r="BM192" s="39"/>
      <c r="BN192" s="39"/>
      <c r="BO192" s="39"/>
      <c r="BP192" s="39"/>
      <c r="BQ192" s="39"/>
      <c r="BR192" s="39"/>
      <c r="BS192" s="39"/>
      <c r="BT192" s="39"/>
      <c r="BU192" s="39"/>
      <c r="BV192" s="39"/>
      <c r="BW192" s="39"/>
      <c r="BX192" s="39"/>
      <c r="BY192" s="39"/>
      <c r="BZ192" s="39"/>
      <c r="CA192" s="39"/>
      <c r="CB192" s="39"/>
      <c r="CC192" s="39"/>
    </row>
    <row r="193" spans="3:23" ht="12.75" customHeight="1">
      <c r="C193" s="36" t="str">
        <f>VLOOKUP(121,Textbausteine!$AE$2:$AI$254,Hilfsgrössen!$D$2,FALSE)</f>
        <v>Finlande</v>
      </c>
      <c r="D193" s="1" t="str">
        <f>VLOOKUP(17,Textbausteine!$AE$2:$AI$254,Hilfsgrössen!$D$2,FALSE)</f>
        <v>Indice</v>
      </c>
      <c r="E193" s="37">
        <v>2</v>
      </c>
      <c r="H193" s="100" t="s">
        <v>1470</v>
      </c>
      <c r="I193" s="100" t="s">
        <v>1470</v>
      </c>
      <c r="J193" s="100" t="s">
        <v>1470</v>
      </c>
      <c r="K193" s="100" t="s">
        <v>1470</v>
      </c>
      <c r="L193" s="100" t="s">
        <v>1470</v>
      </c>
      <c r="M193" s="100" t="s">
        <v>1470</v>
      </c>
      <c r="N193" s="100" t="s">
        <v>1470</v>
      </c>
      <c r="O193" s="100">
        <v>285</v>
      </c>
      <c r="P193" s="100">
        <v>281</v>
      </c>
      <c r="Q193" s="100">
        <v>296</v>
      </c>
      <c r="R193" s="100">
        <v>304</v>
      </c>
      <c r="S193" s="100">
        <v>356</v>
      </c>
      <c r="T193" s="20">
        <v>344</v>
      </c>
      <c r="U193" s="20">
        <v>345</v>
      </c>
      <c r="V193" s="20">
        <v>353</v>
      </c>
      <c r="W193" s="259">
        <v>354</v>
      </c>
    </row>
    <row r="194" spans="3:23" ht="12.75" customHeight="1">
      <c r="C194" s="36" t="str">
        <f>VLOOKUP(120,Textbausteine!$AE$2:$AI$254,Hilfsgrössen!$D$2,FALSE)</f>
        <v>Espagne</v>
      </c>
      <c r="D194" s="1" t="str">
        <f>VLOOKUP(17,Textbausteine!$AE$2:$AI$254,Hilfsgrössen!$D$2,FALSE)</f>
        <v>Indice</v>
      </c>
      <c r="E194" s="37">
        <v>2</v>
      </c>
      <c r="H194" s="100" t="s">
        <v>1470</v>
      </c>
      <c r="I194" s="100" t="s">
        <v>1470</v>
      </c>
      <c r="J194" s="100" t="s">
        <v>1470</v>
      </c>
      <c r="K194" s="100" t="s">
        <v>1470</v>
      </c>
      <c r="L194" s="100" t="s">
        <v>1470</v>
      </c>
      <c r="M194" s="100" t="s">
        <v>1470</v>
      </c>
      <c r="N194" s="100" t="s">
        <v>1470</v>
      </c>
      <c r="O194" s="100">
        <v>217</v>
      </c>
      <c r="P194" s="100">
        <v>224</v>
      </c>
      <c r="Q194" s="100">
        <v>223</v>
      </c>
      <c r="R194" s="100">
        <v>242</v>
      </c>
      <c r="S194" s="100">
        <v>257</v>
      </c>
      <c r="T194" s="20">
        <v>240</v>
      </c>
      <c r="U194" s="20">
        <v>283</v>
      </c>
      <c r="V194" s="20">
        <v>299</v>
      </c>
      <c r="W194" s="259">
        <v>303</v>
      </c>
    </row>
    <row r="195" spans="3:23" ht="12.75" customHeight="1">
      <c r="C195" s="36" t="str">
        <f>VLOOKUP(127,Textbausteine!$AE$2:$AI$254,Hilfsgrössen!$D$2,FALSE)</f>
        <v>Norvège</v>
      </c>
      <c r="D195" s="1" t="str">
        <f>VLOOKUP(17,Textbausteine!$AE$2:$AI$254,Hilfsgrössen!$D$2,FALSE)</f>
        <v>Indice</v>
      </c>
      <c r="E195" s="37">
        <v>2</v>
      </c>
      <c r="H195" s="100" t="s">
        <v>1470</v>
      </c>
      <c r="I195" s="100" t="s">
        <v>1470</v>
      </c>
      <c r="J195" s="100" t="s">
        <v>1470</v>
      </c>
      <c r="K195" s="100" t="s">
        <v>1470</v>
      </c>
      <c r="L195" s="100" t="s">
        <v>1470</v>
      </c>
      <c r="M195" s="100" t="s">
        <v>1470</v>
      </c>
      <c r="N195" s="100" t="s">
        <v>1470</v>
      </c>
      <c r="O195" s="100">
        <v>316</v>
      </c>
      <c r="P195" s="100">
        <v>354</v>
      </c>
      <c r="Q195" s="100">
        <v>280</v>
      </c>
      <c r="R195" s="100">
        <v>291</v>
      </c>
      <c r="S195" s="100">
        <v>283</v>
      </c>
      <c r="T195" s="20">
        <v>263</v>
      </c>
      <c r="U195" s="20">
        <v>261</v>
      </c>
      <c r="V195" s="20">
        <v>258</v>
      </c>
      <c r="W195" s="259">
        <v>260</v>
      </c>
    </row>
    <row r="196" spans="3:23" ht="12.75" customHeight="1">
      <c r="C196" s="36" t="str">
        <f>VLOOKUP(129,Textbausteine!$AE$2:$AI$254,Hilfsgrössen!$D$2,FALSE)</f>
        <v>Suède</v>
      </c>
      <c r="D196" s="1" t="str">
        <f>VLOOKUP(17,Textbausteine!$AE$2:$AI$254,Hilfsgrössen!$D$2,FALSE)</f>
        <v>Indice</v>
      </c>
      <c r="E196" s="37">
        <v>2</v>
      </c>
      <c r="H196" s="100" t="s">
        <v>1470</v>
      </c>
      <c r="I196" s="100" t="s">
        <v>1470</v>
      </c>
      <c r="J196" s="100" t="s">
        <v>1470</v>
      </c>
      <c r="K196" s="100" t="s">
        <v>1470</v>
      </c>
      <c r="L196" s="100" t="s">
        <v>1470</v>
      </c>
      <c r="M196" s="100" t="s">
        <v>1470</v>
      </c>
      <c r="N196" s="100" t="s">
        <v>1470</v>
      </c>
      <c r="O196" s="100">
        <v>357</v>
      </c>
      <c r="P196" s="100">
        <v>357</v>
      </c>
      <c r="Q196" s="100">
        <v>354</v>
      </c>
      <c r="R196" s="100">
        <v>352</v>
      </c>
      <c r="S196" s="100">
        <v>338</v>
      </c>
      <c r="T196" s="20">
        <v>289</v>
      </c>
      <c r="U196" s="20">
        <v>283</v>
      </c>
      <c r="V196" s="20">
        <v>240</v>
      </c>
      <c r="W196" s="259">
        <v>239</v>
      </c>
    </row>
    <row r="197" spans="3:23" ht="12.75" customHeight="1">
      <c r="C197" s="36" t="str">
        <f>VLOOKUP(128,Textbausteine!$AE$2:$AI$254,Hilfsgrössen!$D$2,FALSE)</f>
        <v>Portugal</v>
      </c>
      <c r="D197" s="1" t="str">
        <f>VLOOKUP(17,Textbausteine!$AE$2:$AI$254,Hilfsgrössen!$D$2,FALSE)</f>
        <v>Indice</v>
      </c>
      <c r="E197" s="37">
        <v>2</v>
      </c>
      <c r="H197" s="100" t="s">
        <v>1470</v>
      </c>
      <c r="I197" s="100" t="s">
        <v>1470</v>
      </c>
      <c r="J197" s="100" t="s">
        <v>1470</v>
      </c>
      <c r="K197" s="100" t="s">
        <v>1470</v>
      </c>
      <c r="L197" s="100" t="s">
        <v>1470</v>
      </c>
      <c r="M197" s="100" t="s">
        <v>1470</v>
      </c>
      <c r="N197" s="100" t="s">
        <v>1470</v>
      </c>
      <c r="O197" s="100">
        <v>186</v>
      </c>
      <c r="P197" s="100">
        <v>185</v>
      </c>
      <c r="Q197" s="100">
        <v>199</v>
      </c>
      <c r="R197" s="100">
        <v>219</v>
      </c>
      <c r="S197" s="100">
        <v>234</v>
      </c>
      <c r="T197" s="20">
        <v>224</v>
      </c>
      <c r="U197" s="20">
        <v>229</v>
      </c>
      <c r="V197" s="20">
        <v>232</v>
      </c>
      <c r="W197" s="259">
        <v>227</v>
      </c>
    </row>
    <row r="198" spans="3:23" ht="12.75" customHeight="1">
      <c r="C198" s="36" t="str">
        <f>VLOOKUP(124,Textbausteine!$AE$2:$AI$254,Hilfsgrössen!$D$2,FALSE)</f>
        <v>Irlande</v>
      </c>
      <c r="D198" s="1" t="str">
        <f>VLOOKUP(17,Textbausteine!$AE$2:$AI$254,Hilfsgrössen!$D$2,FALSE)</f>
        <v>Indice</v>
      </c>
      <c r="E198" s="37">
        <v>2</v>
      </c>
      <c r="H198" s="100" t="s">
        <v>1470</v>
      </c>
      <c r="I198" s="100" t="s">
        <v>1470</v>
      </c>
      <c r="J198" s="100" t="s">
        <v>1470</v>
      </c>
      <c r="K198" s="100" t="s">
        <v>1470</v>
      </c>
      <c r="L198" s="100" t="s">
        <v>1470</v>
      </c>
      <c r="M198" s="100" t="s">
        <v>1470</v>
      </c>
      <c r="N198" s="100" t="s">
        <v>1470</v>
      </c>
      <c r="O198" s="100">
        <v>201</v>
      </c>
      <c r="P198" s="100">
        <v>203</v>
      </c>
      <c r="Q198" s="100">
        <v>199</v>
      </c>
      <c r="R198" s="100">
        <v>212</v>
      </c>
      <c r="S198" s="100">
        <v>206</v>
      </c>
      <c r="T198" s="20">
        <v>193</v>
      </c>
      <c r="U198" s="20">
        <v>212</v>
      </c>
      <c r="V198" s="20">
        <v>222</v>
      </c>
      <c r="W198" s="259">
        <v>215</v>
      </c>
    </row>
    <row r="199" spans="3:23" ht="12.75" customHeight="1">
      <c r="C199" s="36" t="str">
        <f>VLOOKUP(125,Textbausteine!$AE$2:$AI$254,Hilfsgrössen!$D$2,FALSE)</f>
        <v>Italie</v>
      </c>
      <c r="D199" s="1" t="str">
        <f>VLOOKUP(17,Textbausteine!$AE$2:$AI$254,Hilfsgrössen!$D$2,FALSE)</f>
        <v>Indice</v>
      </c>
      <c r="E199" s="37">
        <v>2</v>
      </c>
      <c r="H199" s="100" t="s">
        <v>1470</v>
      </c>
      <c r="I199" s="100" t="s">
        <v>1470</v>
      </c>
      <c r="J199" s="100" t="s">
        <v>1470</v>
      </c>
      <c r="K199" s="100" t="s">
        <v>1470</v>
      </c>
      <c r="L199" s="100" t="s">
        <v>1470</v>
      </c>
      <c r="M199" s="100" t="s">
        <v>1470</v>
      </c>
      <c r="N199" s="100" t="s">
        <v>1470</v>
      </c>
      <c r="O199" s="100">
        <v>280</v>
      </c>
      <c r="P199" s="100">
        <v>261</v>
      </c>
      <c r="Q199" s="100">
        <v>243</v>
      </c>
      <c r="R199" s="100">
        <v>248</v>
      </c>
      <c r="S199" s="100">
        <v>245</v>
      </c>
      <c r="T199" s="20">
        <v>237</v>
      </c>
      <c r="U199" s="20">
        <v>236</v>
      </c>
      <c r="V199" s="20">
        <v>232</v>
      </c>
      <c r="W199" s="259">
        <v>214</v>
      </c>
    </row>
    <row r="200" spans="3:23" ht="12.75" customHeight="1">
      <c r="C200" s="36" t="str">
        <f>VLOOKUP(122,Textbausteine!$AE$2:$AI$254,Hilfsgrössen!$D$2,FALSE)</f>
        <v>France</v>
      </c>
      <c r="D200" s="1" t="str">
        <f>VLOOKUP(17,Textbausteine!$AE$2:$AI$254,Hilfsgrössen!$D$2,FALSE)</f>
        <v>Indice</v>
      </c>
      <c r="E200" s="37">
        <v>2</v>
      </c>
      <c r="H200" s="100" t="s">
        <v>1470</v>
      </c>
      <c r="I200" s="100" t="s">
        <v>1470</v>
      </c>
      <c r="J200" s="100" t="s">
        <v>1470</v>
      </c>
      <c r="K200" s="100" t="s">
        <v>1470</v>
      </c>
      <c r="L200" s="100" t="s">
        <v>1470</v>
      </c>
      <c r="M200" s="100" t="s">
        <v>1470</v>
      </c>
      <c r="N200" s="100" t="s">
        <v>1470</v>
      </c>
      <c r="O200" s="100">
        <v>175</v>
      </c>
      <c r="P200" s="100">
        <v>174</v>
      </c>
      <c r="Q200" s="100">
        <v>177</v>
      </c>
      <c r="R200" s="100">
        <v>186</v>
      </c>
      <c r="S200" s="100">
        <v>191</v>
      </c>
      <c r="T200" s="20">
        <v>179</v>
      </c>
      <c r="U200" s="20">
        <v>177</v>
      </c>
      <c r="V200" s="20">
        <v>178</v>
      </c>
      <c r="W200" s="259">
        <v>182</v>
      </c>
    </row>
    <row r="201" spans="3:23" ht="12.75" customHeight="1">
      <c r="C201" s="36" t="str">
        <f>VLOOKUP(119,Textbausteine!$AE$2:$AI$254,Hilfsgrössen!$D$2,FALSE)</f>
        <v>Danemark</v>
      </c>
      <c r="D201" s="1" t="str">
        <f>VLOOKUP(17,Textbausteine!$AE$2:$AI$254,Hilfsgrössen!$D$2,FALSE)</f>
        <v>Indice</v>
      </c>
      <c r="E201" s="37">
        <v>2</v>
      </c>
      <c r="H201" s="100" t="s">
        <v>1470</v>
      </c>
      <c r="I201" s="100" t="s">
        <v>1470</v>
      </c>
      <c r="J201" s="100" t="s">
        <v>1470</v>
      </c>
      <c r="K201" s="100" t="s">
        <v>1470</v>
      </c>
      <c r="L201" s="100" t="s">
        <v>1470</v>
      </c>
      <c r="M201" s="100" t="s">
        <v>1470</v>
      </c>
      <c r="N201" s="100" t="s">
        <v>1470</v>
      </c>
      <c r="O201" s="100">
        <v>198</v>
      </c>
      <c r="P201" s="100">
        <v>197</v>
      </c>
      <c r="Q201" s="100">
        <v>231</v>
      </c>
      <c r="R201" s="100">
        <v>231</v>
      </c>
      <c r="S201" s="100">
        <v>235</v>
      </c>
      <c r="T201" s="20">
        <v>243</v>
      </c>
      <c r="U201" s="20">
        <v>216</v>
      </c>
      <c r="V201" s="20">
        <v>231</v>
      </c>
      <c r="W201" s="259">
        <v>143</v>
      </c>
    </row>
    <row r="202" spans="3:23" ht="12.75" customHeight="1">
      <c r="C202" s="36" t="str">
        <f>VLOOKUP(116,Textbausteine!$AE$2:$AI$254,Hilfsgrössen!$D$2,FALSE)</f>
        <v>Belgique</v>
      </c>
      <c r="D202" s="1" t="str">
        <f>VLOOKUP(17,Textbausteine!$AE$2:$AI$254,Hilfsgrössen!$D$2,FALSE)</f>
        <v>Indice</v>
      </c>
      <c r="E202" s="37">
        <v>2</v>
      </c>
      <c r="H202" s="100" t="s">
        <v>1470</v>
      </c>
      <c r="I202" s="100" t="s">
        <v>1470</v>
      </c>
      <c r="J202" s="100" t="s">
        <v>1470</v>
      </c>
      <c r="K202" s="100" t="s">
        <v>1470</v>
      </c>
      <c r="L202" s="100" t="s">
        <v>1470</v>
      </c>
      <c r="M202" s="100" t="s">
        <v>1470</v>
      </c>
      <c r="N202" s="100" t="s">
        <v>1470</v>
      </c>
      <c r="O202" s="100">
        <v>134</v>
      </c>
      <c r="P202" s="100">
        <v>133</v>
      </c>
      <c r="Q202" s="100">
        <v>133</v>
      </c>
      <c r="R202" s="100">
        <v>135</v>
      </c>
      <c r="S202" s="100">
        <v>134</v>
      </c>
      <c r="T202" s="20">
        <v>136</v>
      </c>
      <c r="U202" s="20">
        <v>135</v>
      </c>
      <c r="V202" s="20">
        <v>135</v>
      </c>
      <c r="W202" s="259">
        <v>139</v>
      </c>
    </row>
    <row r="203" spans="3:23" ht="12.75" customHeight="1">
      <c r="C203" s="36" t="str">
        <f>VLOOKUP(126,Textbausteine!$AE$2:$AI$254,Hilfsgrössen!$D$2,FALSE)</f>
        <v>Pays-Bas</v>
      </c>
      <c r="D203" s="1" t="str">
        <f>VLOOKUP(17,Textbausteine!$AE$2:$AI$254,Hilfsgrössen!$D$2,FALSE)</f>
        <v>Indice</v>
      </c>
      <c r="E203" s="37">
        <v>2</v>
      </c>
      <c r="H203" s="100" t="s">
        <v>1470</v>
      </c>
      <c r="I203" s="100" t="s">
        <v>1470</v>
      </c>
      <c r="J203" s="100" t="s">
        <v>1470</v>
      </c>
      <c r="K203" s="100" t="s">
        <v>1470</v>
      </c>
      <c r="L203" s="100" t="s">
        <v>1470</v>
      </c>
      <c r="M203" s="100" t="s">
        <v>1470</v>
      </c>
      <c r="N203" s="100" t="s">
        <v>1470</v>
      </c>
      <c r="O203" s="100">
        <v>155</v>
      </c>
      <c r="P203" s="100">
        <v>149</v>
      </c>
      <c r="Q203" s="100">
        <v>143</v>
      </c>
      <c r="R203" s="100">
        <v>148</v>
      </c>
      <c r="S203" s="100">
        <v>146</v>
      </c>
      <c r="T203" s="20">
        <v>136</v>
      </c>
      <c r="U203" s="20">
        <v>134</v>
      </c>
      <c r="V203" s="20">
        <v>128</v>
      </c>
      <c r="W203" s="259">
        <v>128</v>
      </c>
    </row>
    <row r="204" spans="3:23" ht="12.75" customHeight="1">
      <c r="C204" s="36" t="str">
        <f>VLOOKUP(123,Textbausteine!$AE$2:$AI$254,Hilfsgrössen!$D$2,FALSE)</f>
        <v>Royaume-Uni</v>
      </c>
      <c r="D204" s="1" t="str">
        <f>VLOOKUP(17,Textbausteine!$AE$2:$AI$254,Hilfsgrössen!$D$2,FALSE)</f>
        <v>Indice</v>
      </c>
      <c r="E204" s="37" t="s">
        <v>382</v>
      </c>
      <c r="H204" s="100" t="s">
        <v>1470</v>
      </c>
      <c r="I204" s="100" t="s">
        <v>1470</v>
      </c>
      <c r="J204" s="100" t="s">
        <v>1470</v>
      </c>
      <c r="K204" s="100" t="s">
        <v>1470</v>
      </c>
      <c r="L204" s="100" t="s">
        <v>1470</v>
      </c>
      <c r="M204" s="100" t="s">
        <v>1470</v>
      </c>
      <c r="N204" s="100" t="s">
        <v>1470</v>
      </c>
      <c r="O204" s="100">
        <v>183</v>
      </c>
      <c r="P204" s="100">
        <v>198</v>
      </c>
      <c r="Q204" s="100">
        <v>154</v>
      </c>
      <c r="R204" s="100">
        <v>142</v>
      </c>
      <c r="S204" s="100">
        <v>134</v>
      </c>
      <c r="T204" s="20">
        <v>129</v>
      </c>
      <c r="U204" s="20">
        <v>127</v>
      </c>
      <c r="V204" s="20">
        <v>123</v>
      </c>
      <c r="W204" s="259">
        <v>123</v>
      </c>
    </row>
    <row r="205" spans="3:23" ht="12.75" customHeight="1">
      <c r="C205" s="317" t="str">
        <f>VLOOKUP(117,Textbausteine!$AE$2:$AI$254,Hilfsgrössen!$D$2,FALSE)</f>
        <v>Suisse</v>
      </c>
      <c r="D205" s="31" t="str">
        <f>VLOOKUP(17,Textbausteine!$AE$2:$AI$254,Hilfsgrössen!$D$2,FALSE)</f>
        <v>Indice</v>
      </c>
      <c r="E205" s="39">
        <v>2</v>
      </c>
      <c r="F205" s="39"/>
      <c r="G205" s="46"/>
      <c r="H205" s="96" t="s">
        <v>1470</v>
      </c>
      <c r="I205" s="96" t="s">
        <v>1470</v>
      </c>
      <c r="J205" s="96" t="s">
        <v>1470</v>
      </c>
      <c r="K205" s="96" t="s">
        <v>1470</v>
      </c>
      <c r="L205" s="96" t="s">
        <v>1470</v>
      </c>
      <c r="M205" s="96" t="s">
        <v>1470</v>
      </c>
      <c r="N205" s="96" t="s">
        <v>1470</v>
      </c>
      <c r="O205" s="96">
        <v>100</v>
      </c>
      <c r="P205" s="96">
        <v>100</v>
      </c>
      <c r="Q205" s="96">
        <v>100</v>
      </c>
      <c r="R205" s="96">
        <v>100</v>
      </c>
      <c r="S205" s="96">
        <v>100</v>
      </c>
      <c r="T205" s="117">
        <v>100</v>
      </c>
      <c r="U205" s="117">
        <v>100</v>
      </c>
      <c r="V205" s="117">
        <v>100</v>
      </c>
      <c r="W205" s="258">
        <v>100</v>
      </c>
    </row>
    <row r="206" spans="3:23" ht="12.75" customHeight="1">
      <c r="C206" s="36" t="str">
        <f>VLOOKUP(115,Textbausteine!$AE$2:$AI$254,Hilfsgrössen!$D$2,FALSE)</f>
        <v>Autriche</v>
      </c>
      <c r="D206" s="1" t="str">
        <f>VLOOKUP(17,Textbausteine!$AE$2:$AI$254,Hilfsgrössen!$D$2,FALSE)</f>
        <v>Indice</v>
      </c>
      <c r="E206" s="37">
        <v>2</v>
      </c>
      <c r="H206" s="100" t="s">
        <v>1470</v>
      </c>
      <c r="I206" s="100" t="s">
        <v>1470</v>
      </c>
      <c r="J206" s="100" t="s">
        <v>1470</v>
      </c>
      <c r="K206" s="100" t="s">
        <v>1470</v>
      </c>
      <c r="L206" s="100" t="s">
        <v>1470</v>
      </c>
      <c r="M206" s="100" t="s">
        <v>1470</v>
      </c>
      <c r="N206" s="100" t="s">
        <v>1470</v>
      </c>
      <c r="O206" s="332">
        <v>104</v>
      </c>
      <c r="P206" s="332">
        <v>102</v>
      </c>
      <c r="Q206" s="332">
        <v>104</v>
      </c>
      <c r="R206" s="332">
        <v>103</v>
      </c>
      <c r="S206" s="332">
        <v>105</v>
      </c>
      <c r="T206" s="14">
        <v>100</v>
      </c>
      <c r="U206" s="14">
        <v>89</v>
      </c>
      <c r="V206" s="14">
        <v>100</v>
      </c>
      <c r="W206" s="428">
        <v>99</v>
      </c>
    </row>
    <row r="207" spans="3:23" ht="12.75" customHeight="1">
      <c r="C207" s="36" t="str">
        <f>VLOOKUP(118,Textbausteine!$AE$2:$AI$254,Hilfsgrössen!$D$2,FALSE)</f>
        <v>Allemagne</v>
      </c>
      <c r="D207" s="1" t="str">
        <f>VLOOKUP(17,Textbausteine!$AE$2:$AI$254,Hilfsgrössen!$D$2,FALSE)</f>
        <v>Indice</v>
      </c>
      <c r="E207" s="37">
        <v>2</v>
      </c>
      <c r="H207" s="100" t="s">
        <v>1470</v>
      </c>
      <c r="I207" s="100" t="s">
        <v>1470</v>
      </c>
      <c r="J207" s="100" t="s">
        <v>1470</v>
      </c>
      <c r="K207" s="100" t="s">
        <v>1470</v>
      </c>
      <c r="L207" s="100" t="s">
        <v>1470</v>
      </c>
      <c r="M207" s="100" t="s">
        <v>1470</v>
      </c>
      <c r="N207" s="100" t="s">
        <v>1470</v>
      </c>
      <c r="O207" s="332">
        <v>112</v>
      </c>
      <c r="P207" s="332">
        <v>108</v>
      </c>
      <c r="Q207" s="332">
        <v>104</v>
      </c>
      <c r="R207" s="332">
        <v>105</v>
      </c>
      <c r="S207" s="332">
        <v>105</v>
      </c>
      <c r="T207" s="14">
        <v>100</v>
      </c>
      <c r="U207" s="14">
        <v>98</v>
      </c>
      <c r="V207" s="14">
        <v>94</v>
      </c>
      <c r="W207" s="428">
        <v>95</v>
      </c>
    </row>
    <row r="209" spans="1:81" s="325" customFormat="1" ht="12.75" customHeight="1">
      <c r="A209" s="324"/>
      <c r="B209" s="325" t="str">
        <f>VLOOKUP(221,Textbausteine!$AE$2:$AI$254,Hilfsgrössen!$D$2,FALSE)</f>
        <v>1) L'indice du prix des lettres repose sur un panier de prestations incluant les envois du courrier A et du courrier B jusqu'à 1 kg (sans les envois de grande valeur ni les prestations complémentaires). Les lettres sont pondérées selon la fréquence avec laquelle les consommateurs suisses les expédient. Pour la comparaison, on se fonde dans chaque pays sur les prix de l'actuel (ou ancien) opérateur national (jour de référence: 1er novembre 2018). Suisse = 100 (par définition).</v>
      </c>
      <c r="E209" s="324"/>
      <c r="F209" s="324"/>
      <c r="G209" s="326"/>
      <c r="H209" s="327"/>
      <c r="I209" s="327"/>
      <c r="J209" s="327"/>
      <c r="K209" s="327"/>
      <c r="L209" s="327"/>
      <c r="M209" s="327"/>
      <c r="N209" s="327"/>
      <c r="O209" s="327"/>
      <c r="P209" s="327"/>
      <c r="Q209" s="327"/>
      <c r="R209" s="327"/>
      <c r="S209" s="327"/>
      <c r="T209" s="328"/>
      <c r="U209" s="328"/>
      <c r="V209" s="328"/>
      <c r="W209" s="328"/>
      <c r="X209" s="324"/>
      <c r="Y209" s="324"/>
      <c r="Z209" s="324"/>
      <c r="AA209" s="324"/>
      <c r="AB209" s="324"/>
      <c r="AC209" s="324"/>
      <c r="AD209" s="324"/>
      <c r="AE209" s="324"/>
      <c r="AF209" s="324"/>
      <c r="AG209" s="324"/>
      <c r="AH209" s="324"/>
      <c r="AI209" s="324"/>
      <c r="AJ209" s="324"/>
      <c r="AK209" s="324"/>
      <c r="AL209" s="324"/>
      <c r="AM209" s="324"/>
      <c r="AN209" s="324"/>
      <c r="AO209" s="324"/>
      <c r="AP209" s="324"/>
      <c r="AQ209" s="324"/>
      <c r="AR209" s="324"/>
      <c r="AS209" s="324"/>
      <c r="AT209" s="324"/>
      <c r="AU209" s="324"/>
      <c r="AV209" s="324"/>
      <c r="AW209" s="324"/>
      <c r="AX209" s="324"/>
      <c r="AY209" s="324"/>
      <c r="AZ209" s="324"/>
      <c r="BA209" s="324"/>
      <c r="BB209" s="324"/>
      <c r="BC209" s="324"/>
      <c r="BD209" s="324"/>
      <c r="BE209" s="324"/>
      <c r="BF209" s="324"/>
      <c r="BG209" s="324"/>
      <c r="BH209" s="324"/>
      <c r="BI209" s="324"/>
      <c r="BJ209" s="324"/>
      <c r="BK209" s="324"/>
      <c r="BL209" s="324"/>
      <c r="BM209" s="324"/>
      <c r="BN209" s="324"/>
      <c r="BO209" s="324"/>
      <c r="BP209" s="324"/>
      <c r="BQ209" s="324"/>
      <c r="BR209" s="324"/>
      <c r="BS209" s="324"/>
      <c r="BT209" s="324"/>
      <c r="BU209" s="324"/>
      <c r="BV209" s="324"/>
      <c r="BW209" s="324"/>
      <c r="BX209" s="324"/>
      <c r="BY209" s="324"/>
      <c r="BZ209" s="324"/>
      <c r="CA209" s="324"/>
      <c r="CB209" s="324"/>
      <c r="CC209" s="324"/>
    </row>
    <row r="210" spans="1:81" s="325" customFormat="1" ht="12.75" customHeight="1">
      <c r="A210" s="324"/>
      <c r="B210" s="325" t="str">
        <f>VLOOKUP(222,Textbausteine!$AE$2:$AI$254,Hilfsgrössen!$D$2,FALSE)</f>
        <v>2) L'indice du prix des colis repose sur les catégories «PostPac Priority» et «PostPac Economy» de 1 à 20 kg (sans les prestations complémentaires). Les colis de chaque catégorie sont pondérés selon la fréquence avec laquelle les consommateurs suisses les expédient. Pour la comparaison, on se fonde dans chaque pays sur les prix de l'actuel (ou ancien) opérateur national (jour de référence: 1er novembre 2018). Suisse = 100 (par définition).</v>
      </c>
      <c r="E210" s="324"/>
      <c r="F210" s="324"/>
      <c r="G210" s="326"/>
      <c r="H210" s="327"/>
      <c r="I210" s="327"/>
      <c r="J210" s="327"/>
      <c r="K210" s="327"/>
      <c r="L210" s="327"/>
      <c r="M210" s="327"/>
      <c r="N210" s="327"/>
      <c r="O210" s="327"/>
      <c r="P210" s="327"/>
      <c r="Q210" s="327"/>
      <c r="R210" s="327"/>
      <c r="S210" s="327"/>
      <c r="T210" s="328"/>
      <c r="U210" s="328"/>
      <c r="V210" s="328"/>
      <c r="W210" s="328"/>
      <c r="X210" s="324"/>
      <c r="Y210" s="324"/>
      <c r="Z210" s="324"/>
      <c r="AA210" s="324"/>
      <c r="AB210" s="324"/>
      <c r="AC210" s="324"/>
      <c r="AD210" s="324"/>
      <c r="AE210" s="324"/>
      <c r="AF210" s="324"/>
      <c r="AG210" s="324"/>
      <c r="AH210" s="324"/>
      <c r="AI210" s="324"/>
      <c r="AJ210" s="324"/>
      <c r="AK210" s="324"/>
      <c r="AL210" s="324"/>
      <c r="AM210" s="324"/>
      <c r="AN210" s="324"/>
      <c r="AO210" s="324"/>
      <c r="AP210" s="324"/>
      <c r="AQ210" s="324"/>
      <c r="AR210" s="324"/>
      <c r="AS210" s="324"/>
      <c r="AT210" s="324"/>
      <c r="AU210" s="324"/>
      <c r="AV210" s="324"/>
      <c r="AW210" s="324"/>
      <c r="AX210" s="324"/>
      <c r="AY210" s="324"/>
      <c r="AZ210" s="324"/>
      <c r="BA210" s="324"/>
      <c r="BB210" s="324"/>
      <c r="BC210" s="324"/>
      <c r="BD210" s="324"/>
      <c r="BE210" s="324"/>
      <c r="BF210" s="324"/>
      <c r="BG210" s="324"/>
      <c r="BH210" s="324"/>
      <c r="BI210" s="324"/>
      <c r="BJ210" s="324"/>
      <c r="BK210" s="324"/>
      <c r="BL210" s="324"/>
      <c r="BM210" s="324"/>
      <c r="BN210" s="324"/>
      <c r="BO210" s="324"/>
      <c r="BP210" s="324"/>
      <c r="BQ210" s="324"/>
      <c r="BR210" s="324"/>
      <c r="BS210" s="324"/>
      <c r="BT210" s="324"/>
      <c r="BU210" s="324"/>
      <c r="BV210" s="324"/>
      <c r="BW210" s="324"/>
      <c r="BX210" s="324"/>
      <c r="BY210" s="324"/>
      <c r="BZ210" s="324"/>
      <c r="CA210" s="324"/>
      <c r="CB210" s="324"/>
      <c r="CC210" s="324"/>
    </row>
    <row r="211" spans="1:81" s="325" customFormat="1" ht="12.75" customHeight="1">
      <c r="A211" s="324"/>
      <c r="B211" s="325" t="str">
        <f>VLOOKUP(223,Textbausteine!$AE$2:$AI$254,Hilfsgrössen!$D$2,FALSE)</f>
        <v>3) Valeurs de l'exercice précédent partiellement adaptées.</v>
      </c>
      <c r="E211" s="324"/>
      <c r="F211" s="324"/>
      <c r="G211" s="326"/>
      <c r="H211" s="327"/>
      <c r="I211" s="327"/>
      <c r="J211" s="327"/>
      <c r="K211" s="327"/>
      <c r="L211" s="327"/>
      <c r="M211" s="327"/>
      <c r="N211" s="327"/>
      <c r="O211" s="327"/>
      <c r="P211" s="327"/>
      <c r="Q211" s="327"/>
      <c r="R211" s="327"/>
      <c r="S211" s="327"/>
      <c r="T211" s="328"/>
      <c r="U211" s="328"/>
      <c r="V211" s="328"/>
      <c r="W211" s="328"/>
      <c r="X211" s="324"/>
      <c r="Y211" s="324"/>
      <c r="Z211" s="324"/>
      <c r="AA211" s="324"/>
      <c r="AB211" s="324"/>
      <c r="AC211" s="324"/>
      <c r="AD211" s="324"/>
      <c r="AE211" s="324"/>
      <c r="AF211" s="324"/>
      <c r="AG211" s="324"/>
      <c r="AH211" s="324"/>
      <c r="AI211" s="324"/>
      <c r="AJ211" s="324"/>
      <c r="AK211" s="324"/>
      <c r="AL211" s="324"/>
      <c r="AM211" s="324"/>
      <c r="AN211" s="324"/>
      <c r="AO211" s="324"/>
      <c r="AP211" s="324"/>
      <c r="AQ211" s="324"/>
      <c r="AR211" s="324"/>
      <c r="AS211" s="324"/>
      <c r="AT211" s="324"/>
      <c r="AU211" s="324"/>
      <c r="AV211" s="324"/>
      <c r="AW211" s="324"/>
      <c r="AX211" s="324"/>
      <c r="AY211" s="324"/>
      <c r="AZ211" s="324"/>
      <c r="BA211" s="324"/>
      <c r="BB211" s="324"/>
      <c r="BC211" s="324"/>
      <c r="BD211" s="324"/>
      <c r="BE211" s="324"/>
      <c r="BF211" s="324"/>
      <c r="BG211" s="324"/>
      <c r="BH211" s="324"/>
      <c r="BI211" s="324"/>
      <c r="BJ211" s="324"/>
      <c r="BK211" s="324"/>
      <c r="BL211" s="324"/>
      <c r="BM211" s="324"/>
      <c r="BN211" s="324"/>
      <c r="BO211" s="324"/>
      <c r="BP211" s="324"/>
      <c r="BQ211" s="324"/>
      <c r="BR211" s="324"/>
      <c r="BS211" s="324"/>
      <c r="BT211" s="324"/>
      <c r="BU211" s="324"/>
      <c r="BV211" s="324"/>
      <c r="BW211" s="324"/>
      <c r="BX211" s="324"/>
      <c r="BY211" s="324"/>
      <c r="BZ211" s="324"/>
      <c r="CA211" s="324"/>
      <c r="CB211" s="324"/>
      <c r="CC211" s="324"/>
    </row>
    <row r="214" spans="1:81" s="31" customFormat="1" ht="12.75" customHeight="1">
      <c r="A214" s="56" t="s">
        <v>807</v>
      </c>
      <c r="B214" s="479" t="str">
        <f>$C$11</f>
        <v>Délais d'acheminement des services postaux</v>
      </c>
      <c r="C214" s="479"/>
      <c r="D214" s="6" t="str">
        <f>VLOOKUP(32,Textbausteine!$A$2:$E$67,Hilfsgrössen!$D$2,FALSE)</f>
        <v>Unité</v>
      </c>
      <c r="E214" s="39" t="str">
        <f>VLOOKUP(33,Textbausteine!$A$2:$E$67,Hilfsgrössen!$D$2,FALSE)</f>
        <v>Notes</v>
      </c>
      <c r="F214" s="39" t="str">
        <f>VLOOKUP(34,Textbausteine!$A$2:$E$67,Hilfsgrössen!$D$2,FALSE)</f>
        <v>GRI</v>
      </c>
      <c r="G214" s="53"/>
      <c r="H214" s="117">
        <v>2004</v>
      </c>
      <c r="I214" s="117">
        <v>2005</v>
      </c>
      <c r="J214" s="117">
        <v>2006</v>
      </c>
      <c r="K214" s="117">
        <v>2007</v>
      </c>
      <c r="L214" s="117">
        <v>2008</v>
      </c>
      <c r="M214" s="117">
        <v>2009</v>
      </c>
      <c r="N214" s="117">
        <v>2010</v>
      </c>
      <c r="O214" s="117">
        <v>2011</v>
      </c>
      <c r="P214" s="117">
        <v>2012</v>
      </c>
      <c r="Q214" s="117">
        <v>2013</v>
      </c>
      <c r="R214" s="117">
        <v>2014</v>
      </c>
      <c r="S214" s="117">
        <v>2015</v>
      </c>
      <c r="T214" s="117">
        <v>2016</v>
      </c>
      <c r="U214" s="117">
        <v>2017</v>
      </c>
      <c r="V214" s="117">
        <v>2018</v>
      </c>
      <c r="W214" s="258">
        <v>2019</v>
      </c>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c r="BI214" s="39"/>
      <c r="BJ214" s="39"/>
      <c r="BK214" s="39"/>
      <c r="BL214" s="39"/>
      <c r="BM214" s="39"/>
      <c r="BN214" s="39"/>
      <c r="BO214" s="39"/>
      <c r="BP214" s="39"/>
      <c r="BQ214" s="39"/>
      <c r="BR214" s="39"/>
      <c r="BS214" s="39"/>
      <c r="BT214" s="39"/>
      <c r="BU214" s="39"/>
      <c r="BV214" s="39"/>
      <c r="BW214" s="39"/>
      <c r="BX214" s="39"/>
      <c r="BY214" s="39"/>
      <c r="BZ214" s="39"/>
      <c r="CA214" s="39"/>
      <c r="CB214" s="39"/>
      <c r="CC214" s="39"/>
    </row>
    <row r="215" spans="1:81" s="31" customFormat="1" ht="12.75" customHeight="1">
      <c r="A215" s="55"/>
      <c r="B215" s="479"/>
      <c r="C215" s="479"/>
      <c r="D215" s="6"/>
      <c r="E215" s="37"/>
      <c r="F215" s="37"/>
      <c r="G215" s="47"/>
      <c r="H215" s="117"/>
      <c r="I215" s="117"/>
      <c r="J215" s="117"/>
      <c r="K215" s="117"/>
      <c r="L215" s="106"/>
      <c r="M215" s="106"/>
      <c r="N215" s="107"/>
      <c r="O215" s="107"/>
      <c r="P215" s="107"/>
      <c r="Q215" s="107"/>
      <c r="R215" s="107"/>
      <c r="S215" s="107"/>
      <c r="T215" s="20"/>
      <c r="U215" s="20"/>
      <c r="V215" s="20"/>
      <c r="W215" s="259"/>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row>
    <row r="216" spans="1:23" ht="12.75" customHeight="1">
      <c r="A216" s="66"/>
      <c r="B216" s="8"/>
      <c r="C216" s="9"/>
      <c r="D216" s="9"/>
      <c r="E216" s="40"/>
      <c r="F216" s="40"/>
      <c r="H216" s="117"/>
      <c r="I216" s="117"/>
      <c r="J216" s="117"/>
      <c r="K216" s="117"/>
      <c r="L216" s="106"/>
      <c r="M216" s="106"/>
      <c r="N216" s="107"/>
      <c r="O216" s="107"/>
      <c r="P216" s="107"/>
      <c r="Q216" s="107"/>
      <c r="R216" s="107"/>
      <c r="S216" s="107"/>
      <c r="W216" s="259"/>
    </row>
    <row r="217" spans="1:23" ht="12.75" customHeight="1">
      <c r="A217" s="66"/>
      <c r="B217" s="8" t="str">
        <f>VLOOKUP(37,Textbausteine!$A$2:$E$67,Hilfsgrössen!$D$2,FALSE)</f>
        <v>Groupe Suisse</v>
      </c>
      <c r="C217" s="9"/>
      <c r="D217" s="9"/>
      <c r="E217" s="40"/>
      <c r="F217" s="40"/>
      <c r="H217" s="117"/>
      <c r="I217" s="117"/>
      <c r="J217" s="117"/>
      <c r="K217" s="117"/>
      <c r="L217" s="106"/>
      <c r="M217" s="106"/>
      <c r="N217" s="107"/>
      <c r="O217" s="107"/>
      <c r="P217" s="107"/>
      <c r="Q217" s="107"/>
      <c r="R217" s="107"/>
      <c r="S217" s="107"/>
      <c r="W217" s="259"/>
    </row>
    <row r="218" spans="1:81" s="31" customFormat="1" ht="12.75" customHeight="1">
      <c r="A218" s="90"/>
      <c r="C218" s="31" t="str">
        <f>VLOOKUP(141,Textbausteine!$AE$2:$AI$254,Hilfsgrössen!$D$2,FALSE)</f>
        <v>Lettres domestiques distribués dans les délais au destinataire</v>
      </c>
      <c r="E218" s="39"/>
      <c r="F218" s="39"/>
      <c r="G218" s="46"/>
      <c r="H218" s="96"/>
      <c r="I218" s="96"/>
      <c r="J218" s="96"/>
      <c r="K218" s="96"/>
      <c r="L218" s="96"/>
      <c r="M218" s="96"/>
      <c r="N218" s="96"/>
      <c r="O218" s="96"/>
      <c r="P218" s="96"/>
      <c r="Q218" s="96"/>
      <c r="R218" s="96"/>
      <c r="S218" s="96"/>
      <c r="T218" s="117"/>
      <c r="U218" s="117"/>
      <c r="V218" s="117"/>
      <c r="W218" s="258"/>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c r="BI218" s="39"/>
      <c r="BJ218" s="39"/>
      <c r="BK218" s="39"/>
      <c r="BL218" s="39"/>
      <c r="BM218" s="39"/>
      <c r="BN218" s="39"/>
      <c r="BO218" s="39"/>
      <c r="BP218" s="39"/>
      <c r="BQ218" s="39"/>
      <c r="BR218" s="39"/>
      <c r="BS218" s="39"/>
      <c r="BT218" s="39"/>
      <c r="BU218" s="39"/>
      <c r="BV218" s="39"/>
      <c r="BW218" s="39"/>
      <c r="BX218" s="39"/>
      <c r="BY218" s="39"/>
      <c r="BZ218" s="39"/>
      <c r="CA218" s="39"/>
      <c r="CB218" s="39"/>
      <c r="CC218" s="39"/>
    </row>
    <row r="219" spans="3:23" ht="12.75" customHeight="1">
      <c r="C219" s="36" t="str">
        <f>VLOOKUP(142,Textbausteine!$AE$2:$AI$254,Hilfsgrössen!$D$2,FALSE)</f>
        <v>Courrier A</v>
      </c>
      <c r="D219" s="1" t="str">
        <f>VLOOKUP(12,Textbausteine!$AE$2:$AI$254,Hilfsgrössen!$D$2,FALSE)</f>
        <v>%</v>
      </c>
      <c r="E219" s="37">
        <v>1</v>
      </c>
      <c r="H219" s="100">
        <v>97.4</v>
      </c>
      <c r="I219" s="100">
        <v>97.7</v>
      </c>
      <c r="J219" s="100">
        <v>98</v>
      </c>
      <c r="K219" s="100">
        <v>97.1</v>
      </c>
      <c r="L219" s="100">
        <v>95.9</v>
      </c>
      <c r="M219" s="100">
        <v>97.7</v>
      </c>
      <c r="N219" s="100">
        <v>97.2</v>
      </c>
      <c r="O219" s="100">
        <v>97.5</v>
      </c>
      <c r="P219" s="100">
        <v>97.9</v>
      </c>
      <c r="Q219" s="100">
        <v>97.6</v>
      </c>
      <c r="R219" s="100">
        <v>97.7</v>
      </c>
      <c r="S219" s="100">
        <v>97.8</v>
      </c>
      <c r="T219" s="20">
        <v>98</v>
      </c>
      <c r="U219" s="20">
        <v>97.6</v>
      </c>
      <c r="V219" s="20">
        <v>97.4</v>
      </c>
      <c r="W219" s="259">
        <v>98</v>
      </c>
    </row>
    <row r="220" spans="3:23" ht="12.75" customHeight="1">
      <c r="C220" s="36" t="str">
        <f>VLOOKUP(143,Textbausteine!$AE$2:$AI$254,Hilfsgrössen!$D$2,FALSE)</f>
        <v>Courrier B</v>
      </c>
      <c r="D220" s="1" t="str">
        <f>VLOOKUP(12,Textbausteine!$AE$2:$AI$254,Hilfsgrössen!$D$2,FALSE)</f>
        <v>%</v>
      </c>
      <c r="E220" s="37">
        <v>1</v>
      </c>
      <c r="H220" s="100">
        <v>97.4</v>
      </c>
      <c r="I220" s="100">
        <v>98.2</v>
      </c>
      <c r="J220" s="100">
        <v>98.3</v>
      </c>
      <c r="K220" s="100">
        <v>96.7</v>
      </c>
      <c r="L220" s="100">
        <v>95.9</v>
      </c>
      <c r="M220" s="100">
        <v>98.4</v>
      </c>
      <c r="N220" s="100">
        <v>98.5</v>
      </c>
      <c r="O220" s="100">
        <v>99.3</v>
      </c>
      <c r="P220" s="100">
        <v>98.8</v>
      </c>
      <c r="Q220" s="100">
        <v>98.8</v>
      </c>
      <c r="R220" s="100">
        <v>99</v>
      </c>
      <c r="S220" s="100">
        <v>98.9</v>
      </c>
      <c r="T220" s="20">
        <v>98.9</v>
      </c>
      <c r="U220" s="20">
        <v>99</v>
      </c>
      <c r="V220" s="20">
        <v>98.9</v>
      </c>
      <c r="W220" s="259">
        <v>99.3</v>
      </c>
    </row>
    <row r="221" ht="12.75" customHeight="1">
      <c r="W221" s="259"/>
    </row>
    <row r="222" spans="1:81" s="31" customFormat="1" ht="12.75" customHeight="1">
      <c r="A222" s="90"/>
      <c r="C222" s="31" t="str">
        <f>VLOOKUP(144,Textbausteine!$AE$2:$AI$254,Hilfsgrössen!$D$2,FALSE)</f>
        <v>Colis domestiques distribués dans les délais au destinataire</v>
      </c>
      <c r="E222" s="39"/>
      <c r="F222" s="39"/>
      <c r="G222" s="46"/>
      <c r="H222" s="96"/>
      <c r="I222" s="96"/>
      <c r="J222" s="96"/>
      <c r="K222" s="96"/>
      <c r="L222" s="96"/>
      <c r="M222" s="96"/>
      <c r="N222" s="96"/>
      <c r="O222" s="96"/>
      <c r="P222" s="96"/>
      <c r="Q222" s="96"/>
      <c r="R222" s="96"/>
      <c r="S222" s="96"/>
      <c r="T222" s="117"/>
      <c r="U222" s="117"/>
      <c r="V222" s="117"/>
      <c r="W222" s="258"/>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c r="BC222" s="39"/>
      <c r="BD222" s="39"/>
      <c r="BE222" s="39"/>
      <c r="BF222" s="39"/>
      <c r="BG222" s="39"/>
      <c r="BH222" s="39"/>
      <c r="BI222" s="39"/>
      <c r="BJ222" s="39"/>
      <c r="BK222" s="39"/>
      <c r="BL222" s="39"/>
      <c r="BM222" s="39"/>
      <c r="BN222" s="39"/>
      <c r="BO222" s="39"/>
      <c r="BP222" s="39"/>
      <c r="BQ222" s="39"/>
      <c r="BR222" s="39"/>
      <c r="BS222" s="39"/>
      <c r="BT222" s="39"/>
      <c r="BU222" s="39"/>
      <c r="BV222" s="39"/>
      <c r="BW222" s="39"/>
      <c r="BX222" s="39"/>
      <c r="BY222" s="39"/>
      <c r="BZ222" s="39"/>
      <c r="CA222" s="39"/>
      <c r="CB222" s="39"/>
      <c r="CC222" s="39"/>
    </row>
    <row r="223" spans="3:23" ht="12.75" customHeight="1">
      <c r="C223" s="36" t="str">
        <f>VLOOKUP(145,Textbausteine!$AE$2:$AI$254,Hilfsgrössen!$D$2,FALSE)</f>
        <v>PostPac Priority</v>
      </c>
      <c r="D223" s="1" t="str">
        <f>VLOOKUP(12,Textbausteine!$AE$2:$AI$254,Hilfsgrössen!$D$2,FALSE)</f>
        <v>%</v>
      </c>
      <c r="E223" s="37">
        <v>1</v>
      </c>
      <c r="H223" s="100">
        <v>95.8</v>
      </c>
      <c r="I223" s="100">
        <v>97.4</v>
      </c>
      <c r="J223" s="100">
        <v>97.3</v>
      </c>
      <c r="K223" s="100">
        <v>97.6</v>
      </c>
      <c r="L223" s="100">
        <v>98</v>
      </c>
      <c r="M223" s="100">
        <v>97.8</v>
      </c>
      <c r="N223" s="100">
        <v>97.7</v>
      </c>
      <c r="O223" s="100">
        <v>97.4</v>
      </c>
      <c r="P223" s="100">
        <v>97.7</v>
      </c>
      <c r="Q223" s="100">
        <v>97.3</v>
      </c>
      <c r="R223" s="100">
        <v>97.4</v>
      </c>
      <c r="S223" s="100">
        <v>97.5</v>
      </c>
      <c r="T223" s="20">
        <v>98.1</v>
      </c>
      <c r="U223" s="20">
        <v>96</v>
      </c>
      <c r="V223" s="20">
        <v>97.2</v>
      </c>
      <c r="W223" s="259">
        <v>95.3</v>
      </c>
    </row>
    <row r="224" spans="3:23" ht="12.75" customHeight="1">
      <c r="C224" s="36" t="str">
        <f>VLOOKUP(146,Textbausteine!$AE$2:$AI$254,Hilfsgrössen!$D$2,FALSE)</f>
        <v>PostPac Economy</v>
      </c>
      <c r="D224" s="1" t="str">
        <f>VLOOKUP(12,Textbausteine!$AE$2:$AI$254,Hilfsgrössen!$D$2,FALSE)</f>
        <v>%</v>
      </c>
      <c r="E224" s="37">
        <v>1</v>
      </c>
      <c r="H224" s="100">
        <v>97.7</v>
      </c>
      <c r="I224" s="100">
        <v>97.7</v>
      </c>
      <c r="J224" s="100">
        <v>97.6</v>
      </c>
      <c r="K224" s="100">
        <v>97.5</v>
      </c>
      <c r="L224" s="100">
        <v>98.7</v>
      </c>
      <c r="M224" s="100">
        <v>98.1</v>
      </c>
      <c r="N224" s="100">
        <v>97.5</v>
      </c>
      <c r="O224" s="100">
        <v>97.7</v>
      </c>
      <c r="P224" s="100">
        <v>97.9</v>
      </c>
      <c r="Q224" s="100">
        <v>97.7</v>
      </c>
      <c r="R224" s="100">
        <v>97.5</v>
      </c>
      <c r="S224" s="100">
        <v>97.5</v>
      </c>
      <c r="T224" s="20">
        <v>97.2</v>
      </c>
      <c r="U224" s="20">
        <v>97.5</v>
      </c>
      <c r="V224" s="20">
        <v>97.7</v>
      </c>
      <c r="W224" s="259">
        <v>95.9</v>
      </c>
    </row>
    <row r="226" spans="1:81" s="325" customFormat="1" ht="12.75" customHeight="1">
      <c r="A226" s="324"/>
      <c r="B226" s="325" t="str">
        <f>VLOOKUP(231,Textbausteine!$AE$2:$AI$254,Hilfsgrössen!$D$2,FALSE)</f>
        <v>1) Distribué dans les délais au destinataire signifie, pour le courrier A (Priority), le jour ouvrable suivant le dépôt et, pour le courrier B (Economy), au plus tard trois jours ouvrables après le dépôt.</v>
      </c>
      <c r="E226" s="324"/>
      <c r="F226" s="324"/>
      <c r="G226" s="326"/>
      <c r="H226" s="327"/>
      <c r="I226" s="327"/>
      <c r="J226" s="327"/>
      <c r="K226" s="327"/>
      <c r="L226" s="327"/>
      <c r="M226" s="327"/>
      <c r="N226" s="327"/>
      <c r="O226" s="327"/>
      <c r="P226" s="327"/>
      <c r="Q226" s="327"/>
      <c r="R226" s="327"/>
      <c r="S226" s="327"/>
      <c r="T226" s="328"/>
      <c r="U226" s="328"/>
      <c r="V226" s="328"/>
      <c r="W226" s="328"/>
      <c r="X226" s="324"/>
      <c r="Y226" s="324"/>
      <c r="Z226" s="324"/>
      <c r="AA226" s="324"/>
      <c r="AB226" s="324"/>
      <c r="AC226" s="324"/>
      <c r="AD226" s="324"/>
      <c r="AE226" s="324"/>
      <c r="AF226" s="324"/>
      <c r="AG226" s="324"/>
      <c r="AH226" s="324"/>
      <c r="AI226" s="324"/>
      <c r="AJ226" s="324"/>
      <c r="AK226" s="324"/>
      <c r="AL226" s="324"/>
      <c r="AM226" s="324"/>
      <c r="AN226" s="324"/>
      <c r="AO226" s="324"/>
      <c r="AP226" s="324"/>
      <c r="AQ226" s="324"/>
      <c r="AR226" s="324"/>
      <c r="AS226" s="324"/>
      <c r="AT226" s="324"/>
      <c r="AU226" s="324"/>
      <c r="AV226" s="324"/>
      <c r="AW226" s="324"/>
      <c r="AX226" s="324"/>
      <c r="AY226" s="324"/>
      <c r="AZ226" s="324"/>
      <c r="BA226" s="324"/>
      <c r="BB226" s="324"/>
      <c r="BC226" s="324"/>
      <c r="BD226" s="324"/>
      <c r="BE226" s="324"/>
      <c r="BF226" s="324"/>
      <c r="BG226" s="324"/>
      <c r="BH226" s="324"/>
      <c r="BI226" s="324"/>
      <c r="BJ226" s="324"/>
      <c r="BK226" s="324"/>
      <c r="BL226" s="324"/>
      <c r="BM226" s="324"/>
      <c r="BN226" s="324"/>
      <c r="BO226" s="324"/>
      <c r="BP226" s="324"/>
      <c r="BQ226" s="324"/>
      <c r="BR226" s="324"/>
      <c r="BS226" s="324"/>
      <c r="BT226" s="324"/>
      <c r="BU226" s="324"/>
      <c r="BV226" s="324"/>
      <c r="BW226" s="324"/>
      <c r="BX226" s="324"/>
      <c r="BY226" s="324"/>
      <c r="BZ226" s="324"/>
      <c r="CA226" s="324"/>
      <c r="CB226" s="324"/>
      <c r="CC226" s="324"/>
    </row>
    <row r="229" spans="1:81" s="31" customFormat="1" ht="12.75" customHeight="1">
      <c r="A229" s="56" t="s">
        <v>807</v>
      </c>
      <c r="B229" s="479" t="str">
        <f>$C$12</f>
        <v>Temps d'attente dans les filiales</v>
      </c>
      <c r="C229" s="479"/>
      <c r="D229" s="6" t="str">
        <f>VLOOKUP(32,Textbausteine!$A$2:$E$67,Hilfsgrössen!$D$2,FALSE)</f>
        <v>Unité</v>
      </c>
      <c r="E229" s="39" t="str">
        <f>VLOOKUP(33,Textbausteine!$A$2:$E$67,Hilfsgrössen!$D$2,FALSE)</f>
        <v>Notes</v>
      </c>
      <c r="F229" s="39" t="str">
        <f>VLOOKUP(34,Textbausteine!$A$2:$E$67,Hilfsgrössen!$D$2,FALSE)</f>
        <v>GRI</v>
      </c>
      <c r="G229" s="53"/>
      <c r="H229" s="117">
        <v>2004</v>
      </c>
      <c r="I229" s="117">
        <v>2005</v>
      </c>
      <c r="J229" s="117">
        <v>2006</v>
      </c>
      <c r="K229" s="117">
        <v>2007</v>
      </c>
      <c r="L229" s="117">
        <v>2008</v>
      </c>
      <c r="M229" s="117">
        <v>2009</v>
      </c>
      <c r="N229" s="117">
        <v>2010</v>
      </c>
      <c r="O229" s="117">
        <v>2011</v>
      </c>
      <c r="P229" s="117">
        <v>2012</v>
      </c>
      <c r="Q229" s="117">
        <v>2013</v>
      </c>
      <c r="R229" s="117">
        <v>2014</v>
      </c>
      <c r="S229" s="117">
        <v>2015</v>
      </c>
      <c r="T229" s="117">
        <v>2016</v>
      </c>
      <c r="U229" s="117">
        <v>2017</v>
      </c>
      <c r="V229" s="117">
        <v>2018</v>
      </c>
      <c r="W229" s="258">
        <v>2019</v>
      </c>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c r="BC229" s="39"/>
      <c r="BD229" s="39"/>
      <c r="BE229" s="39"/>
      <c r="BF229" s="39"/>
      <c r="BG229" s="39"/>
      <c r="BH229" s="39"/>
      <c r="BI229" s="39"/>
      <c r="BJ229" s="39"/>
      <c r="BK229" s="39"/>
      <c r="BL229" s="39"/>
      <c r="BM229" s="39"/>
      <c r="BN229" s="39"/>
      <c r="BO229" s="39"/>
      <c r="BP229" s="39"/>
      <c r="BQ229" s="39"/>
      <c r="BR229" s="39"/>
      <c r="BS229" s="39"/>
      <c r="BT229" s="39"/>
      <c r="BU229" s="39"/>
      <c r="BV229" s="39"/>
      <c r="BW229" s="39"/>
      <c r="BX229" s="39"/>
      <c r="BY229" s="39"/>
      <c r="BZ229" s="39"/>
      <c r="CA229" s="39"/>
      <c r="CB229" s="39"/>
      <c r="CC229" s="39"/>
    </row>
    <row r="230" spans="1:81" s="31" customFormat="1" ht="12.75" customHeight="1">
      <c r="A230" s="55"/>
      <c r="B230" s="479"/>
      <c r="C230" s="479"/>
      <c r="D230" s="6"/>
      <c r="E230" s="37"/>
      <c r="F230" s="37"/>
      <c r="G230" s="47"/>
      <c r="H230" s="117"/>
      <c r="I230" s="117"/>
      <c r="J230" s="117"/>
      <c r="K230" s="117"/>
      <c r="L230" s="106"/>
      <c r="M230" s="106"/>
      <c r="N230" s="107"/>
      <c r="O230" s="107"/>
      <c r="P230" s="107"/>
      <c r="Q230" s="107"/>
      <c r="R230" s="107"/>
      <c r="S230" s="107"/>
      <c r="T230" s="20"/>
      <c r="U230" s="20"/>
      <c r="V230" s="20"/>
      <c r="W230" s="259"/>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row>
    <row r="231" spans="1:23" ht="12.75" customHeight="1">
      <c r="A231" s="66"/>
      <c r="B231" s="8"/>
      <c r="C231" s="9"/>
      <c r="D231" s="9"/>
      <c r="E231" s="40"/>
      <c r="F231" s="40"/>
      <c r="H231" s="117"/>
      <c r="I231" s="117"/>
      <c r="J231" s="117"/>
      <c r="K231" s="117"/>
      <c r="L231" s="106"/>
      <c r="M231" s="106"/>
      <c r="N231" s="107"/>
      <c r="O231" s="107"/>
      <c r="P231" s="107"/>
      <c r="Q231" s="107"/>
      <c r="R231" s="107"/>
      <c r="S231" s="107"/>
      <c r="W231" s="259"/>
    </row>
    <row r="232" spans="1:23" ht="12.75" customHeight="1">
      <c r="A232" s="66"/>
      <c r="B232" s="8" t="str">
        <f>VLOOKUP(37,Textbausteine!$A$2:$E$67,Hilfsgrössen!$D$2,FALSE)</f>
        <v>Groupe Suisse</v>
      </c>
      <c r="C232" s="9"/>
      <c r="D232" s="9"/>
      <c r="E232" s="40"/>
      <c r="F232" s="40"/>
      <c r="H232" s="117"/>
      <c r="I232" s="117"/>
      <c r="J232" s="117"/>
      <c r="K232" s="117"/>
      <c r="L232" s="106"/>
      <c r="M232" s="106"/>
      <c r="N232" s="107"/>
      <c r="O232" s="107"/>
      <c r="P232" s="107"/>
      <c r="Q232" s="107"/>
      <c r="R232" s="107"/>
      <c r="S232" s="107"/>
      <c r="W232" s="259"/>
    </row>
    <row r="233" spans="1:81" s="31" customFormat="1" ht="12.75" customHeight="1">
      <c r="A233" s="90"/>
      <c r="C233" s="31" t="str">
        <f>VLOOKUP(151,Textbausteine!$AE$2:$AI$254,Hilfsgrössen!$D$2,FALSE)</f>
        <v>Temps d'attente au guichet</v>
      </c>
      <c r="E233" s="39"/>
      <c r="F233" s="39"/>
      <c r="G233" s="46"/>
      <c r="H233" s="96"/>
      <c r="I233" s="96"/>
      <c r="J233" s="96"/>
      <c r="K233" s="96"/>
      <c r="L233" s="96"/>
      <c r="M233" s="96"/>
      <c r="N233" s="96"/>
      <c r="O233" s="96"/>
      <c r="P233" s="96"/>
      <c r="Q233" s="96"/>
      <c r="R233" s="96"/>
      <c r="S233" s="96"/>
      <c r="T233" s="117"/>
      <c r="U233" s="117"/>
      <c r="V233" s="117"/>
      <c r="W233" s="258"/>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c r="BC233" s="39"/>
      <c r="BD233" s="39"/>
      <c r="BE233" s="39"/>
      <c r="BF233" s="39"/>
      <c r="BG233" s="39"/>
      <c r="BH233" s="39"/>
      <c r="BI233" s="39"/>
      <c r="BJ233" s="39"/>
      <c r="BK233" s="39"/>
      <c r="BL233" s="39"/>
      <c r="BM233" s="39"/>
      <c r="BN233" s="39"/>
      <c r="BO233" s="39"/>
      <c r="BP233" s="39"/>
      <c r="BQ233" s="39"/>
      <c r="BR233" s="39"/>
      <c r="BS233" s="39"/>
      <c r="BT233" s="39"/>
      <c r="BU233" s="39"/>
      <c r="BV233" s="39"/>
      <c r="BW233" s="39"/>
      <c r="BX233" s="39"/>
      <c r="BY233" s="39"/>
      <c r="BZ233" s="39"/>
      <c r="CA233" s="39"/>
      <c r="CB233" s="39"/>
      <c r="CC233" s="39"/>
    </row>
    <row r="234" spans="3:23" ht="12.75" customHeight="1">
      <c r="C234" s="36" t="str">
        <f>VLOOKUP(152,Textbausteine!$AE$2:$AI$254,Hilfsgrössen!$D$2,FALSE)</f>
        <v>Part de clients qui attendent moins de 7 minutes</v>
      </c>
      <c r="D234" s="1" t="str">
        <f>VLOOKUP(12,Textbausteine!$AE$2:$AI$254,Hilfsgrössen!$D$2,FALSE)</f>
        <v>%</v>
      </c>
      <c r="E234" s="37">
        <v>1</v>
      </c>
      <c r="H234" s="100" t="s">
        <v>1470</v>
      </c>
      <c r="I234" s="100">
        <v>95.7</v>
      </c>
      <c r="J234" s="100">
        <v>95.7</v>
      </c>
      <c r="K234" s="100">
        <v>95</v>
      </c>
      <c r="L234" s="100">
        <v>94.3</v>
      </c>
      <c r="M234" s="100">
        <v>95.39999999999999</v>
      </c>
      <c r="N234" s="100">
        <v>95.8</v>
      </c>
      <c r="O234" s="100">
        <v>95.7</v>
      </c>
      <c r="P234" s="100">
        <v>95</v>
      </c>
      <c r="Q234" s="100">
        <v>94.6</v>
      </c>
      <c r="R234" s="100">
        <v>94.89999999999999</v>
      </c>
      <c r="S234" s="100">
        <v>94.89999999999999</v>
      </c>
      <c r="T234" s="20">
        <v>95.8079</v>
      </c>
      <c r="U234" s="20">
        <v>94.94</v>
      </c>
      <c r="V234" s="20">
        <v>94.74</v>
      </c>
      <c r="W234" s="259">
        <v>94.3</v>
      </c>
    </row>
    <row r="235" spans="3:23" ht="12.75" customHeight="1">
      <c r="C235" s="36" t="str">
        <f>VLOOKUP(153,Textbausteine!$AE$2:$AI$254,Hilfsgrössen!$D$2,FALSE)</f>
        <v>Part de clients qui attendent moins de 10 minutes</v>
      </c>
      <c r="D235" s="1" t="str">
        <f>VLOOKUP(12,Textbausteine!$AE$2:$AI$254,Hilfsgrössen!$D$2,FALSE)</f>
        <v>%</v>
      </c>
      <c r="E235" s="37">
        <v>1</v>
      </c>
      <c r="H235" s="100" t="s">
        <v>1470</v>
      </c>
      <c r="I235" s="100">
        <v>98.6</v>
      </c>
      <c r="J235" s="100">
        <v>98.8</v>
      </c>
      <c r="K235" s="100">
        <v>98.5</v>
      </c>
      <c r="L235" s="100">
        <v>98.2</v>
      </c>
      <c r="M235" s="100">
        <v>98.6</v>
      </c>
      <c r="N235" s="100">
        <v>98.7</v>
      </c>
      <c r="O235" s="100">
        <v>98.6</v>
      </c>
      <c r="P235" s="100">
        <v>98.3</v>
      </c>
      <c r="Q235" s="100">
        <v>98</v>
      </c>
      <c r="R235" s="100">
        <v>98.2</v>
      </c>
      <c r="S235" s="100">
        <v>98.2</v>
      </c>
      <c r="T235" s="20">
        <v>98.55000000000001</v>
      </c>
      <c r="U235" s="20">
        <v>98.13</v>
      </c>
      <c r="V235" s="20">
        <v>98.11</v>
      </c>
      <c r="W235" s="259">
        <v>98</v>
      </c>
    </row>
    <row r="237" spans="1:81" s="325" customFormat="1" ht="12.75" customHeight="1">
      <c r="A237" s="324"/>
      <c r="B237" s="325" t="str">
        <f>VLOOKUP(241,Textbausteine!$AE$2:$AI$254,Hilfsgrössen!$D$2,FALSE)</f>
        <v>1) Les temps d'attente sont relevés par l'unité RéseauPostal au moyen du système de tickets dans 290 filiales.</v>
      </c>
      <c r="E237" s="324"/>
      <c r="F237" s="324"/>
      <c r="G237" s="326"/>
      <c r="H237" s="327"/>
      <c r="I237" s="327"/>
      <c r="J237" s="327"/>
      <c r="K237" s="327"/>
      <c r="L237" s="327"/>
      <c r="M237" s="327"/>
      <c r="N237" s="327"/>
      <c r="O237" s="327"/>
      <c r="P237" s="327"/>
      <c r="Q237" s="327"/>
      <c r="R237" s="327"/>
      <c r="S237" s="327"/>
      <c r="T237" s="328"/>
      <c r="U237" s="328"/>
      <c r="V237" s="328"/>
      <c r="W237" s="328"/>
      <c r="X237" s="324"/>
      <c r="Y237" s="324"/>
      <c r="Z237" s="324"/>
      <c r="AA237" s="324"/>
      <c r="AB237" s="324"/>
      <c r="AC237" s="324"/>
      <c r="AD237" s="324"/>
      <c r="AE237" s="324"/>
      <c r="AF237" s="324"/>
      <c r="AG237" s="324"/>
      <c r="AH237" s="324"/>
      <c r="AI237" s="324"/>
      <c r="AJ237" s="324"/>
      <c r="AK237" s="324"/>
      <c r="AL237" s="324"/>
      <c r="AM237" s="324"/>
      <c r="AN237" s="324"/>
      <c r="AO237" s="324"/>
      <c r="AP237" s="324"/>
      <c r="AQ237" s="324"/>
      <c r="AR237" s="324"/>
      <c r="AS237" s="324"/>
      <c r="AT237" s="324"/>
      <c r="AU237" s="324"/>
      <c r="AV237" s="324"/>
      <c r="AW237" s="324"/>
      <c r="AX237" s="324"/>
      <c r="AY237" s="324"/>
      <c r="AZ237" s="324"/>
      <c r="BA237" s="324"/>
      <c r="BB237" s="324"/>
      <c r="BC237" s="324"/>
      <c r="BD237" s="324"/>
      <c r="BE237" s="324"/>
      <c r="BF237" s="324"/>
      <c r="BG237" s="324"/>
      <c r="BH237" s="324"/>
      <c r="BI237" s="324"/>
      <c r="BJ237" s="324"/>
      <c r="BK237" s="324"/>
      <c r="BL237" s="324"/>
      <c r="BM237" s="324"/>
      <c r="BN237" s="324"/>
      <c r="BO237" s="324"/>
      <c r="BP237" s="324"/>
      <c r="BQ237" s="324"/>
      <c r="BR237" s="324"/>
      <c r="BS237" s="324"/>
      <c r="BT237" s="324"/>
      <c r="BU237" s="324"/>
      <c r="BV237" s="324"/>
      <c r="BW237" s="324"/>
      <c r="BX237" s="324"/>
      <c r="BY237" s="324"/>
      <c r="BZ237" s="324"/>
      <c r="CA237" s="324"/>
      <c r="CB237" s="324"/>
      <c r="CC237" s="324"/>
    </row>
    <row r="240" spans="1:81" s="31" customFormat="1" ht="12.75" customHeight="1">
      <c r="A240" s="56" t="s">
        <v>807</v>
      </c>
      <c r="B240" s="479" t="str">
        <f>$C$13</f>
        <v>Délais de traitement des services financiers</v>
      </c>
      <c r="C240" s="479"/>
      <c r="D240" s="6" t="str">
        <f>VLOOKUP(32,Textbausteine!$A$2:$E$67,Hilfsgrössen!$D$2,FALSE)</f>
        <v>Unité</v>
      </c>
      <c r="E240" s="39" t="str">
        <f>VLOOKUP(33,Textbausteine!$A$2:$E$67,Hilfsgrössen!$D$2,FALSE)</f>
        <v>Notes</v>
      </c>
      <c r="F240" s="39" t="str">
        <f>VLOOKUP(34,Textbausteine!$A$2:$E$67,Hilfsgrössen!$D$2,FALSE)</f>
        <v>GRI</v>
      </c>
      <c r="G240" s="53"/>
      <c r="H240" s="117">
        <v>2004</v>
      </c>
      <c r="I240" s="117">
        <v>2005</v>
      </c>
      <c r="J240" s="117">
        <v>2006</v>
      </c>
      <c r="K240" s="117">
        <v>2007</v>
      </c>
      <c r="L240" s="117">
        <v>2008</v>
      </c>
      <c r="M240" s="117">
        <v>2009</v>
      </c>
      <c r="N240" s="117">
        <v>2010</v>
      </c>
      <c r="O240" s="117">
        <v>2011</v>
      </c>
      <c r="P240" s="117">
        <v>2012</v>
      </c>
      <c r="Q240" s="117">
        <v>2013</v>
      </c>
      <c r="R240" s="117">
        <v>2014</v>
      </c>
      <c r="S240" s="117">
        <v>2015</v>
      </c>
      <c r="T240" s="117">
        <v>2016</v>
      </c>
      <c r="U240" s="117">
        <v>2017</v>
      </c>
      <c r="V240" s="117">
        <v>2018</v>
      </c>
      <c r="W240" s="258" t="s">
        <v>2527</v>
      </c>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c r="BE240" s="39"/>
      <c r="BF240" s="39"/>
      <c r="BG240" s="39"/>
      <c r="BH240" s="39"/>
      <c r="BI240" s="39"/>
      <c r="BJ240" s="39"/>
      <c r="BK240" s="39"/>
      <c r="BL240" s="39"/>
      <c r="BM240" s="39"/>
      <c r="BN240" s="39"/>
      <c r="BO240" s="39"/>
      <c r="BP240" s="39"/>
      <c r="BQ240" s="39"/>
      <c r="BR240" s="39"/>
      <c r="BS240" s="39"/>
      <c r="BT240" s="39"/>
      <c r="BU240" s="39"/>
      <c r="BV240" s="39"/>
      <c r="BW240" s="39"/>
      <c r="BX240" s="39"/>
      <c r="BY240" s="39"/>
      <c r="BZ240" s="39"/>
      <c r="CA240" s="39"/>
      <c r="CB240" s="39"/>
      <c r="CC240" s="39"/>
    </row>
    <row r="241" spans="1:81" s="31" customFormat="1" ht="12.75" customHeight="1">
      <c r="A241" s="55"/>
      <c r="B241" s="479"/>
      <c r="C241" s="479"/>
      <c r="D241" s="6"/>
      <c r="E241" s="37"/>
      <c r="F241" s="37"/>
      <c r="G241" s="47"/>
      <c r="H241" s="117"/>
      <c r="I241" s="117"/>
      <c r="J241" s="117"/>
      <c r="K241" s="117"/>
      <c r="L241" s="106"/>
      <c r="M241" s="106"/>
      <c r="N241" s="107"/>
      <c r="O241" s="107"/>
      <c r="P241" s="107"/>
      <c r="Q241" s="107"/>
      <c r="R241" s="107"/>
      <c r="S241" s="107"/>
      <c r="T241" s="20"/>
      <c r="U241" s="20"/>
      <c r="V241" s="20"/>
      <c r="W241" s="259"/>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c r="CA241" s="37"/>
      <c r="CB241" s="37"/>
      <c r="CC241" s="37"/>
    </row>
    <row r="242" spans="1:23" ht="12.75" customHeight="1">
      <c r="A242" s="66"/>
      <c r="B242" s="8"/>
      <c r="C242" s="9"/>
      <c r="D242" s="9"/>
      <c r="E242" s="40"/>
      <c r="F242" s="40"/>
      <c r="H242" s="117"/>
      <c r="I242" s="117"/>
      <c r="J242" s="117"/>
      <c r="K242" s="117"/>
      <c r="L242" s="106"/>
      <c r="M242" s="106"/>
      <c r="N242" s="107"/>
      <c r="O242" s="107"/>
      <c r="P242" s="107"/>
      <c r="Q242" s="107"/>
      <c r="R242" s="107"/>
      <c r="S242" s="107"/>
      <c r="W242" s="259"/>
    </row>
    <row r="243" spans="1:23" ht="12.75" customHeight="1">
      <c r="A243" s="66"/>
      <c r="B243" s="8" t="str">
        <f>VLOOKUP(37,Textbausteine!$A$2:$E$67,Hilfsgrössen!$D$2,FALSE)</f>
        <v>Groupe Suisse</v>
      </c>
      <c r="C243" s="9"/>
      <c r="D243" s="9"/>
      <c r="E243" s="40"/>
      <c r="F243" s="40"/>
      <c r="H243" s="117"/>
      <c r="I243" s="117"/>
      <c r="J243" s="117"/>
      <c r="K243" s="117"/>
      <c r="L243" s="106"/>
      <c r="M243" s="106"/>
      <c r="N243" s="107"/>
      <c r="O243" s="107"/>
      <c r="P243" s="107"/>
      <c r="Q243" s="107"/>
      <c r="R243" s="107"/>
      <c r="S243" s="107"/>
      <c r="W243" s="259"/>
    </row>
    <row r="244" spans="3:23" ht="12.75" customHeight="1">
      <c r="C244" s="1" t="str">
        <f>VLOOKUP(161,Textbausteine!$AE$2:$AI$254,Hilfsgrössen!$D$2,FALSE)</f>
        <v>Traitement des justificatifs des filiales le jour prévu</v>
      </c>
      <c r="D244" s="1" t="str">
        <f>VLOOKUP(12,Textbausteine!$AE$2:$AI$254,Hilfsgrössen!$D$2,FALSE)</f>
        <v>%</v>
      </c>
      <c r="E244" s="37">
        <v>1</v>
      </c>
      <c r="H244" s="100" t="s">
        <v>1470</v>
      </c>
      <c r="I244" s="100">
        <v>99.7</v>
      </c>
      <c r="J244" s="100">
        <v>99.9</v>
      </c>
      <c r="K244" s="100">
        <v>99.99</v>
      </c>
      <c r="L244" s="100">
        <v>99.99</v>
      </c>
      <c r="M244" s="100">
        <v>99.66</v>
      </c>
      <c r="N244" s="100">
        <v>99.99</v>
      </c>
      <c r="O244" s="100">
        <v>99.3</v>
      </c>
      <c r="P244" s="100">
        <v>99.99</v>
      </c>
      <c r="Q244" s="100">
        <v>100</v>
      </c>
      <c r="R244" s="100">
        <v>99.11</v>
      </c>
      <c r="S244" s="100">
        <v>99.87</v>
      </c>
      <c r="T244" s="20">
        <v>100</v>
      </c>
      <c r="U244" s="20">
        <v>99.57</v>
      </c>
      <c r="V244" s="20" t="s">
        <v>1470</v>
      </c>
      <c r="W244" s="259" t="s">
        <v>1470</v>
      </c>
    </row>
    <row r="245" spans="3:23" ht="12.75" customHeight="1">
      <c r="C245" s="1" t="str">
        <f>VLOOKUP(162,Textbausteine!$AE$2:$AI$254,Hilfsgrössen!$D$2,FALSE)</f>
        <v>Traitement des justificatifs des ordres de paiement le jour prévu</v>
      </c>
      <c r="D245" s="1" t="str">
        <f>VLOOKUP(12,Textbausteine!$AE$2:$AI$254,Hilfsgrössen!$D$2,FALSE)</f>
        <v>%</v>
      </c>
      <c r="E245" s="37">
        <v>1</v>
      </c>
      <c r="H245" s="100" t="s">
        <v>1470</v>
      </c>
      <c r="I245" s="100">
        <v>98.2</v>
      </c>
      <c r="J245" s="100">
        <v>100</v>
      </c>
      <c r="K245" s="100">
        <v>99.66</v>
      </c>
      <c r="L245" s="100">
        <v>99.99</v>
      </c>
      <c r="M245" s="100">
        <v>99.81</v>
      </c>
      <c r="N245" s="100">
        <v>99.98</v>
      </c>
      <c r="O245" s="100">
        <v>98.8</v>
      </c>
      <c r="P245" s="100">
        <v>99.9</v>
      </c>
      <c r="Q245" s="100">
        <v>99.99</v>
      </c>
      <c r="R245" s="100">
        <v>99.66</v>
      </c>
      <c r="S245" s="100">
        <v>99.89</v>
      </c>
      <c r="T245" s="20">
        <v>99.94</v>
      </c>
      <c r="U245" s="20">
        <v>99.89</v>
      </c>
      <c r="V245" s="20" t="s">
        <v>1470</v>
      </c>
      <c r="W245" s="259" t="s">
        <v>1470</v>
      </c>
    </row>
    <row r="246" spans="3:23" ht="12.75" customHeight="1">
      <c r="C246" s="1" t="str">
        <f>VLOOKUP(163,Textbausteine!$AE$2:$AI$254,Hilfsgrössen!$D$2,FALSE)</f>
        <v>Traitement des justificatifs des filiales (SCHAPO) le jour prévu</v>
      </c>
      <c r="D246" s="1" t="str">
        <f>VLOOKUP(12,Textbausteine!$AE$2:$AI$254,Hilfsgrössen!$D$2,FALSE)</f>
        <v>%</v>
      </c>
      <c r="H246" s="100" t="s">
        <v>1470</v>
      </c>
      <c r="I246" s="100" t="s">
        <v>1470</v>
      </c>
      <c r="J246" s="100" t="s">
        <v>1470</v>
      </c>
      <c r="K246" s="100" t="s">
        <v>1470</v>
      </c>
      <c r="L246" s="100" t="s">
        <v>1470</v>
      </c>
      <c r="M246" s="100" t="s">
        <v>1470</v>
      </c>
      <c r="N246" s="100">
        <v>99.88</v>
      </c>
      <c r="O246" s="100">
        <v>99.68</v>
      </c>
      <c r="P246" s="100">
        <v>99.75</v>
      </c>
      <c r="Q246" s="100">
        <v>99.66</v>
      </c>
      <c r="R246" s="100">
        <v>99.89</v>
      </c>
      <c r="S246" s="100">
        <v>99.86</v>
      </c>
      <c r="T246" s="20">
        <v>99.94</v>
      </c>
      <c r="U246" s="20">
        <v>99.97</v>
      </c>
      <c r="V246" s="20" t="s">
        <v>1470</v>
      </c>
      <c r="W246" s="259" t="s">
        <v>1470</v>
      </c>
    </row>
    <row r="248" spans="1:81" s="21" customFormat="1" ht="12.75" customHeight="1">
      <c r="A248" s="318"/>
      <c r="B248" s="21" t="str">
        <f>VLOOKUP(251,Textbausteine!$AE$2:$AI$254,Hilfsgrössen!$D$2,FALSE)</f>
        <v>1) Traitement le jour prévu: les ordres de paiement écrits sont traités le jour de leur réception par courrier dans l'un des Operations Centers de PostFinance. Les paiements effectués dans les filiales sont traités le jour ouvrable suivant le versement dans une filiale.</v>
      </c>
      <c r="E248" s="321"/>
      <c r="F248" s="321"/>
      <c r="G248" s="329"/>
      <c r="H248" s="319"/>
      <c r="I248" s="319"/>
      <c r="J248" s="319"/>
      <c r="K248" s="319"/>
      <c r="L248" s="319"/>
      <c r="M248" s="319"/>
      <c r="N248" s="319"/>
      <c r="O248" s="319"/>
      <c r="P248" s="319"/>
      <c r="Q248" s="319"/>
      <c r="R248" s="319"/>
      <c r="S248" s="319"/>
      <c r="T248" s="322"/>
      <c r="U248" s="322"/>
      <c r="V248" s="322"/>
      <c r="W248" s="322"/>
      <c r="X248" s="321"/>
      <c r="Y248" s="321"/>
      <c r="Z248" s="321"/>
      <c r="AA248" s="321"/>
      <c r="AB248" s="321"/>
      <c r="AC248" s="321"/>
      <c r="AD248" s="321"/>
      <c r="AE248" s="321"/>
      <c r="AF248" s="321"/>
      <c r="AG248" s="321"/>
      <c r="AH248" s="321"/>
      <c r="AI248" s="321"/>
      <c r="AJ248" s="321"/>
      <c r="AK248" s="321"/>
      <c r="AL248" s="321"/>
      <c r="AM248" s="321"/>
      <c r="AN248" s="321"/>
      <c r="AO248" s="321"/>
      <c r="AP248" s="321"/>
      <c r="AQ248" s="321"/>
      <c r="AR248" s="321"/>
      <c r="AS248" s="321"/>
      <c r="AT248" s="321"/>
      <c r="AU248" s="321"/>
      <c r="AV248" s="321"/>
      <c r="AW248" s="321"/>
      <c r="AX248" s="321"/>
      <c r="AY248" s="321"/>
      <c r="AZ248" s="321"/>
      <c r="BA248" s="321"/>
      <c r="BB248" s="321"/>
      <c r="BC248" s="321"/>
      <c r="BD248" s="321"/>
      <c r="BE248" s="321"/>
      <c r="BF248" s="321"/>
      <c r="BG248" s="321"/>
      <c r="BH248" s="321"/>
      <c r="BI248" s="321"/>
      <c r="BJ248" s="321"/>
      <c r="BK248" s="321"/>
      <c r="BL248" s="321"/>
      <c r="BM248" s="321"/>
      <c r="BN248" s="321"/>
      <c r="BO248" s="321"/>
      <c r="BP248" s="321"/>
      <c r="BQ248" s="321"/>
      <c r="BR248" s="321"/>
      <c r="BS248" s="321"/>
      <c r="BT248" s="321"/>
      <c r="BU248" s="321"/>
      <c r="BV248" s="321"/>
      <c r="BW248" s="321"/>
      <c r="BX248" s="321"/>
      <c r="BY248" s="321"/>
      <c r="BZ248" s="321"/>
      <c r="CA248" s="321"/>
      <c r="CB248" s="321"/>
      <c r="CC248" s="321"/>
    </row>
    <row r="249" ht="12.75" customHeight="1">
      <c r="B249" s="21" t="str">
        <f>VLOOKUP(252,Textbausteine!$AE$2:$AI$254,Hilfsgrössen!$D$2,FALSE)</f>
        <v>2) Le relevé du traitement le jour prévu de titres de paiement a été suspendu en 2018.</v>
      </c>
    </row>
  </sheetData>
  <sheetProtection sheet="1" objects="1" scenarios="1"/>
  <mergeCells count="10">
    <mergeCell ref="B229:C230"/>
    <mergeCell ref="B240:C241"/>
    <mergeCell ref="B2:C2"/>
    <mergeCell ref="B3:C3"/>
    <mergeCell ref="B16:C17"/>
    <mergeCell ref="D2:E2"/>
    <mergeCell ref="B39:C40"/>
    <mergeCell ref="B58:C59"/>
    <mergeCell ref="B137:C138"/>
    <mergeCell ref="B214:C215"/>
  </mergeCells>
  <conditionalFormatting sqref="H16:CC19 H27:CC28 X20:CC26 X29:CC34 H35:CC45 H52:CC62 X51:CC51 H49:CC50 H46:H48 X46:CC48 X63:CC89 H90:CC141 X142:CC156 H142:K156 H157:CC175 X176:CC190 H176:K190 H206:N207 X206:CC207 H208:CC9997 H191:CC205">
    <cfRule type="expression" priority="61" dxfId="0">
      <formula>AND($D16&lt;&gt;"",H$16&lt;&gt;"",H16="")</formula>
    </cfRule>
    <cfRule type="expression" priority="140" dxfId="1">
      <formula>AND($A16="",ABS(H16)=0)</formula>
    </cfRule>
    <cfRule type="expression" priority="143" dxfId="1">
      <formula>AND($A16="",ABS(H16)&lt;10)</formula>
    </cfRule>
    <cfRule type="expression" priority="167" dxfId="35">
      <formula>AND($A16="",ABS(H16)&lt;100)</formula>
    </cfRule>
    <cfRule type="expression" priority="177" dxfId="1">
      <formula>AND($A16="",ABS(H16)&gt;=100)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C7" location="GRI_203_2" display="GRI_203_2"/>
    <hyperlink ref="A16" location="GRI_203" display="Ó"/>
    <hyperlink ref="D2" location="Home" display="Home"/>
    <hyperlink ref="C8" location="GRI_203_2b" display="Poststellen"/>
    <hyperlink ref="C9" location="GRI_203_2c" display="Arbeitsplätze in den Regionen"/>
    <hyperlink ref="C10" location="GRI_203_2d" display="GRI_203_2d"/>
    <hyperlink ref="C11" location="GRI_203_2e" display="GRI_203_2e"/>
    <hyperlink ref="C12" location="GRI_203_2f" display="GRI_203_2f"/>
    <hyperlink ref="C13" location="GRI_203_2g" display="GRI_203_2g"/>
    <hyperlink ref="A39" location="GRI_203" display="Ó"/>
    <hyperlink ref="A58" location="GRI_203" display="Ó"/>
    <hyperlink ref="A137" location="GRI_203" display="Ó"/>
    <hyperlink ref="A214" location="GRI_203" display="Ó"/>
    <hyperlink ref="A229" location="GRI_203" display="Ó"/>
    <hyperlink ref="A240" location="GRI_203" display="Ó"/>
  </hyperlinks>
  <printOptions/>
  <pageMargins left="0.7" right="0.7" top="0.787401575" bottom="0.787401575" header="0.3" footer="0.3"/>
  <pageSetup horizontalDpi="600" verticalDpi="600" orientation="portrait" paperSize="9"/>
  <ignoredErrors>
    <ignoredError sqref="E67:E88 E92:E118" twoDigitTextYear="1"/>
  </ignoredErrors>
</worksheet>
</file>

<file path=xl/worksheets/sheet6.xml><?xml version="1.0" encoding="utf-8"?>
<worksheet xmlns="http://schemas.openxmlformats.org/spreadsheetml/2006/main" xmlns:r="http://schemas.openxmlformats.org/officeDocument/2006/relationships">
  <sheetPr>
    <tabColor rgb="FF006D68"/>
  </sheetPr>
  <dimension ref="A2:CC125"/>
  <sheetViews>
    <sheetView showGridLines="0" showRowColHeaders="0" zoomScale="90" zoomScaleNormal="90" zoomScalePageLayoutView="0" workbookViewId="0" topLeftCell="A1">
      <pane xSplit="7" topLeftCell="H1" activePane="topRight" state="frozen"/>
      <selection pane="topLeft" activeCell="B73" sqref="B73"/>
      <selection pane="topRight" activeCell="B3" sqref="B3:C3"/>
    </sheetView>
  </sheetViews>
  <sheetFormatPr defaultColWidth="10.75390625" defaultRowHeight="12.75" customHeight="1"/>
  <cols>
    <col min="1" max="1" width="2.50390625" style="97" customWidth="1"/>
    <col min="2" max="2" width="2.50390625" style="101" customWidth="1"/>
    <col min="3" max="3" width="73.125" style="101" customWidth="1"/>
    <col min="4" max="4" width="23.50390625" style="101" customWidth="1"/>
    <col min="5" max="5" width="9.50390625" style="100" customWidth="1"/>
    <col min="6" max="6" width="14.125" style="100" customWidth="1"/>
    <col min="7" max="7" width="2.50390625" style="47" customWidth="1"/>
    <col min="8" max="13" width="11.625" style="107" customWidth="1"/>
    <col min="14" max="17" width="11.625" style="20" customWidth="1"/>
    <col min="18" max="81" width="11.625" style="37" customWidth="1"/>
    <col min="82" max="16384" width="10.75390625" style="101" customWidth="1"/>
  </cols>
  <sheetData>
    <row r="2" spans="1:81" s="155" customFormat="1" ht="25.5" customHeight="1">
      <c r="A2" s="93"/>
      <c r="B2" s="489" t="str">
        <f>UPPER(RIGHT(Inhaltsverzeichnis!$C$21,LEN(Inhaltsverzeichnis!$C$21)-FIND(" – ",Inhaltsverzeichnis!$C$21,1)-2))</f>
        <v>ENERGIE</v>
      </c>
      <c r="C2" s="489"/>
      <c r="D2" s="481" t="str">
        <f>VLOOKUP(35,Textbausteine!$A$2:$E$67,Hilfsgrössen!$D$2,FALSE)</f>
        <v>retour à la table des matières</v>
      </c>
      <c r="E2" s="482"/>
      <c r="F2" s="145" t="s">
        <v>86</v>
      </c>
      <c r="G2" s="171"/>
      <c r="H2" s="136"/>
      <c r="I2" s="136"/>
      <c r="J2" s="136"/>
      <c r="K2" s="136"/>
      <c r="L2" s="136"/>
      <c r="M2" s="136"/>
      <c r="N2" s="116"/>
      <c r="O2" s="116"/>
      <c r="P2" s="116"/>
      <c r="Q2" s="116"/>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row>
    <row r="3" spans="1:81" s="156" customFormat="1" ht="25.5" customHeight="1">
      <c r="A3" s="93"/>
      <c r="B3" s="490" t="str">
        <f>UPPER("GRI "&amp;LEFT(Inhaltsverzeichnis!$C$21,3))</f>
        <v>GRI 302</v>
      </c>
      <c r="C3" s="490"/>
      <c r="E3" s="197"/>
      <c r="F3" s="197"/>
      <c r="G3" s="45"/>
      <c r="H3" s="136"/>
      <c r="I3" s="136"/>
      <c r="J3" s="136"/>
      <c r="K3" s="136"/>
      <c r="L3" s="136"/>
      <c r="M3" s="136"/>
      <c r="N3" s="116"/>
      <c r="O3" s="116"/>
      <c r="P3" s="116"/>
      <c r="Q3" s="116"/>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row>
    <row r="6" spans="1:81" s="95" customFormat="1" ht="12.75" customHeight="1">
      <c r="A6" s="97"/>
      <c r="B6" s="95" t="str">
        <f>VLOOKUP(31,Textbausteine!$A$2:$E$67,Hilfsgrössen!$D$2,FALSE)</f>
        <v>Divulgations</v>
      </c>
      <c r="E6" s="96"/>
      <c r="F6" s="96"/>
      <c r="G6" s="46"/>
      <c r="H6" s="107"/>
      <c r="I6" s="107"/>
      <c r="J6" s="107"/>
      <c r="K6" s="107"/>
      <c r="L6" s="107"/>
      <c r="M6" s="107"/>
      <c r="N6" s="20"/>
      <c r="O6" s="20"/>
      <c r="P6" s="20"/>
      <c r="Q6" s="20"/>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row>
    <row r="7" spans="2:4" ht="12.75" customHeight="1">
      <c r="B7" s="98"/>
      <c r="C7" s="200" t="str">
        <f>VLOOKUP(1,Textbausteine!$AK$2:$AO$151,Hilfsgrössen!$D$2,FALSE)</f>
        <v>Consommation énergétique au sein et en dehors de l'organisation</v>
      </c>
      <c r="D7" s="99"/>
    </row>
    <row r="8" spans="2:4" ht="12.75" customHeight="1">
      <c r="B8" s="98"/>
      <c r="C8" s="200" t="str">
        <f>VLOOKUP(2,Textbausteine!$AK$2:$AO$151,Hilfsgrössen!$D$2,FALSE)</f>
        <v>Autres indicateurs énergétiques</v>
      </c>
      <c r="D8" s="99"/>
    </row>
    <row r="9" ht="12.75" customHeight="1">
      <c r="B9" s="98"/>
    </row>
    <row r="10" spans="2:81" ht="12.75" customHeight="1">
      <c r="B10" s="98"/>
      <c r="E10" s="96"/>
      <c r="F10" s="96"/>
      <c r="H10" s="20"/>
      <c r="I10" s="20"/>
      <c r="J10" s="20"/>
      <c r="K10" s="20"/>
      <c r="L10" s="20"/>
      <c r="M10" s="20"/>
      <c r="R10" s="7"/>
      <c r="S10" s="7"/>
      <c r="T10" s="7"/>
      <c r="U10" s="7"/>
      <c r="V10" s="7"/>
      <c r="W10" s="7"/>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row>
    <row r="11" spans="1:81" s="130" customFormat="1" ht="12.75" customHeight="1">
      <c r="A11" s="201" t="s">
        <v>807</v>
      </c>
      <c r="B11" s="488" t="str">
        <f>$C$7</f>
        <v>Consommation énergétique au sein et en dehors de l'organisation</v>
      </c>
      <c r="C11" s="488"/>
      <c r="D11" s="126" t="str">
        <f>VLOOKUP(32,Textbausteine!$A$2:$E$67,Hilfsgrössen!$D$2,FALSE)</f>
        <v>Unité</v>
      </c>
      <c r="E11" s="127" t="str">
        <f>VLOOKUP(33,Textbausteine!$A$2:$E$67,Hilfsgrössen!$D$2,FALSE)</f>
        <v>Notes</v>
      </c>
      <c r="F11" s="127" t="str">
        <f>VLOOKUP(34,Textbausteine!$A$2:$E$67,Hilfsgrössen!$D$2,FALSE)</f>
        <v>GRI</v>
      </c>
      <c r="G11" s="47"/>
      <c r="H11" s="127">
        <v>2010</v>
      </c>
      <c r="I11" s="127">
        <v>2011</v>
      </c>
      <c r="J11" s="127">
        <v>2012</v>
      </c>
      <c r="K11" s="127">
        <v>2013</v>
      </c>
      <c r="L11" s="127">
        <v>2014</v>
      </c>
      <c r="M11" s="127">
        <v>2015</v>
      </c>
      <c r="N11" s="120">
        <v>2016</v>
      </c>
      <c r="O11" s="120">
        <v>2017</v>
      </c>
      <c r="P11" s="120">
        <v>2018</v>
      </c>
      <c r="Q11" s="132">
        <v>2019</v>
      </c>
      <c r="R11" s="131"/>
      <c r="S11" s="118"/>
      <c r="T11" s="118"/>
      <c r="U11" s="118"/>
      <c r="V11" s="118"/>
      <c r="W11" s="118"/>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row>
    <row r="12" spans="1:81" s="95" customFormat="1" ht="12.75" customHeight="1">
      <c r="A12" s="97"/>
      <c r="B12" s="488"/>
      <c r="C12" s="488"/>
      <c r="D12" s="102"/>
      <c r="E12" s="103"/>
      <c r="F12" s="103"/>
      <c r="G12" s="48"/>
      <c r="H12" s="107"/>
      <c r="I12" s="107"/>
      <c r="J12" s="107"/>
      <c r="K12" s="107"/>
      <c r="L12" s="107"/>
      <c r="M12" s="107"/>
      <c r="N12" s="20"/>
      <c r="O12" s="20"/>
      <c r="P12" s="20"/>
      <c r="Q12" s="133"/>
      <c r="R12" s="12"/>
      <c r="S12" s="7"/>
      <c r="T12" s="7"/>
      <c r="U12" s="7"/>
      <c r="V12" s="7"/>
      <c r="W12" s="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row>
    <row r="13" spans="2:23" ht="12.75" customHeight="1">
      <c r="B13" s="104"/>
      <c r="C13" s="105"/>
      <c r="D13" s="105"/>
      <c r="E13" s="106"/>
      <c r="F13" s="107"/>
      <c r="G13" s="48"/>
      <c r="Q13" s="133"/>
      <c r="R13" s="11"/>
      <c r="S13" s="11"/>
      <c r="T13" s="11"/>
      <c r="U13" s="11"/>
      <c r="V13" s="11"/>
      <c r="W13" s="11"/>
    </row>
    <row r="14" spans="2:23" ht="12.75" customHeight="1">
      <c r="B14" s="104" t="str">
        <f>VLOOKUP(36,Textbausteine!$A$2:$E$67,Hilfsgrössen!$D$2,FALSE)</f>
        <v>Groupe</v>
      </c>
      <c r="C14" s="104"/>
      <c r="D14" s="104"/>
      <c r="E14" s="107"/>
      <c r="F14" s="107"/>
      <c r="G14" s="49"/>
      <c r="H14" s="20"/>
      <c r="I14" s="20"/>
      <c r="L14" s="137"/>
      <c r="M14" s="137"/>
      <c r="Q14" s="133"/>
      <c r="R14" s="14"/>
      <c r="S14" s="74"/>
      <c r="T14" s="74"/>
      <c r="U14" s="74"/>
      <c r="V14" s="74"/>
      <c r="W14" s="17"/>
    </row>
    <row r="15" spans="3:23" ht="12.75" customHeight="1">
      <c r="C15" s="202" t="str">
        <f>VLOOKUP(31,Textbausteine!$AK$2:$AO$151,Hilfsgrössen!$D$2,FALSE)</f>
        <v>Consommation de carburants</v>
      </c>
      <c r="D15" s="182"/>
      <c r="E15" s="107"/>
      <c r="F15" s="107"/>
      <c r="G15" s="49"/>
      <c r="H15" s="20"/>
      <c r="I15" s="20"/>
      <c r="L15" s="137"/>
      <c r="M15" s="137"/>
      <c r="Q15" s="133"/>
      <c r="R15" s="14"/>
      <c r="S15" s="74"/>
      <c r="T15" s="74"/>
      <c r="U15" s="74"/>
      <c r="V15" s="74"/>
      <c r="W15" s="17"/>
    </row>
    <row r="16" spans="3:23" ht="12.75" customHeight="1">
      <c r="C16" s="203" t="str">
        <f>VLOOKUP(31,Textbausteine!$AK$2:$AO$151,Hilfsgrössen!$D$2,FALSE)</f>
        <v>Consommation de carburants</v>
      </c>
      <c r="D16" s="182" t="str">
        <f>VLOOKUP(11,Textbausteine!$AK$2:$AO$151,Hilfsgrössen!$D$2,FALSE)</f>
        <v>GWh</v>
      </c>
      <c r="E16" s="107">
        <v>1</v>
      </c>
      <c r="F16" s="107"/>
      <c r="G16" s="49"/>
      <c r="H16" s="361">
        <f aca="true" t="shared" si="0" ref="H16:O16">SUM(H17,H28)</f>
        <v>1141.560130070738</v>
      </c>
      <c r="I16" s="361">
        <f t="shared" si="0"/>
        <v>1149.493855542866</v>
      </c>
      <c r="J16" s="361">
        <f t="shared" si="0"/>
        <v>1197.244812174489</v>
      </c>
      <c r="K16" s="361">
        <f t="shared" si="0"/>
        <v>1138.6504437543717</v>
      </c>
      <c r="L16" s="361">
        <f t="shared" si="0"/>
        <v>1134.2495197794015</v>
      </c>
      <c r="M16" s="361">
        <f t="shared" si="0"/>
        <v>1143.9663664568016</v>
      </c>
      <c r="N16" s="361">
        <f t="shared" si="0"/>
        <v>1180.556875390559</v>
      </c>
      <c r="O16" s="361">
        <f t="shared" si="0"/>
        <v>1147.378730758021</v>
      </c>
      <c r="P16" s="361">
        <v>1159.0383935448</v>
      </c>
      <c r="Q16" s="463">
        <v>1069</v>
      </c>
      <c r="R16" s="14"/>
      <c r="S16" s="14"/>
      <c r="T16" s="14"/>
      <c r="U16" s="14"/>
      <c r="V16" s="14"/>
      <c r="W16" s="11"/>
    </row>
    <row r="17" spans="3:23" ht="12.75" customHeight="1">
      <c r="C17" s="204" t="str">
        <f>VLOOKUP(32,Textbausteine!$AK$2:$AO$151,Hilfsgrössen!$D$2,FALSE)</f>
        <v>Consommation de carburants (au sein de la Poste)</v>
      </c>
      <c r="D17" s="182" t="str">
        <f>VLOOKUP(11,Textbausteine!$AK$2:$AO$151,Hilfsgrössen!$D$2,FALSE)</f>
        <v>GWh</v>
      </c>
      <c r="E17" s="107">
        <v>1</v>
      </c>
      <c r="F17" s="107" t="s">
        <v>248</v>
      </c>
      <c r="G17" s="49"/>
      <c r="H17" s="357">
        <f>SUM(H19,H21:H22,H24)</f>
        <v>609.3151450888881</v>
      </c>
      <c r="I17" s="357">
        <f>SUM(I19,I21:I22,I24)</f>
        <v>621.853072966666</v>
      </c>
      <c r="J17" s="350">
        <f>SUM(J19,J21:J22,J24)</f>
        <v>636.075860488889</v>
      </c>
      <c r="K17" s="350">
        <f>SUM(K19,K21:K22,K24,K26)</f>
        <v>653.7249073222118</v>
      </c>
      <c r="L17" s="410">
        <f>SUM(L19,L21:L22,L24,L26)</f>
        <v>649.5906872611015</v>
      </c>
      <c r="M17" s="410">
        <f>SUM(M19,M21:M22,M24,M26)</f>
        <v>651.6763738077415</v>
      </c>
      <c r="N17" s="375">
        <f>SUM(N19,N21:N22,N24,N26)</f>
        <v>669.9665791364791</v>
      </c>
      <c r="O17" s="375">
        <f>SUM(O19,O21:O22,O24)</f>
        <v>658.082550899141</v>
      </c>
      <c r="P17" s="375">
        <v>665.52959588716</v>
      </c>
      <c r="Q17" s="134">
        <v>589</v>
      </c>
      <c r="R17" s="123"/>
      <c r="S17" s="74"/>
      <c r="T17" s="74"/>
      <c r="U17" s="74"/>
      <c r="V17" s="74"/>
      <c r="W17" s="17"/>
    </row>
    <row r="18" spans="3:23" ht="12.75" customHeight="1">
      <c r="C18" s="205" t="str">
        <f>VLOOKUP(33,Textbausteine!$AK$2:$AO$151,Hilfsgrössen!$D$2,FALSE)</f>
        <v>Part de carburants renouvelables (au sein de la Poste)</v>
      </c>
      <c r="D18" s="182" t="str">
        <f>VLOOKUP(12,Textbausteine!$AK$2:$AO$151,Hilfsgrössen!$D$2,FALSE)</f>
        <v>%</v>
      </c>
      <c r="E18" s="107"/>
      <c r="F18" s="107" t="s">
        <v>248</v>
      </c>
      <c r="G18" s="49"/>
      <c r="H18" s="464">
        <v>0.35478541872999</v>
      </c>
      <c r="I18" s="464">
        <v>1.1567168482984</v>
      </c>
      <c r="J18" s="465">
        <v>1.1485380847405</v>
      </c>
      <c r="K18" s="445">
        <v>1.1168743896873</v>
      </c>
      <c r="L18" s="456">
        <v>1.0955225747881</v>
      </c>
      <c r="M18" s="456">
        <v>1.5431254318727</v>
      </c>
      <c r="N18" s="464">
        <v>1.252446342611</v>
      </c>
      <c r="O18" s="464">
        <v>1.2342065211546</v>
      </c>
      <c r="P18" s="464">
        <v>1.2406316478727</v>
      </c>
      <c r="Q18" s="462">
        <v>1.4</v>
      </c>
      <c r="R18" s="14"/>
      <c r="S18" s="74"/>
      <c r="T18" s="74"/>
      <c r="U18" s="74"/>
      <c r="V18" s="74"/>
      <c r="W18" s="11"/>
    </row>
    <row r="19" spans="3:23" ht="12.75" customHeight="1">
      <c r="C19" s="206" t="str">
        <f>VLOOKUP(34,Textbausteine!$AK$2:$AO$151,Hilfsgrössen!$D$2,FALSE)</f>
        <v>Diesel (au sein de la Poste)</v>
      </c>
      <c r="D19" s="182" t="str">
        <f>VLOOKUP(11,Textbausteine!$AK$2:$AO$151,Hilfsgrössen!$D$2,FALSE)</f>
        <v>GWh</v>
      </c>
      <c r="E19" s="107">
        <v>1</v>
      </c>
      <c r="F19" s="107" t="s">
        <v>248</v>
      </c>
      <c r="G19" s="49"/>
      <c r="H19" s="357">
        <v>544.40902</v>
      </c>
      <c r="I19" s="357">
        <v>560.00621</v>
      </c>
      <c r="J19" s="350">
        <v>582.90075</v>
      </c>
      <c r="K19" s="350">
        <v>608.74079799999</v>
      </c>
      <c r="L19" s="410">
        <v>607.69878899999</v>
      </c>
      <c r="M19" s="410">
        <v>613.16696364973</v>
      </c>
      <c r="N19" s="350">
        <v>637.89312152759</v>
      </c>
      <c r="O19" s="350">
        <v>630.95065035519</v>
      </c>
      <c r="P19" s="350">
        <v>639.84254149914</v>
      </c>
      <c r="Q19" s="139">
        <v>566</v>
      </c>
      <c r="R19" s="14"/>
      <c r="S19" s="74"/>
      <c r="T19" s="74"/>
      <c r="U19" s="74"/>
      <c r="V19" s="74"/>
      <c r="W19" s="17"/>
    </row>
    <row r="20" spans="3:23" ht="12.75" customHeight="1">
      <c r="C20" s="205" t="str">
        <f>VLOOKUP(35,Textbausteine!$AK$2:$AO$151,Hilfsgrössen!$D$2,FALSE)</f>
        <v>Part de biodiesel renouvelable (au sein de la Poste)</v>
      </c>
      <c r="D20" s="182" t="str">
        <f>VLOOKUP(12,Textbausteine!$AK$2:$AO$151,Hilfsgrössen!$D$2,FALSE)</f>
        <v>%</v>
      </c>
      <c r="E20" s="107">
        <v>1</v>
      </c>
      <c r="F20" s="107" t="s">
        <v>248</v>
      </c>
      <c r="G20" s="49"/>
      <c r="H20" s="107" t="s">
        <v>1470</v>
      </c>
      <c r="I20" s="107" t="s">
        <v>1470</v>
      </c>
      <c r="J20" s="107" t="s">
        <v>1470</v>
      </c>
      <c r="K20" s="107" t="s">
        <v>1470</v>
      </c>
      <c r="L20" s="107" t="s">
        <v>1470</v>
      </c>
      <c r="M20" s="456">
        <v>0.54443258490797</v>
      </c>
      <c r="N20" s="445">
        <v>0.4842631819544</v>
      </c>
      <c r="O20" s="445">
        <v>0.72887832434895</v>
      </c>
      <c r="P20" s="445">
        <v>0.74692666051561</v>
      </c>
      <c r="Q20" s="139">
        <v>0.76</v>
      </c>
      <c r="R20" s="13"/>
      <c r="S20" s="72"/>
      <c r="T20" s="72"/>
      <c r="U20" s="72"/>
      <c r="V20" s="72"/>
      <c r="W20" s="17"/>
    </row>
    <row r="21" spans="3:17" ht="12.75" customHeight="1">
      <c r="C21" s="206" t="str">
        <f>VLOOKUP(36,Textbausteine!$AK$2:$AO$151,Hilfsgrössen!$D$2,FALSE)</f>
        <v>Essence (au sein de la Poste)</v>
      </c>
      <c r="D21" s="182" t="str">
        <f>VLOOKUP(11,Textbausteine!$AK$2:$AO$151,Hilfsgrössen!$D$2,FALSE)</f>
        <v>GWh</v>
      </c>
      <c r="E21" s="107">
        <v>1</v>
      </c>
      <c r="F21" s="107" t="s">
        <v>248</v>
      </c>
      <c r="G21" s="49"/>
      <c r="H21" s="415">
        <v>47.134164</v>
      </c>
      <c r="I21" s="415">
        <v>42.558747</v>
      </c>
      <c r="J21" s="415">
        <v>41.277111333334</v>
      </c>
      <c r="K21" s="415">
        <v>33.425691933333</v>
      </c>
      <c r="L21" s="415">
        <v>30.902586244445</v>
      </c>
      <c r="M21" s="415">
        <v>28.164445756945</v>
      </c>
      <c r="N21" s="415">
        <v>25.191793305556</v>
      </c>
      <c r="O21" s="415">
        <v>22.953475213951</v>
      </c>
      <c r="P21" s="415">
        <v>21.373896523271</v>
      </c>
      <c r="Q21" s="139">
        <v>19.2</v>
      </c>
    </row>
    <row r="22" spans="3:17" ht="12.75" customHeight="1">
      <c r="C22" s="206" t="str">
        <f>VLOOKUP(37,Textbausteine!$AK$2:$AO$151,Hilfsgrössen!$D$2,FALSE)</f>
        <v>Gaz naturel (au sein de la Poste)</v>
      </c>
      <c r="D22" s="182" t="str">
        <f>VLOOKUP(11,Textbausteine!$AK$2:$AO$151,Hilfsgrössen!$D$2,FALSE)</f>
        <v>GWh</v>
      </c>
      <c r="E22" s="107" t="s">
        <v>77</v>
      </c>
      <c r="F22" s="107" t="s">
        <v>248</v>
      </c>
      <c r="G22" s="49"/>
      <c r="H22" s="415">
        <v>17.359948088888</v>
      </c>
      <c r="I22" s="415">
        <v>18.315607966666</v>
      </c>
      <c r="J22" s="415">
        <v>10.627592155555</v>
      </c>
      <c r="K22" s="415">
        <v>8.6863183888887</v>
      </c>
      <c r="L22" s="415">
        <v>7.7856172666665</v>
      </c>
      <c r="M22" s="415">
        <v>7.3162420243998</v>
      </c>
      <c r="N22" s="415">
        <v>3.4726373333332</v>
      </c>
      <c r="O22" s="415">
        <v>1.4541024</v>
      </c>
      <c r="P22" s="415">
        <v>1.2843088647577</v>
      </c>
      <c r="Q22" s="139">
        <v>0.6</v>
      </c>
    </row>
    <row r="23" spans="3:17" ht="12.75" customHeight="1">
      <c r="C23" s="205" t="str">
        <f>VLOOKUP(38,Textbausteine!$AK$2:$AO$151,Hilfsgrössen!$D$2,FALSE)</f>
        <v>Part de biogaz renouvelable (au sein de la Poste)</v>
      </c>
      <c r="D23" s="182" t="str">
        <f>VLOOKUP(12,Textbausteine!$AK$2:$AO$151,Hilfsgrössen!$D$2,FALSE)</f>
        <v>%</v>
      </c>
      <c r="E23" s="107" t="s">
        <v>77</v>
      </c>
      <c r="F23" s="107" t="s">
        <v>248</v>
      </c>
      <c r="G23" s="49"/>
      <c r="H23" s="415">
        <v>10.079225352113</v>
      </c>
      <c r="I23" s="415">
        <v>33.963225670629</v>
      </c>
      <c r="J23" s="415">
        <v>56.787712750162</v>
      </c>
      <c r="K23" s="415">
        <v>52.064144858814</v>
      </c>
      <c r="L23" s="415">
        <v>51.146533797847</v>
      </c>
      <c r="M23" s="415">
        <v>51.490128563769</v>
      </c>
      <c r="N23" s="415">
        <v>55.482631740411</v>
      </c>
      <c r="O23" s="415">
        <v>54.941955944781</v>
      </c>
      <c r="P23" s="415">
        <v>34.942316219423</v>
      </c>
      <c r="Q23" s="139">
        <v>10.4</v>
      </c>
    </row>
    <row r="24" spans="3:17" ht="12.75" customHeight="1">
      <c r="C24" s="207" t="str">
        <f>VLOOKUP(39,Textbausteine!$AK$2:$AO$151,Hilfsgrössen!$D$2,FALSE)</f>
        <v>Electricité comme carburant (au sein de la Poste)</v>
      </c>
      <c r="D24" s="182" t="str">
        <f>VLOOKUP(11,Textbausteine!$AK$2:$AO$151,Hilfsgrössen!$D$2,FALSE)</f>
        <v>GWh</v>
      </c>
      <c r="E24" s="107" t="s">
        <v>77</v>
      </c>
      <c r="F24" s="107" t="s">
        <v>248</v>
      </c>
      <c r="G24" s="49"/>
      <c r="H24" s="445">
        <v>0.412013</v>
      </c>
      <c r="I24" s="445">
        <v>0.972508</v>
      </c>
      <c r="J24" s="445">
        <v>1.270407</v>
      </c>
      <c r="K24" s="445">
        <v>1.812209</v>
      </c>
      <c r="L24" s="445">
        <v>2.240424</v>
      </c>
      <c r="M24" s="445">
        <v>2.31997971</v>
      </c>
      <c r="N24" s="445">
        <v>2.70387772</v>
      </c>
      <c r="O24" s="445">
        <v>2.72432293</v>
      </c>
      <c r="P24" s="445">
        <v>3.028849</v>
      </c>
      <c r="Q24" s="461">
        <v>3.66</v>
      </c>
    </row>
    <row r="25" spans="3:17" ht="12.75" customHeight="1">
      <c r="C25" s="208" t="str">
        <f>VLOOKUP(40,Textbausteine!$AK$2:$AO$151,Hilfsgrössen!$D$2,FALSE)</f>
        <v>Part d'électricité renouvelable comme carburant (au sein de la Poste)</v>
      </c>
      <c r="D25" s="182" t="str">
        <f>VLOOKUP(12,Textbausteine!$AK$2:$AO$151,Hilfsgrössen!$D$2,FALSE)</f>
        <v>%</v>
      </c>
      <c r="E25" s="107" t="s">
        <v>77</v>
      </c>
      <c r="F25" s="107" t="s">
        <v>248</v>
      </c>
      <c r="G25" s="49"/>
      <c r="H25" s="107">
        <v>100</v>
      </c>
      <c r="I25" s="107">
        <v>100</v>
      </c>
      <c r="J25" s="107">
        <v>100</v>
      </c>
      <c r="K25" s="107">
        <v>100</v>
      </c>
      <c r="L25" s="107">
        <v>100</v>
      </c>
      <c r="M25" s="107">
        <v>100</v>
      </c>
      <c r="N25" s="107">
        <v>100</v>
      </c>
      <c r="O25" s="107">
        <v>100</v>
      </c>
      <c r="P25" s="107">
        <v>100</v>
      </c>
      <c r="Q25" s="139">
        <v>100</v>
      </c>
    </row>
    <row r="26" spans="3:17" ht="12.75" customHeight="1">
      <c r="C26" s="207" t="str">
        <f>VLOOKUP(41,Textbausteine!$AK$2:$AO$151,Hilfsgrössen!$D$2,FALSE)</f>
        <v>Hydrogène (au sein de la Poste)</v>
      </c>
      <c r="D26" s="182" t="str">
        <f>VLOOKUP(11,Textbausteine!$AK$2:$AO$151,Hilfsgrössen!$D$2,FALSE)</f>
        <v>GWh</v>
      </c>
      <c r="E26" s="107" t="s">
        <v>77</v>
      </c>
      <c r="F26" s="107" t="s">
        <v>248</v>
      </c>
      <c r="G26" s="49"/>
      <c r="H26" s="107" t="s">
        <v>1470</v>
      </c>
      <c r="I26" s="107" t="s">
        <v>1470</v>
      </c>
      <c r="J26" s="107" t="s">
        <v>1470</v>
      </c>
      <c r="K26" s="107">
        <v>1.05989</v>
      </c>
      <c r="L26" s="107">
        <v>0.96327075</v>
      </c>
      <c r="M26" s="107">
        <v>0.70874266666667</v>
      </c>
      <c r="N26" s="107">
        <v>0.70514925</v>
      </c>
      <c r="O26" s="107" t="s">
        <v>1470</v>
      </c>
      <c r="P26" s="107" t="s">
        <v>1470</v>
      </c>
      <c r="Q26" s="139" t="s">
        <v>1470</v>
      </c>
    </row>
    <row r="27" spans="3:17" ht="12.75" customHeight="1">
      <c r="C27" s="208" t="str">
        <f>VLOOKUP(42,Textbausteine!$AK$2:$AO$151,Hilfsgrössen!$D$2,FALSE)</f>
        <v>Part d'hydrogène renouvelable (au sein de la Poste)</v>
      </c>
      <c r="D27" s="182" t="str">
        <f>VLOOKUP(12,Textbausteine!$AK$2:$AO$151,Hilfsgrössen!$D$2,FALSE)</f>
        <v>%</v>
      </c>
      <c r="E27" s="107" t="s">
        <v>77</v>
      </c>
      <c r="F27" s="107" t="s">
        <v>248</v>
      </c>
      <c r="G27" s="49"/>
      <c r="H27" s="107" t="s">
        <v>1470</v>
      </c>
      <c r="I27" s="107" t="s">
        <v>1470</v>
      </c>
      <c r="J27" s="107" t="s">
        <v>1470</v>
      </c>
      <c r="K27" s="107">
        <v>91.2</v>
      </c>
      <c r="L27" s="107">
        <v>92.8</v>
      </c>
      <c r="M27" s="107">
        <v>89</v>
      </c>
      <c r="N27" s="107">
        <v>95.2</v>
      </c>
      <c r="O27" s="107" t="s">
        <v>1470</v>
      </c>
      <c r="P27" s="107" t="s">
        <v>1470</v>
      </c>
      <c r="Q27" s="139" t="s">
        <v>1470</v>
      </c>
    </row>
    <row r="28" spans="3:17" ht="12.75" customHeight="1">
      <c r="C28" s="204" t="str">
        <f>VLOOKUP(43,Textbausteine!$AK$2:$AO$151,Hilfsgrössen!$D$2,FALSE)</f>
        <v>Consommation de carburants (en dehors de la Poste)</v>
      </c>
      <c r="D28" s="209" t="str">
        <f>VLOOKUP(11,Textbausteine!$AK$2:$AO$151,Hilfsgrössen!$D$2,FALSE)</f>
        <v>GWh</v>
      </c>
      <c r="E28" s="107">
        <v>1</v>
      </c>
      <c r="F28" s="107" t="s">
        <v>249</v>
      </c>
      <c r="G28" s="49"/>
      <c r="H28" s="107">
        <v>532.24498498185</v>
      </c>
      <c r="I28" s="107">
        <v>527.6407825762</v>
      </c>
      <c r="J28" s="107">
        <v>561.1689516856</v>
      </c>
      <c r="K28" s="107">
        <v>484.92553643216</v>
      </c>
      <c r="L28" s="107">
        <v>484.6588325183</v>
      </c>
      <c r="M28" s="107">
        <v>492.28999264906</v>
      </c>
      <c r="N28" s="107">
        <v>510.59029625408</v>
      </c>
      <c r="O28" s="107">
        <v>489.29617985888</v>
      </c>
      <c r="P28" s="107">
        <v>493.50879765768</v>
      </c>
      <c r="Q28" s="139">
        <v>479.9</v>
      </c>
    </row>
    <row r="29" spans="3:17" ht="12.75" customHeight="1">
      <c r="C29" s="210"/>
      <c r="D29" s="182"/>
      <c r="E29" s="107"/>
      <c r="F29" s="107"/>
      <c r="G29" s="49"/>
      <c r="N29" s="107"/>
      <c r="O29" s="107"/>
      <c r="P29" s="107"/>
      <c r="Q29" s="139"/>
    </row>
    <row r="30" spans="3:17" ht="12.75" customHeight="1">
      <c r="C30" s="202" t="str">
        <f>VLOOKUP(44,Textbausteine!$AK$2:$AO$151,Hilfsgrössen!$D$2,FALSE)</f>
        <v>Consommation de combustibles</v>
      </c>
      <c r="D30" s="182"/>
      <c r="E30" s="107"/>
      <c r="F30" s="20"/>
      <c r="G30" s="49"/>
      <c r="N30" s="107"/>
      <c r="O30" s="107"/>
      <c r="P30" s="107"/>
      <c r="Q30" s="139"/>
    </row>
    <row r="31" spans="3:17" ht="12.75" customHeight="1">
      <c r="C31" s="203" t="str">
        <f>VLOOKUP(44,Textbausteine!$AK$2:$AO$151,Hilfsgrössen!$D$2,FALSE)</f>
        <v>Consommation de combustibles</v>
      </c>
      <c r="D31" s="182" t="str">
        <f>VLOOKUP(11,Textbausteine!$AK$2:$AO$151,Hilfsgrössen!$D$2,FALSE)</f>
        <v>GWh</v>
      </c>
      <c r="E31" s="107">
        <v>1</v>
      </c>
      <c r="F31" s="107"/>
      <c r="G31" s="50"/>
      <c r="H31" s="107">
        <v>197.44983799999898</v>
      </c>
      <c r="I31" s="107">
        <v>166.77795333333202</v>
      </c>
      <c r="J31" s="107">
        <v>162.465465333333</v>
      </c>
      <c r="K31" s="107">
        <v>144.567847495053</v>
      </c>
      <c r="L31" s="107">
        <v>133.737869566666</v>
      </c>
      <c r="M31" s="107">
        <v>134.609974516666</v>
      </c>
      <c r="N31" s="107">
        <v>135.646013666666</v>
      </c>
      <c r="O31" s="107">
        <v>134.533306227297</v>
      </c>
      <c r="P31" s="107">
        <v>159.86959143796</v>
      </c>
      <c r="Q31" s="139">
        <v>156</v>
      </c>
    </row>
    <row r="32" spans="3:17" ht="12.75" customHeight="1">
      <c r="C32" s="204" t="str">
        <f>VLOOKUP(45,Textbausteine!$AK$2:$AO$151,Hilfsgrössen!$D$2,FALSE)</f>
        <v>Consommation de combustibles (au sein de la Poste)</v>
      </c>
      <c r="D32" s="182" t="str">
        <f>VLOOKUP(11,Textbausteine!$AK$2:$AO$151,Hilfsgrössen!$D$2,FALSE)</f>
        <v>GWh</v>
      </c>
      <c r="E32" s="107">
        <v>1</v>
      </c>
      <c r="F32" s="107" t="s">
        <v>248</v>
      </c>
      <c r="G32" s="49"/>
      <c r="H32" s="107">
        <v>100.882782833333</v>
      </c>
      <c r="I32" s="107">
        <v>85.45137166666602</v>
      </c>
      <c r="J32" s="107">
        <v>95.44584233333299</v>
      </c>
      <c r="K32" s="107">
        <v>78.260579333333</v>
      </c>
      <c r="L32" s="107">
        <v>78.104862</v>
      </c>
      <c r="M32" s="107">
        <v>79.642092</v>
      </c>
      <c r="N32" s="107">
        <v>79.983076833333</v>
      </c>
      <c r="O32" s="107">
        <v>76.252287333333</v>
      </c>
      <c r="P32" s="107">
        <v>96.372365888889</v>
      </c>
      <c r="Q32" s="139">
        <v>93</v>
      </c>
    </row>
    <row r="33" spans="3:17" ht="12.75" customHeight="1">
      <c r="C33" s="205" t="str">
        <f>VLOOKUP(46,Textbausteine!$AK$2:$AO$151,Hilfsgrössen!$D$2,FALSE)</f>
        <v>Part de combustibles renouvelables (au sein de la Poste)</v>
      </c>
      <c r="D33" s="182" t="str">
        <f>VLOOKUP(12,Textbausteine!$AK$2:$AO$151,Hilfsgrössen!$D$2,FALSE)</f>
        <v>%</v>
      </c>
      <c r="E33" s="107"/>
      <c r="F33" s="107" t="s">
        <v>248</v>
      </c>
      <c r="G33" s="49"/>
      <c r="H33" s="445">
        <v>9.8889626330711</v>
      </c>
      <c r="I33" s="445">
        <v>8.4005998089798</v>
      </c>
      <c r="J33" s="445">
        <v>8.7451638922551</v>
      </c>
      <c r="K33" s="445">
        <v>9.49478150981</v>
      </c>
      <c r="L33" s="445">
        <v>13.149458430124</v>
      </c>
      <c r="M33" s="445">
        <v>14.406724736998</v>
      </c>
      <c r="N33" s="445">
        <v>14.396322900954</v>
      </c>
      <c r="O33" s="445">
        <v>18.165597460392</v>
      </c>
      <c r="P33" s="445">
        <v>37.376533286612</v>
      </c>
      <c r="Q33" s="461">
        <v>37.4</v>
      </c>
    </row>
    <row r="34" spans="3:17" ht="12.75" customHeight="1">
      <c r="C34" s="206" t="str">
        <f>VLOOKUP(47,Textbausteine!$AK$2:$AO$151,Hilfsgrössen!$D$2,FALSE)</f>
        <v>Mazout extra-léger (au sein de la Poste)</v>
      </c>
      <c r="D34" s="182" t="str">
        <f>VLOOKUP(11,Textbausteine!$AK$2:$AO$151,Hilfsgrössen!$D$2,FALSE)</f>
        <v>GWh</v>
      </c>
      <c r="E34" s="107">
        <v>1</v>
      </c>
      <c r="F34" s="20" t="s">
        <v>248</v>
      </c>
      <c r="G34" s="49"/>
      <c r="H34" s="107">
        <v>60.484234833333</v>
      </c>
      <c r="I34" s="107">
        <v>50.574408666666</v>
      </c>
      <c r="J34" s="107">
        <v>51.829524333333</v>
      </c>
      <c r="K34" s="107">
        <v>43.358942333333</v>
      </c>
      <c r="L34" s="107">
        <v>33.214683</v>
      </c>
      <c r="M34" s="107">
        <v>30.504087</v>
      </c>
      <c r="N34" s="107">
        <v>28.167044833333</v>
      </c>
      <c r="O34" s="107">
        <v>27.763987333333</v>
      </c>
      <c r="P34" s="107">
        <v>25.296445833333</v>
      </c>
      <c r="Q34" s="139">
        <v>25.5</v>
      </c>
    </row>
    <row r="35" spans="3:17" ht="12.75" customHeight="1">
      <c r="C35" s="206" t="str">
        <f>VLOOKUP(48,Textbausteine!$AK$2:$AO$151,Hilfsgrössen!$D$2,FALSE)</f>
        <v>Gaz naturel (au sein de la Poste)</v>
      </c>
      <c r="D35" s="182" t="str">
        <f>VLOOKUP(11,Textbausteine!$AK$2:$AO$151,Hilfsgrössen!$D$2,FALSE)</f>
        <v>GWh</v>
      </c>
      <c r="E35" s="20">
        <v>1</v>
      </c>
      <c r="F35" s="20" t="s">
        <v>248</v>
      </c>
      <c r="G35" s="50"/>
      <c r="H35" s="107">
        <v>19.330336</v>
      </c>
      <c r="I35" s="107">
        <v>19.300885</v>
      </c>
      <c r="J35" s="107">
        <v>25.737585</v>
      </c>
      <c r="K35" s="107">
        <v>18.86145</v>
      </c>
      <c r="L35" s="107">
        <v>20.544437</v>
      </c>
      <c r="M35" s="107">
        <v>19.133553</v>
      </c>
      <c r="N35" s="107">
        <v>18.24288</v>
      </c>
      <c r="O35" s="107">
        <v>16.296203</v>
      </c>
      <c r="P35" s="107">
        <v>28.467953</v>
      </c>
      <c r="Q35" s="139">
        <v>27.4</v>
      </c>
    </row>
    <row r="36" spans="3:17" ht="12.75" customHeight="1">
      <c r="C36" s="205" t="str">
        <f>VLOOKUP(49,Textbausteine!$AK$2:$AO$151,Hilfsgrössen!$D$2,FALSE)</f>
        <v>Part de biogaz (au sein de la Poste)</v>
      </c>
      <c r="D36" s="182" t="str">
        <f>VLOOKUP(12,Textbausteine!$AK$2:$AO$151,Hilfsgrössen!$D$2,FALSE)</f>
        <v>%</v>
      </c>
      <c r="E36" s="20" t="s">
        <v>77</v>
      </c>
      <c r="F36" s="107" t="s">
        <v>248</v>
      </c>
      <c r="G36" s="50"/>
      <c r="H36" s="445">
        <v>0</v>
      </c>
      <c r="I36" s="445">
        <v>0</v>
      </c>
      <c r="J36" s="445">
        <v>0</v>
      </c>
      <c r="K36" s="445">
        <v>0</v>
      </c>
      <c r="L36" s="445">
        <v>6.0080541511067</v>
      </c>
      <c r="M36" s="445">
        <v>6.5253128888294</v>
      </c>
      <c r="N36" s="445">
        <v>6.4321845015699</v>
      </c>
      <c r="O36" s="445">
        <v>13.380348784315</v>
      </c>
      <c r="P36" s="445">
        <v>6.8018929917441</v>
      </c>
      <c r="Q36" s="461">
        <v>6.7</v>
      </c>
    </row>
    <row r="37" spans="3:17" ht="12.75" customHeight="1">
      <c r="C37" s="206" t="str">
        <f>VLOOKUP(50,Textbausteine!$AK$2:$AO$151,Hilfsgrössen!$D$2,FALSE)</f>
        <v>Chaleur à distance (au sein de la Poste)</v>
      </c>
      <c r="D37" s="182" t="str">
        <f>VLOOKUP(11,Textbausteine!$AK$2:$AO$151,Hilfsgrössen!$D$2,FALSE)</f>
        <v>GWh</v>
      </c>
      <c r="E37" s="20">
        <v>1</v>
      </c>
      <c r="F37" s="107" t="s">
        <v>248</v>
      </c>
      <c r="G37" s="49"/>
      <c r="H37" s="107">
        <v>19.435192</v>
      </c>
      <c r="I37" s="107">
        <v>13.943058</v>
      </c>
      <c r="J37" s="107">
        <v>16.245713</v>
      </c>
      <c r="K37" s="107">
        <v>14.407167</v>
      </c>
      <c r="L37" s="107">
        <v>15.621493</v>
      </c>
      <c r="M37" s="107">
        <v>16.353833</v>
      </c>
      <c r="N37" s="107">
        <v>15.255806</v>
      </c>
      <c r="O37" s="107">
        <v>13.918751</v>
      </c>
      <c r="P37" s="107">
        <v>21.47022</v>
      </c>
      <c r="Q37" s="139">
        <v>18</v>
      </c>
    </row>
    <row r="38" spans="3:17" ht="12.75" customHeight="1">
      <c r="C38" s="205" t="str">
        <f>VLOOKUP(51,Textbausteine!$AK$2:$AO$151,Hilfsgrössen!$D$2,FALSE)</f>
        <v>Part de chaleur à distance renouvelable (au sein de la Poste)</v>
      </c>
      <c r="D38" s="182" t="str">
        <f>VLOOKUP(12,Textbausteine!$AK$2:$AO$151,Hilfsgrössen!$D$2,FALSE)</f>
        <v>%</v>
      </c>
      <c r="E38" s="107"/>
      <c r="F38" s="20" t="s">
        <v>248</v>
      </c>
      <c r="G38" s="49"/>
      <c r="H38" s="107">
        <v>50.5</v>
      </c>
      <c r="I38" s="107">
        <v>50.5</v>
      </c>
      <c r="J38" s="107">
        <v>50.5</v>
      </c>
      <c r="K38" s="107">
        <v>50.5</v>
      </c>
      <c r="L38" s="107">
        <v>50.5</v>
      </c>
      <c r="M38" s="107">
        <v>50.5</v>
      </c>
      <c r="N38" s="107">
        <v>50.5</v>
      </c>
      <c r="O38" s="107">
        <v>60.3</v>
      </c>
      <c r="P38" s="107">
        <v>60.3</v>
      </c>
      <c r="Q38" s="139">
        <v>60.3</v>
      </c>
    </row>
    <row r="39" spans="3:17" ht="12.75" customHeight="1">
      <c r="C39" s="206" t="str">
        <f>VLOOKUP(52,Textbausteine!$AK$2:$AO$151,Hilfsgrössen!$D$2,FALSE)</f>
        <v>Bois (au sein de la Poste)</v>
      </c>
      <c r="D39" s="182" t="str">
        <f>VLOOKUP(11,Textbausteine!$AK$2:$AO$151,Hilfsgrössen!$D$2,FALSE)</f>
        <v>GWh</v>
      </c>
      <c r="E39" s="107"/>
      <c r="F39" s="20" t="s">
        <v>248</v>
      </c>
      <c r="G39" s="49"/>
      <c r="H39" s="107" t="s">
        <v>1470</v>
      </c>
      <c r="I39" s="107" t="s">
        <v>1470</v>
      </c>
      <c r="J39" s="107" t="s">
        <v>1470</v>
      </c>
      <c r="K39" s="107" t="s">
        <v>1470</v>
      </c>
      <c r="L39" s="107" t="s">
        <v>1470</v>
      </c>
      <c r="M39" s="107" t="s">
        <v>1470</v>
      </c>
      <c r="N39" s="107" t="s">
        <v>1470</v>
      </c>
      <c r="O39" s="107" t="s">
        <v>1470</v>
      </c>
      <c r="P39" s="445">
        <v>0.41493005555556</v>
      </c>
      <c r="Q39" s="139">
        <v>0.69</v>
      </c>
    </row>
    <row r="40" spans="3:17" ht="12.75" customHeight="1">
      <c r="C40" s="206" t="str">
        <f>VLOOKUP(53,Textbausteine!$AK$2:$AO$151,Hilfsgrössen!$D$2,FALSE)</f>
        <v>Electricité de chauffage (au sein de la Poste)</v>
      </c>
      <c r="D40" s="182" t="str">
        <f>VLOOKUP(11,Textbausteine!$AK$2:$AO$151,Hilfsgrössen!$D$2,FALSE)</f>
        <v>GWh</v>
      </c>
      <c r="E40" s="20" t="s">
        <v>716</v>
      </c>
      <c r="F40" s="20" t="s">
        <v>248</v>
      </c>
      <c r="G40" s="50"/>
      <c r="H40" s="107">
        <v>0</v>
      </c>
      <c r="I40" s="107">
        <v>0</v>
      </c>
      <c r="J40" s="107">
        <v>0</v>
      </c>
      <c r="K40" s="107">
        <v>0</v>
      </c>
      <c r="L40" s="107">
        <v>0</v>
      </c>
      <c r="M40" s="107">
        <v>0</v>
      </c>
      <c r="N40" s="107">
        <v>0</v>
      </c>
      <c r="O40" s="107">
        <v>0</v>
      </c>
      <c r="P40" s="445">
        <v>4.675609</v>
      </c>
      <c r="Q40" s="139">
        <v>5.27</v>
      </c>
    </row>
    <row r="41" spans="3:17" ht="12.75" customHeight="1">
      <c r="C41" s="205" t="str">
        <f>VLOOKUP(54,Textbausteine!$AK$2:$AO$151,Hilfsgrössen!$D$2,FALSE)</f>
        <v>Part d'électricité renouvelable uitlisée pour le chauffage (au sein de la Poste)</v>
      </c>
      <c r="D41" s="182" t="str">
        <f>VLOOKUP(12,Textbausteine!$AK$2:$AO$151,Hilfsgrössen!$D$2,FALSE)</f>
        <v>%</v>
      </c>
      <c r="E41" s="20"/>
      <c r="F41" s="20" t="s">
        <v>248</v>
      </c>
      <c r="G41" s="50"/>
      <c r="H41" s="107" t="s">
        <v>1470</v>
      </c>
      <c r="I41" s="107" t="s">
        <v>1470</v>
      </c>
      <c r="J41" s="107" t="s">
        <v>1470</v>
      </c>
      <c r="K41" s="107" t="s">
        <v>1470</v>
      </c>
      <c r="L41" s="107" t="s">
        <v>1470</v>
      </c>
      <c r="M41" s="107" t="s">
        <v>1470</v>
      </c>
      <c r="N41" s="107" t="s">
        <v>1470</v>
      </c>
      <c r="O41" s="107" t="s">
        <v>1470</v>
      </c>
      <c r="P41" s="107">
        <v>100</v>
      </c>
      <c r="Q41" s="139">
        <v>100</v>
      </c>
    </row>
    <row r="42" spans="3:17" ht="12.75" customHeight="1">
      <c r="C42" s="206" t="str">
        <f>VLOOKUP(55,Textbausteine!$AK$2:$AO$151,Hilfsgrössen!$D$2,FALSE)</f>
        <v>Chaleur et froid de l'environnement (au sein de la Poste)</v>
      </c>
      <c r="D42" s="182" t="str">
        <f>VLOOKUP(11,Textbausteine!$AK$2:$AO$151,Hilfsgrössen!$D$2,FALSE)</f>
        <v>GWh</v>
      </c>
      <c r="E42" s="20">
        <v>1</v>
      </c>
      <c r="F42" s="107" t="s">
        <v>248</v>
      </c>
      <c r="G42" s="50"/>
      <c r="H42" s="107">
        <v>1.63302</v>
      </c>
      <c r="I42" s="107">
        <v>1.63302</v>
      </c>
      <c r="J42" s="107">
        <v>1.63302</v>
      </c>
      <c r="K42" s="107">
        <v>1.63302</v>
      </c>
      <c r="L42" s="107">
        <v>8.724249</v>
      </c>
      <c r="M42" s="107">
        <v>13.650619</v>
      </c>
      <c r="N42" s="107">
        <v>18.317346</v>
      </c>
      <c r="O42" s="107">
        <v>18.273346</v>
      </c>
      <c r="P42" s="107">
        <v>16.047208</v>
      </c>
      <c r="Q42" s="139">
        <v>16.1</v>
      </c>
    </row>
    <row r="43" spans="3:17" ht="12.75" customHeight="1">
      <c r="C43" s="204" t="str">
        <f>VLOOKUP(56,Textbausteine!$AK$2:$AO$151,Hilfsgrössen!$D$2,FALSE)</f>
        <v>Consommation de combustibles (en dehors de la Poste)</v>
      </c>
      <c r="D43" s="209" t="str">
        <f>VLOOKUP(11,Textbausteine!$AK$2:$AO$151,Hilfsgrössen!$D$2,FALSE)</f>
        <v>GWh</v>
      </c>
      <c r="E43" s="20">
        <v>1</v>
      </c>
      <c r="F43" s="107" t="s">
        <v>249</v>
      </c>
      <c r="G43" s="49"/>
      <c r="H43" s="107">
        <v>96.567055166666</v>
      </c>
      <c r="I43" s="107">
        <v>81.326581666666</v>
      </c>
      <c r="J43" s="107">
        <v>67.019623</v>
      </c>
      <c r="K43" s="107">
        <v>66.30726816172</v>
      </c>
      <c r="L43" s="107">
        <v>55.633007566666</v>
      </c>
      <c r="M43" s="107">
        <v>54.967882516666</v>
      </c>
      <c r="N43" s="107">
        <v>55.662936833333</v>
      </c>
      <c r="O43" s="107">
        <v>58.281018893964</v>
      </c>
      <c r="P43" s="107">
        <v>63.497225549069</v>
      </c>
      <c r="Q43" s="139">
        <v>63</v>
      </c>
    </row>
    <row r="44" spans="3:17" ht="12.75" customHeight="1">
      <c r="C44" s="211"/>
      <c r="D44" s="212"/>
      <c r="E44" s="20"/>
      <c r="F44" s="107"/>
      <c r="G44" s="49"/>
      <c r="N44" s="107"/>
      <c r="O44" s="107"/>
      <c r="P44" s="107"/>
      <c r="Q44" s="139"/>
    </row>
    <row r="45" spans="3:17" ht="12.75" customHeight="1">
      <c r="C45" s="202" t="str">
        <f>VLOOKUP(57,Textbausteine!$AK$2:$AO$151,Hilfsgrössen!$D$2,FALSE)</f>
        <v>Electricité</v>
      </c>
      <c r="D45" s="213"/>
      <c r="E45" s="20"/>
      <c r="F45" s="107"/>
      <c r="G45" s="49"/>
      <c r="N45" s="107"/>
      <c r="O45" s="107"/>
      <c r="P45" s="107"/>
      <c r="Q45" s="139"/>
    </row>
    <row r="46" spans="3:17" ht="12.75" customHeight="1">
      <c r="C46" s="203" t="str">
        <f>VLOOKUP(58,Textbausteine!$AK$2:$AO$151,Hilfsgrössen!$D$2,FALSE)</f>
        <v>Consommation d'électricité (sans carburant, ni chaleur)</v>
      </c>
      <c r="D46" s="182" t="str">
        <f>VLOOKUP(11,Textbausteine!$AK$2:$AO$151,Hilfsgrössen!$D$2,FALSE)</f>
        <v>GWh</v>
      </c>
      <c r="E46" s="107">
        <v>1</v>
      </c>
      <c r="F46" s="107"/>
      <c r="G46" s="49"/>
      <c r="H46" s="107">
        <v>215.775041</v>
      </c>
      <c r="I46" s="107">
        <v>203.308536</v>
      </c>
      <c r="J46" s="107">
        <v>186.968772</v>
      </c>
      <c r="K46" s="107">
        <v>177.78381180000002</v>
      </c>
      <c r="L46" s="107">
        <v>187.782846</v>
      </c>
      <c r="M46" s="107">
        <v>179.51580106</v>
      </c>
      <c r="N46" s="107">
        <v>174.96544728</v>
      </c>
      <c r="O46" s="107">
        <f>SUM(O47,O49)</f>
        <v>171.52816507</v>
      </c>
      <c r="P46" s="107">
        <v>160.1</v>
      </c>
      <c r="Q46" s="139">
        <v>151.4</v>
      </c>
    </row>
    <row r="47" spans="3:17" ht="12.75" customHeight="1">
      <c r="C47" s="210" t="str">
        <f>VLOOKUP(59,Textbausteine!$AK$2:$AO$151,Hilfsgrössen!$D$2,FALSE)</f>
        <v>Consommation d'électricité (au sein de la Poste)</v>
      </c>
      <c r="D47" s="182" t="str">
        <f>VLOOKUP(11,Textbausteine!$AK$2:$AO$151,Hilfsgrössen!$D$2,FALSE)</f>
        <v>GWh</v>
      </c>
      <c r="E47" s="107" t="s">
        <v>245</v>
      </c>
      <c r="F47" s="20" t="s">
        <v>248</v>
      </c>
      <c r="G47" s="49"/>
      <c r="H47" s="107">
        <v>197.368293</v>
      </c>
      <c r="I47" s="107">
        <v>182.654118</v>
      </c>
      <c r="J47" s="107">
        <v>165.360734</v>
      </c>
      <c r="K47" s="107">
        <v>158.9471578</v>
      </c>
      <c r="L47" s="107">
        <v>166.664814</v>
      </c>
      <c r="M47" s="107">
        <v>158.70853406</v>
      </c>
      <c r="N47" s="107">
        <v>155.07117228</v>
      </c>
      <c r="O47" s="107">
        <v>152.39495207</v>
      </c>
      <c r="P47" s="107">
        <v>139.6</v>
      </c>
      <c r="Q47" s="139">
        <v>133.5</v>
      </c>
    </row>
    <row r="48" spans="3:17" ht="12.75" customHeight="1">
      <c r="C48" s="206" t="str">
        <f>VLOOKUP(60,Textbausteine!$AK$2:$AO$151,Hilfsgrössen!$D$2,FALSE)</f>
        <v>Part d'électricité renouvelable (au sein de la Poste)</v>
      </c>
      <c r="D48" s="182" t="str">
        <f>VLOOKUP(12,Textbausteine!$AK$2:$AO$151,Hilfsgrössen!$D$2,FALSE)</f>
        <v>%</v>
      </c>
      <c r="E48" s="107"/>
      <c r="F48" s="107" t="s">
        <v>248</v>
      </c>
      <c r="G48" s="50"/>
      <c r="H48" s="107">
        <v>99.999988200801</v>
      </c>
      <c r="I48" s="107">
        <v>81.91622250603</v>
      </c>
      <c r="J48" s="107">
        <v>78.630838478567</v>
      </c>
      <c r="K48" s="107">
        <v>100</v>
      </c>
      <c r="L48" s="107">
        <v>100</v>
      </c>
      <c r="M48" s="107">
        <v>100</v>
      </c>
      <c r="N48" s="107">
        <v>100</v>
      </c>
      <c r="O48" s="107">
        <v>100</v>
      </c>
      <c r="P48" s="107">
        <v>100</v>
      </c>
      <c r="Q48" s="139">
        <v>100</v>
      </c>
    </row>
    <row r="49" spans="3:17" ht="12.75" customHeight="1">
      <c r="C49" s="210" t="str">
        <f>VLOOKUP(61,Textbausteine!$AK$2:$AO$151,Hilfsgrössen!$D$2,FALSE)</f>
        <v>Consommation d'électricité (en dehors de la Poste)</v>
      </c>
      <c r="D49" s="182" t="str">
        <f>VLOOKUP(11,Textbausteine!$AK$2:$AO$151,Hilfsgrössen!$D$2,FALSE)</f>
        <v>GWh</v>
      </c>
      <c r="E49" s="107">
        <v>1</v>
      </c>
      <c r="F49" s="107" t="s">
        <v>249</v>
      </c>
      <c r="G49" s="49"/>
      <c r="H49" s="107">
        <v>18.406748</v>
      </c>
      <c r="I49" s="107">
        <v>20.654418</v>
      </c>
      <c r="J49" s="107">
        <v>21.608038</v>
      </c>
      <c r="K49" s="107">
        <v>18.836654</v>
      </c>
      <c r="L49" s="107">
        <v>21.118032</v>
      </c>
      <c r="M49" s="107">
        <v>20.807267</v>
      </c>
      <c r="N49" s="107">
        <v>19.894275</v>
      </c>
      <c r="O49" s="107">
        <v>19.133213</v>
      </c>
      <c r="P49" s="107">
        <v>20.5</v>
      </c>
      <c r="Q49" s="139">
        <v>17.9</v>
      </c>
    </row>
    <row r="50" spans="3:17" ht="12.75" customHeight="1">
      <c r="C50" s="99"/>
      <c r="D50" s="182"/>
      <c r="E50" s="107"/>
      <c r="F50" s="20"/>
      <c r="G50" s="49"/>
      <c r="N50" s="107"/>
      <c r="O50" s="107"/>
      <c r="P50" s="107"/>
      <c r="Q50" s="139"/>
    </row>
    <row r="51" spans="3:17" ht="12.75" customHeight="1">
      <c r="C51" s="202" t="str">
        <f>VLOOKUP(62,Textbausteine!$AK$2:$AO$151,Hilfsgrössen!$D$2,FALSE)</f>
        <v>Besoins énergétiques</v>
      </c>
      <c r="D51" s="182"/>
      <c r="E51" s="107"/>
      <c r="F51" s="107"/>
      <c r="G51" s="50"/>
      <c r="N51" s="107"/>
      <c r="O51" s="107"/>
      <c r="P51" s="107"/>
      <c r="Q51" s="139"/>
    </row>
    <row r="52" spans="3:17" ht="12.75" customHeight="1">
      <c r="C52" s="214" t="str">
        <f>VLOOKUP(63,Textbausteine!$AK$2:$AO$151,Hilfsgrössen!$D$2,FALSE)</f>
        <v>Besoins énergétiques</v>
      </c>
      <c r="D52" s="209" t="str">
        <f>VLOOKUP(11,Textbausteine!$AK$2:$AO$151,Hilfsgrössen!$D$2,FALSE)</f>
        <v>GWh</v>
      </c>
      <c r="E52" s="107">
        <v>1</v>
      </c>
      <c r="F52" s="107" t="s">
        <v>248</v>
      </c>
      <c r="G52" s="49"/>
      <c r="H52" s="17">
        <f aca="true" t="shared" si="1" ref="H52:O52">SUM(H53,H55)</f>
        <v>1554.785009070737</v>
      </c>
      <c r="I52" s="17">
        <f t="shared" si="1"/>
        <v>1519.580344876198</v>
      </c>
      <c r="J52" s="17">
        <f t="shared" si="1"/>
        <v>1546.679049507822</v>
      </c>
      <c r="K52" s="17">
        <f t="shared" si="1"/>
        <v>1461.002103049425</v>
      </c>
      <c r="L52" s="17">
        <f t="shared" si="1"/>
        <v>1455.7702353460675</v>
      </c>
      <c r="M52" s="17">
        <f t="shared" si="1"/>
        <v>1458.0921420334676</v>
      </c>
      <c r="N52" s="17">
        <f t="shared" si="1"/>
        <v>1491.1683363372254</v>
      </c>
      <c r="O52" s="17">
        <f t="shared" si="1"/>
        <v>1453.440202055318</v>
      </c>
      <c r="P52" s="17">
        <v>1479</v>
      </c>
      <c r="Q52" s="460">
        <v>1377</v>
      </c>
    </row>
    <row r="53" spans="3:17" ht="12.75" customHeight="1">
      <c r="C53" s="210" t="str">
        <f>VLOOKUP(64,Textbausteine!$AK$2:$AO$151,Hilfsgrössen!$D$2,FALSE)</f>
        <v>Besoins énergétiques (au sein de la Poste)</v>
      </c>
      <c r="D53" s="182" t="str">
        <f>VLOOKUP(11,Textbausteine!$AK$2:$AO$151,Hilfsgrössen!$D$2,FALSE)</f>
        <v>GWh</v>
      </c>
      <c r="E53" s="107">
        <v>1</v>
      </c>
      <c r="F53" s="107" t="s">
        <v>248</v>
      </c>
      <c r="G53" s="49"/>
      <c r="H53" s="17">
        <f aca="true" t="shared" si="2" ref="H53:O53">SUM(H17,H32,H47)</f>
        <v>907.5662209222211</v>
      </c>
      <c r="I53" s="17">
        <f t="shared" si="2"/>
        <v>889.958562633332</v>
      </c>
      <c r="J53" s="17">
        <f t="shared" si="2"/>
        <v>896.882436822222</v>
      </c>
      <c r="K53" s="17">
        <f t="shared" si="2"/>
        <v>890.9326444555448</v>
      </c>
      <c r="L53" s="17">
        <f t="shared" si="2"/>
        <v>894.3603632611015</v>
      </c>
      <c r="M53" s="17">
        <f t="shared" si="2"/>
        <v>890.0269998677416</v>
      </c>
      <c r="N53" s="17">
        <f t="shared" si="2"/>
        <v>905.0208282498122</v>
      </c>
      <c r="O53" s="17">
        <f t="shared" si="2"/>
        <v>886.7297903024739</v>
      </c>
      <c r="P53" s="17">
        <v>901.5</v>
      </c>
      <c r="Q53" s="460">
        <v>816</v>
      </c>
    </row>
    <row r="54" spans="3:17" ht="12.75" customHeight="1">
      <c r="C54" s="207" t="str">
        <f>VLOOKUP(65,Textbausteine!$AK$2:$AO$151,Hilfsgrössen!$D$2,FALSE)</f>
        <v>Part d'énergie renouvelable dans les besoins énergétiques (au sein de la Poste)</v>
      </c>
      <c r="D54" s="209" t="str">
        <f>VLOOKUP(12,Textbausteine!$AK$2:$AO$151,Hilfsgrössen!$D$2,FALSE)</f>
        <v>%</v>
      </c>
      <c r="E54" s="107"/>
      <c r="F54" s="107" t="s">
        <v>248</v>
      </c>
      <c r="G54" s="49"/>
      <c r="H54" s="367">
        <v>23.108194152494</v>
      </c>
      <c r="I54" s="367">
        <v>17.952801711771</v>
      </c>
      <c r="J54" s="367">
        <v>15.701303624192</v>
      </c>
      <c r="K54" s="367">
        <v>19.101987854531</v>
      </c>
      <c r="L54" s="367">
        <v>20.290979341735</v>
      </c>
      <c r="M54" s="367">
        <v>19.995921883159</v>
      </c>
      <c r="N54" s="367">
        <v>19.258017591822</v>
      </c>
      <c r="O54" s="367">
        <v>19.620217243828</v>
      </c>
      <c r="P54" s="367">
        <v>20.4</v>
      </c>
      <c r="Q54" s="368">
        <v>21.6</v>
      </c>
    </row>
    <row r="55" spans="3:17" ht="12.75" customHeight="1">
      <c r="C55" s="210" t="str">
        <f>VLOOKUP(66,Textbausteine!$AK$2:$AO$151,Hilfsgrössen!$D$2,FALSE)</f>
        <v>Besoins énergétiques (en dehors de la Poste)</v>
      </c>
      <c r="D55" s="182" t="str">
        <f>VLOOKUP(11,Textbausteine!$AK$2:$AO$151,Hilfsgrössen!$D$2,FALSE)</f>
        <v>GWh</v>
      </c>
      <c r="E55" s="107">
        <v>1</v>
      </c>
      <c r="F55" s="107" t="s">
        <v>249</v>
      </c>
      <c r="G55" s="49"/>
      <c r="H55" s="17">
        <f aca="true" t="shared" si="3" ref="H55:O55">SUM(H28,H43,H49)</f>
        <v>647.2187881485161</v>
      </c>
      <c r="I55" s="17">
        <f t="shared" si="3"/>
        <v>629.621782242866</v>
      </c>
      <c r="J55" s="17">
        <f t="shared" si="3"/>
        <v>649.7966126855999</v>
      </c>
      <c r="K55" s="17">
        <f t="shared" si="3"/>
        <v>570.06945859388</v>
      </c>
      <c r="L55" s="17">
        <f t="shared" si="3"/>
        <v>561.409872084966</v>
      </c>
      <c r="M55" s="17">
        <f t="shared" si="3"/>
        <v>568.065142165726</v>
      </c>
      <c r="N55" s="17">
        <f t="shared" si="3"/>
        <v>586.147508087413</v>
      </c>
      <c r="O55" s="17">
        <f t="shared" si="3"/>
        <v>566.7104117528439</v>
      </c>
      <c r="P55" s="17">
        <v>577.5</v>
      </c>
      <c r="Q55" s="460">
        <v>561</v>
      </c>
    </row>
    <row r="56" spans="5:17" ht="12.75" customHeight="1">
      <c r="E56" s="107"/>
      <c r="F56" s="107"/>
      <c r="G56" s="49"/>
      <c r="N56" s="107"/>
      <c r="O56" s="107"/>
      <c r="P56" s="107"/>
      <c r="Q56" s="107"/>
    </row>
    <row r="57" spans="2:17" ht="12.75" customHeight="1">
      <c r="B57" s="164" t="str">
        <f>VLOOKUP(131,Textbausteine!$AK$2:$AO$151,Hilfsgrössen!$D$2,FALSE)</f>
        <v>1) Normes, méthodes et coefficients de conversion: protocole GHG, Revised Edition (2004). Les coefficients de conversion sont tirés d'ecoinvent 2.2.</v>
      </c>
      <c r="E57" s="107"/>
      <c r="F57" s="107"/>
      <c r="G57" s="49"/>
      <c r="N57" s="107"/>
      <c r="O57" s="107"/>
      <c r="P57" s="107"/>
      <c r="Q57" s="107"/>
    </row>
    <row r="58" spans="2:17" ht="12.75" customHeight="1">
      <c r="B58" s="164" t="str">
        <f>VLOOKUP(132,Textbausteine!$AK$2:$AO$151,Hilfsgrössen!$D$2,FALSE)</f>
        <v>2) Electricité verte / biogaz certifiés «naturemade star».</v>
      </c>
      <c r="E58" s="107"/>
      <c r="F58" s="107"/>
      <c r="G58" s="49"/>
      <c r="N58" s="107"/>
      <c r="O58" s="107"/>
      <c r="P58" s="107"/>
      <c r="Q58" s="107"/>
    </row>
    <row r="59" spans="2:17" ht="12.75" customHeight="1">
      <c r="B59" s="164" t="str">
        <f>VLOOKUP(133,Textbausteine!$AK$2:$AO$151,Hilfsgrössen!$D$2,FALSE)</f>
        <v>3) Electricité certifiée «naturemade basic» provenant d'énergies renouvelables.</v>
      </c>
      <c r="E59" s="107"/>
      <c r="F59" s="107"/>
      <c r="G59" s="49"/>
      <c r="N59" s="107"/>
      <c r="O59" s="107"/>
      <c r="P59" s="107"/>
      <c r="Q59" s="107"/>
    </row>
    <row r="60" spans="5:17" ht="12.75" customHeight="1">
      <c r="E60" s="20"/>
      <c r="F60" s="107"/>
      <c r="G60" s="49"/>
      <c r="N60" s="107"/>
      <c r="O60" s="107"/>
      <c r="P60" s="107"/>
      <c r="Q60" s="107"/>
    </row>
    <row r="61" spans="5:17" ht="12.75" customHeight="1">
      <c r="E61" s="107"/>
      <c r="F61" s="107"/>
      <c r="G61" s="49"/>
      <c r="N61" s="107"/>
      <c r="O61" s="107"/>
      <c r="P61" s="107"/>
      <c r="Q61" s="107"/>
    </row>
    <row r="62" spans="1:81" s="95" customFormat="1" ht="12.75" customHeight="1">
      <c r="A62" s="215" t="s">
        <v>807</v>
      </c>
      <c r="B62" s="488" t="str">
        <f>$C$8</f>
        <v>Autres indicateurs énergétiques</v>
      </c>
      <c r="C62" s="488"/>
      <c r="D62" s="102" t="str">
        <f>VLOOKUP(32,Textbausteine!$A$2:$E$67,Hilfsgrössen!$D$2,FALSE)</f>
        <v>Unité</v>
      </c>
      <c r="E62" s="108" t="str">
        <f>VLOOKUP(33,Textbausteine!$A$2:$E$67,Hilfsgrössen!$D$2,FALSE)</f>
        <v>Notes</v>
      </c>
      <c r="F62" s="108" t="str">
        <f>VLOOKUP(34,Textbausteine!$A$2:$E$67,Hilfsgrössen!$D$2,FALSE)</f>
        <v>GRI</v>
      </c>
      <c r="G62" s="49"/>
      <c r="H62" s="103">
        <v>2010</v>
      </c>
      <c r="I62" s="103">
        <v>2011</v>
      </c>
      <c r="J62" s="103">
        <v>2012</v>
      </c>
      <c r="K62" s="103">
        <v>2013</v>
      </c>
      <c r="L62" s="103">
        <v>2014</v>
      </c>
      <c r="M62" s="103">
        <v>2015</v>
      </c>
      <c r="N62" s="103">
        <v>2016</v>
      </c>
      <c r="O62" s="103">
        <v>2017</v>
      </c>
      <c r="P62" s="103">
        <v>2018</v>
      </c>
      <c r="Q62" s="135">
        <v>2019</v>
      </c>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row>
    <row r="63" spans="1:81" s="95" customFormat="1" ht="12.75" customHeight="1">
      <c r="A63" s="97"/>
      <c r="B63" s="488"/>
      <c r="C63" s="488"/>
      <c r="D63" s="102"/>
      <c r="E63" s="198"/>
      <c r="F63" s="198"/>
      <c r="G63" s="51"/>
      <c r="H63" s="107"/>
      <c r="I63" s="107"/>
      <c r="J63" s="107"/>
      <c r="K63" s="107"/>
      <c r="L63" s="107"/>
      <c r="M63" s="107"/>
      <c r="N63" s="107"/>
      <c r="O63" s="107"/>
      <c r="P63" s="107"/>
      <c r="Q63" s="139"/>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row>
    <row r="64" spans="2:17" ht="12.75" customHeight="1">
      <c r="B64" s="104"/>
      <c r="C64" s="105"/>
      <c r="D64" s="105"/>
      <c r="E64" s="198"/>
      <c r="F64" s="198"/>
      <c r="G64" s="51"/>
      <c r="N64" s="107"/>
      <c r="O64" s="107"/>
      <c r="P64" s="107"/>
      <c r="Q64" s="139"/>
    </row>
    <row r="65" spans="2:17" ht="12.75" customHeight="1">
      <c r="B65" s="104" t="str">
        <f>VLOOKUP(36,Textbausteine!$A$2:$E$67,Hilfsgrössen!$D$2,FALSE)</f>
        <v>Groupe</v>
      </c>
      <c r="C65" s="104"/>
      <c r="D65" s="104"/>
      <c r="E65" s="199"/>
      <c r="F65" s="199"/>
      <c r="G65" s="51"/>
      <c r="Q65" s="133"/>
    </row>
    <row r="66" spans="3:17" ht="12.75" customHeight="1">
      <c r="C66" s="182" t="str">
        <f>VLOOKUP(81,Textbausteine!$AK$2:$AO$151,Hilfsgrössen!$D$2,FALSE)</f>
        <v>Amélioration de l'efficacité énergétique depuis 2006</v>
      </c>
      <c r="D66" s="182" t="str">
        <f>VLOOKUP(12,Textbausteine!$AK$2:$AO$151,Hilfsgrössen!$D$2,FALSE)</f>
        <v>%</v>
      </c>
      <c r="E66" s="199">
        <v>1</v>
      </c>
      <c r="F66" s="199" t="s">
        <v>671</v>
      </c>
      <c r="G66" s="52"/>
      <c r="H66" s="107">
        <v>5.258800277091651</v>
      </c>
      <c r="I66" s="107">
        <v>7.498095363690209</v>
      </c>
      <c r="J66" s="107">
        <v>10.752343471570532</v>
      </c>
      <c r="K66" s="107">
        <v>18.93647173104114</v>
      </c>
      <c r="L66" s="107">
        <v>21.03533213946885</v>
      </c>
      <c r="M66" s="107">
        <v>23.396948930687923</v>
      </c>
      <c r="N66" s="20">
        <v>25.568649342807056</v>
      </c>
      <c r="O66" s="20">
        <v>29.609811998684098</v>
      </c>
      <c r="P66" s="20">
        <v>26.2</v>
      </c>
      <c r="Q66" s="133">
        <v>34.1</v>
      </c>
    </row>
    <row r="67" spans="3:17" ht="12.75" customHeight="1">
      <c r="C67" s="182" t="str">
        <f>VLOOKUP(82,Textbausteine!$AK$2:$AO$151,Hilfsgrössen!$D$2,FALSE)</f>
        <v>Achat de garanties d'origine pour l'électricité produite à partir de sources d'énergie renouvelables certifiées</v>
      </c>
      <c r="D67" s="182" t="str">
        <f>VLOOKUP(11,Textbausteine!$AK$2:$AO$151,Hilfsgrössen!$D$2,FALSE)</f>
        <v>GWh</v>
      </c>
      <c r="E67" s="20">
        <v>2</v>
      </c>
      <c r="F67" s="20"/>
      <c r="G67" s="52"/>
      <c r="H67" s="107">
        <v>200.000004</v>
      </c>
      <c r="I67" s="107">
        <v>150.000006</v>
      </c>
      <c r="J67" s="107">
        <v>130.000006</v>
      </c>
      <c r="K67" s="107">
        <v>156.000006</v>
      </c>
      <c r="L67" s="107">
        <v>158.000006</v>
      </c>
      <c r="M67" s="107">
        <v>151.186006</v>
      </c>
      <c r="N67" s="20">
        <v>139.814006</v>
      </c>
      <c r="O67" s="20">
        <v>140.000007</v>
      </c>
      <c r="P67" s="20">
        <v>135</v>
      </c>
      <c r="Q67" s="133">
        <v>131.8</v>
      </c>
    </row>
    <row r="68" spans="3:17" ht="12.75" customHeight="1">
      <c r="C68" s="182" t="str">
        <f>VLOOKUP(83,Textbausteine!$AK$2:$AO$151,Hilfsgrössen!$D$2,FALSE)</f>
        <v>Achat de garanties d'origine pour l'électricité verte certifiée</v>
      </c>
      <c r="D68" s="182" t="str">
        <f>VLOOKUP(11,Textbausteine!$AK$2:$AO$151,Hilfsgrössen!$D$2,FALSE)</f>
        <v>GWh</v>
      </c>
      <c r="E68" s="100">
        <v>2</v>
      </c>
      <c r="G68" s="53"/>
      <c r="H68" s="107">
        <v>0.6</v>
      </c>
      <c r="I68" s="107">
        <v>0.6</v>
      </c>
      <c r="J68" s="107">
        <v>1.3</v>
      </c>
      <c r="K68" s="107">
        <v>8.3</v>
      </c>
      <c r="L68" s="107">
        <v>8.315</v>
      </c>
      <c r="M68" s="107">
        <v>8.479</v>
      </c>
      <c r="N68" s="20">
        <v>15.95</v>
      </c>
      <c r="O68" s="20">
        <v>16.147042</v>
      </c>
      <c r="P68" s="20">
        <v>16</v>
      </c>
      <c r="Q68" s="133">
        <v>13.8</v>
      </c>
    </row>
    <row r="69" spans="3:17" ht="12.75" customHeight="1">
      <c r="C69" s="182" t="str">
        <f>VLOOKUP(84,Textbausteine!$AK$2:$AO$151,Hilfsgrössen!$D$2,FALSE)</f>
        <v>Achat de garanties d'origine pour le biogaz certifié</v>
      </c>
      <c r="D69" s="182" t="str">
        <f>VLOOKUP(11,Textbausteine!$AK$2:$AO$151,Hilfsgrössen!$D$2,FALSE)</f>
        <v>GWh</v>
      </c>
      <c r="E69" s="100">
        <v>3</v>
      </c>
      <c r="H69" s="107">
        <v>0</v>
      </c>
      <c r="I69" s="107">
        <v>5.13</v>
      </c>
      <c r="J69" s="107">
        <v>5.57175</v>
      </c>
      <c r="K69" s="107">
        <v>4.08975</v>
      </c>
      <c r="L69" s="107">
        <v>5.526689</v>
      </c>
      <c r="M69" s="107">
        <v>4.826078</v>
      </c>
      <c r="N69" s="20">
        <v>3.309617</v>
      </c>
      <c r="O69" s="20">
        <v>2.833414</v>
      </c>
      <c r="P69" s="20">
        <v>2.3</v>
      </c>
      <c r="Q69" s="133">
        <v>1.83</v>
      </c>
    </row>
    <row r="71" spans="2:6" ht="12.75" customHeight="1">
      <c r="B71" s="164" t="str">
        <f>VLOOKUP(141,Textbausteine!$AK$2:$AO$151,Hilfsgrössen!$D$2,FALSE)</f>
        <v>1) Amélioration de l'efficacité énergétique selon le modèle énergétique de la Confédération: est mesurée en tant que variation des besoins énergétiques par prestation de base au cours de l'exercice en comparaison avec l'année de référence. La prestation de base est définie de manière différente selon les unités du groupe (envoi, transaction, kilomètre-voyageur/kilomètre, unité de personnel, etc.).</v>
      </c>
      <c r="E71" s="103"/>
      <c r="F71" s="103"/>
    </row>
    <row r="72" spans="2:7" ht="12.75" customHeight="1">
      <c r="B72" s="164" t="str">
        <f>VLOOKUP(142,Textbausteine!$AK$2:$AO$151,Hilfsgrössen!$D$2,FALSE)</f>
        <v>2) Garanties d'origine pour la consommation totale d'électricité au sein de La Poste Suisse.</v>
      </c>
      <c r="E72" s="103"/>
      <c r="F72" s="103"/>
      <c r="G72" s="48"/>
    </row>
    <row r="73" spans="2:17" ht="12.75" customHeight="1">
      <c r="B73" s="164" t="str">
        <f>VLOOKUP(143,Textbausteine!$AK$2:$AO$151,Hilfsgrössen!$D$2,FALSE)</f>
        <v>3) Garanties d'origine pour la consommation de GNC dans le transport de marchandises et les déplacements professionnels au sein de La Poste Suisse.</v>
      </c>
      <c r="E73" s="20"/>
      <c r="F73" s="107"/>
      <c r="N73" s="107"/>
      <c r="O73" s="107"/>
      <c r="P73" s="107"/>
      <c r="Q73" s="107"/>
    </row>
    <row r="74" spans="5:17" ht="12.75" customHeight="1">
      <c r="E74" s="20"/>
      <c r="F74" s="107"/>
      <c r="N74" s="107"/>
      <c r="O74" s="107"/>
      <c r="P74" s="107"/>
      <c r="Q74" s="107"/>
    </row>
    <row r="75" spans="5:17" ht="12.75" customHeight="1">
      <c r="E75" s="20"/>
      <c r="F75" s="107"/>
      <c r="N75" s="107"/>
      <c r="O75" s="107"/>
      <c r="P75" s="107"/>
      <c r="Q75" s="107"/>
    </row>
    <row r="76" spans="5:17" ht="12.75" customHeight="1">
      <c r="E76" s="20"/>
      <c r="F76" s="107"/>
      <c r="N76" s="107"/>
      <c r="O76" s="107"/>
      <c r="P76" s="107"/>
      <c r="Q76" s="107"/>
    </row>
    <row r="77" spans="5:17" ht="12.75" customHeight="1">
      <c r="E77" s="20"/>
      <c r="F77" s="107"/>
      <c r="N77" s="107"/>
      <c r="O77" s="107"/>
      <c r="P77" s="107"/>
      <c r="Q77" s="107"/>
    </row>
    <row r="78" spans="5:17" ht="12.75" customHeight="1">
      <c r="E78" s="20"/>
      <c r="F78" s="107"/>
      <c r="N78" s="107"/>
      <c r="O78" s="107"/>
      <c r="P78" s="107"/>
      <c r="Q78" s="107"/>
    </row>
    <row r="79" spans="5:17" ht="12.75" customHeight="1">
      <c r="E79" s="119"/>
      <c r="F79" s="119"/>
      <c r="N79" s="107"/>
      <c r="O79" s="107"/>
      <c r="P79" s="107"/>
      <c r="Q79" s="107"/>
    </row>
    <row r="80" spans="5:17" ht="12.75" customHeight="1">
      <c r="E80" s="119"/>
      <c r="F80" s="119"/>
      <c r="N80" s="107"/>
      <c r="O80" s="107"/>
      <c r="P80" s="107"/>
      <c r="Q80" s="107"/>
    </row>
    <row r="81" spans="5:17" ht="12.75" customHeight="1">
      <c r="E81" s="119"/>
      <c r="F81" s="119"/>
      <c r="N81" s="107"/>
      <c r="O81" s="107"/>
      <c r="P81" s="107"/>
      <c r="Q81" s="107"/>
    </row>
    <row r="82" spans="14:17" ht="12.75" customHeight="1">
      <c r="N82" s="107"/>
      <c r="O82" s="107"/>
      <c r="P82" s="107"/>
      <c r="Q82" s="107"/>
    </row>
    <row r="83" spans="14:17" ht="12.75" customHeight="1">
      <c r="N83" s="107"/>
      <c r="O83" s="107"/>
      <c r="P83" s="107"/>
      <c r="Q83" s="107"/>
    </row>
    <row r="84" spans="14:17" ht="12.75" customHeight="1">
      <c r="N84" s="119"/>
      <c r="O84" s="119"/>
      <c r="P84" s="119"/>
      <c r="Q84" s="119"/>
    </row>
    <row r="85" spans="14:17" ht="12.75" customHeight="1">
      <c r="N85" s="119"/>
      <c r="O85" s="119"/>
      <c r="P85" s="119"/>
      <c r="Q85" s="119"/>
    </row>
    <row r="89" spans="14:17" ht="12.75" customHeight="1">
      <c r="N89" s="107"/>
      <c r="O89" s="107"/>
      <c r="P89" s="107"/>
      <c r="Q89" s="107"/>
    </row>
    <row r="90" spans="14:17" ht="12.75" customHeight="1">
      <c r="N90" s="107"/>
      <c r="O90" s="107"/>
      <c r="P90" s="107"/>
      <c r="Q90" s="107"/>
    </row>
    <row r="91" spans="14:17" ht="12.75" customHeight="1">
      <c r="N91" s="107"/>
      <c r="O91" s="107"/>
      <c r="P91" s="107"/>
      <c r="Q91" s="107"/>
    </row>
    <row r="92" spans="14:17" ht="12.75" customHeight="1">
      <c r="N92" s="107"/>
      <c r="O92" s="107"/>
      <c r="P92" s="107"/>
      <c r="Q92" s="107"/>
    </row>
    <row r="93" spans="14:17" ht="12.75" customHeight="1">
      <c r="N93" s="107"/>
      <c r="O93" s="107"/>
      <c r="P93" s="107"/>
      <c r="Q93" s="107"/>
    </row>
    <row r="94" spans="14:17" ht="12.75" customHeight="1">
      <c r="N94" s="107"/>
      <c r="O94" s="107"/>
      <c r="P94" s="107"/>
      <c r="Q94" s="107"/>
    </row>
    <row r="95" spans="14:17" ht="12.75" customHeight="1">
      <c r="N95" s="107"/>
      <c r="O95" s="107"/>
      <c r="P95" s="107"/>
      <c r="Q95" s="107"/>
    </row>
    <row r="96" spans="14:17" ht="12.75" customHeight="1">
      <c r="N96" s="107"/>
      <c r="O96" s="107"/>
      <c r="P96" s="107"/>
      <c r="Q96" s="107"/>
    </row>
    <row r="97" spans="14:17" ht="12.75" customHeight="1">
      <c r="N97" s="107"/>
      <c r="O97" s="107"/>
      <c r="P97" s="107"/>
      <c r="Q97" s="107"/>
    </row>
    <row r="98" spans="7:17" ht="12.75" customHeight="1">
      <c r="G98" s="49"/>
      <c r="N98" s="107"/>
      <c r="O98" s="107"/>
      <c r="P98" s="107"/>
      <c r="Q98" s="107"/>
    </row>
    <row r="99" spans="7:17" ht="12.75" customHeight="1">
      <c r="G99" s="49"/>
      <c r="N99" s="107"/>
      <c r="O99" s="107"/>
      <c r="P99" s="107"/>
      <c r="Q99" s="107"/>
    </row>
    <row r="100" spans="7:17" ht="12.75" customHeight="1">
      <c r="G100" s="49"/>
      <c r="N100" s="107"/>
      <c r="O100" s="107"/>
      <c r="P100" s="107"/>
      <c r="Q100" s="107"/>
    </row>
    <row r="101" spans="7:17" ht="12.75" customHeight="1">
      <c r="G101" s="49"/>
      <c r="N101" s="107"/>
      <c r="O101" s="107"/>
      <c r="P101" s="107"/>
      <c r="Q101" s="107"/>
    </row>
    <row r="102" spans="7:17" ht="12.75" customHeight="1">
      <c r="G102" s="49"/>
      <c r="N102" s="107"/>
      <c r="O102" s="107"/>
      <c r="P102" s="107"/>
      <c r="Q102" s="107"/>
    </row>
    <row r="103" spans="7:17" ht="12.75" customHeight="1">
      <c r="G103" s="49"/>
      <c r="N103" s="107"/>
      <c r="O103" s="107"/>
      <c r="P103" s="107"/>
      <c r="Q103" s="107"/>
    </row>
    <row r="104" spans="7:17" ht="12.75" customHeight="1">
      <c r="G104" s="49"/>
      <c r="N104" s="107"/>
      <c r="O104" s="107"/>
      <c r="P104" s="107"/>
      <c r="Q104" s="107"/>
    </row>
    <row r="105" spans="14:17" ht="12.75" customHeight="1">
      <c r="N105" s="107"/>
      <c r="O105" s="107"/>
      <c r="P105" s="107"/>
      <c r="Q105" s="107"/>
    </row>
    <row r="106" spans="14:17" ht="12.75" customHeight="1">
      <c r="N106" s="107"/>
      <c r="O106" s="107"/>
      <c r="P106" s="107"/>
      <c r="Q106" s="107"/>
    </row>
    <row r="110" ht="12.75" customHeight="1">
      <c r="G110" s="48"/>
    </row>
    <row r="111" ht="12.75" customHeight="1">
      <c r="G111" s="48"/>
    </row>
    <row r="112" ht="12.75" customHeight="1">
      <c r="G112" s="49"/>
    </row>
    <row r="113" spans="7:17" ht="12.75" customHeight="1">
      <c r="G113" s="46"/>
      <c r="N113" s="119"/>
      <c r="O113" s="119"/>
      <c r="P113" s="119"/>
      <c r="Q113" s="119"/>
    </row>
    <row r="114" spans="7:17" ht="12.75" customHeight="1">
      <c r="G114" s="49"/>
      <c r="N114" s="119"/>
      <c r="O114" s="119"/>
      <c r="P114" s="119"/>
      <c r="Q114" s="119"/>
    </row>
    <row r="115" ht="12.75" customHeight="1">
      <c r="G115" s="49"/>
    </row>
    <row r="116" ht="12.75" customHeight="1">
      <c r="G116" s="49"/>
    </row>
    <row r="117" ht="12.75" customHeight="1">
      <c r="G117" s="49"/>
    </row>
    <row r="118" spans="7:17" ht="12.75" customHeight="1">
      <c r="G118" s="54"/>
      <c r="N118" s="140"/>
      <c r="O118" s="140"/>
      <c r="P118" s="140"/>
      <c r="Q118" s="140"/>
    </row>
    <row r="119" spans="7:17" ht="12.75" customHeight="1">
      <c r="G119" s="54"/>
      <c r="N119" s="140"/>
      <c r="O119" s="140"/>
      <c r="P119" s="140"/>
      <c r="Q119" s="140"/>
    </row>
    <row r="120" spans="7:17" ht="12.75" customHeight="1">
      <c r="G120" s="54"/>
      <c r="N120" s="140"/>
      <c r="O120" s="140"/>
      <c r="P120" s="140"/>
      <c r="Q120" s="140"/>
    </row>
    <row r="121" spans="14:17" ht="12.75" customHeight="1">
      <c r="N121" s="140"/>
      <c r="O121" s="140"/>
      <c r="P121" s="140"/>
      <c r="Q121" s="140"/>
    </row>
    <row r="122" spans="14:17" ht="12.75" customHeight="1">
      <c r="N122" s="140"/>
      <c r="O122" s="140"/>
      <c r="P122" s="140"/>
      <c r="Q122" s="140"/>
    </row>
    <row r="123" spans="14:17" ht="12.75" customHeight="1">
      <c r="N123" s="140"/>
      <c r="O123" s="140"/>
      <c r="P123" s="140"/>
      <c r="Q123" s="140"/>
    </row>
    <row r="124" spans="14:17" ht="12.75" customHeight="1">
      <c r="N124" s="140"/>
      <c r="O124" s="140"/>
      <c r="P124" s="140"/>
      <c r="Q124" s="140"/>
    </row>
    <row r="125" spans="14:17" ht="12.75" customHeight="1">
      <c r="N125" s="140"/>
      <c r="O125" s="140"/>
      <c r="P125" s="140"/>
      <c r="Q125" s="140"/>
    </row>
  </sheetData>
  <sheetProtection sheet="1" objects="1" scenarios="1"/>
  <mergeCells count="5">
    <mergeCell ref="B62:C63"/>
    <mergeCell ref="B2:C2"/>
    <mergeCell ref="B3:C3"/>
    <mergeCell ref="B11:C12"/>
    <mergeCell ref="D2:E2"/>
  </mergeCells>
  <conditionalFormatting sqref="B74:D65536 C70:D73 B71:B73 B1:D38 B39 D39 B40:D69">
    <cfRule type="expression" priority="63" dxfId="0">
      <formula>AND(B1&lt;&gt;"",NOT(_xlfn.ISFORMULA(B1)))</formula>
    </cfRule>
  </conditionalFormatting>
  <conditionalFormatting sqref="H25:O25 Q25">
    <cfRule type="expression" priority="58" dxfId="0">
      <formula>AND($D25&lt;&gt;"",H$11&lt;&gt;"",H25="")</formula>
    </cfRule>
  </conditionalFormatting>
  <conditionalFormatting sqref="H25:O25 Q25">
    <cfRule type="expression" priority="59" dxfId="1">
      <formula>AND($A25="",ABS(H25)=0)</formula>
    </cfRule>
    <cfRule type="expression" priority="60" dxfId="35">
      <formula>AND($A25="",ABS(H25)&lt;100)</formula>
    </cfRule>
    <cfRule type="expression" priority="61" dxfId="1">
      <formula>AND($A25="",ABS(H25)&lt;10)</formula>
    </cfRule>
    <cfRule type="expression" priority="62" dxfId="1">
      <formula>AND($A25="",ABS(H25)&gt;=100)</formula>
    </cfRule>
  </conditionalFormatting>
  <conditionalFormatting sqref="H26:O28 Q26:Q28">
    <cfRule type="expression" priority="47" dxfId="35">
      <formula>AND(#REF!="",ABS(#REF!)&lt;10000)</formula>
    </cfRule>
  </conditionalFormatting>
  <conditionalFormatting sqref="H42:O43 Q42:Q43">
    <cfRule type="expression" priority="46" dxfId="35">
      <formula>AND(#REF!="",ABS(#REF!)&lt;1000)</formula>
    </cfRule>
  </conditionalFormatting>
  <conditionalFormatting sqref="H49:O49 Q49 H46:Q47">
    <cfRule type="expression" priority="45" dxfId="35">
      <formula>AND(#REF!="",ABS(#REF!)&lt;1000)</formula>
    </cfRule>
  </conditionalFormatting>
  <conditionalFormatting sqref="H48:O48 Q48">
    <cfRule type="expression" priority="39" dxfId="35">
      <formula>AND($A66="",ABS(H66)&lt;100)</formula>
    </cfRule>
    <cfRule type="expression" priority="40" dxfId="1">
      <formula>AND($A66="",ABS(H66)&gt;=100)</formula>
    </cfRule>
  </conditionalFormatting>
  <conditionalFormatting sqref="H66:O68 Q66:Q68">
    <cfRule type="expression" priority="38" dxfId="35">
      <formula>AND(#REF!="",ABS(#REF!)&lt;1000)</formula>
    </cfRule>
  </conditionalFormatting>
  <conditionalFormatting sqref="H34:O35 Q34:Q35 H37:Q37 H31:Q32">
    <cfRule type="expression" priority="216" dxfId="35">
      <formula>AND(#REF!="",ABS(#REF!)&lt;1000)</formula>
    </cfRule>
  </conditionalFormatting>
  <conditionalFormatting sqref="P25">
    <cfRule type="expression" priority="8" dxfId="0">
      <formula>AND($D25&lt;&gt;"",P$11&lt;&gt;"",P25="")</formula>
    </cfRule>
  </conditionalFormatting>
  <conditionalFormatting sqref="P25">
    <cfRule type="expression" priority="9" dxfId="1">
      <formula>AND($A25="",ABS(P25)=0)</formula>
    </cfRule>
    <cfRule type="expression" priority="10" dxfId="35">
      <formula>AND($A25="",ABS(P25)&lt;100)</formula>
    </cfRule>
    <cfRule type="expression" priority="11" dxfId="1">
      <formula>AND($A25="",ABS(P25)&lt;10)</formula>
    </cfRule>
    <cfRule type="expression" priority="12" dxfId="1">
      <formula>AND($A25="",ABS(P25)&gt;=100)</formula>
    </cfRule>
  </conditionalFormatting>
  <conditionalFormatting sqref="P26:P28">
    <cfRule type="expression" priority="7" dxfId="35">
      <formula>AND(#REF!="",ABS(#REF!)&lt;10000)</formula>
    </cfRule>
  </conditionalFormatting>
  <conditionalFormatting sqref="P42:P43">
    <cfRule type="expression" priority="6" dxfId="35">
      <formula>AND(#REF!="",ABS(#REF!)&lt;1000)</formula>
    </cfRule>
  </conditionalFormatting>
  <conditionalFormatting sqref="P49">
    <cfRule type="expression" priority="5" dxfId="35">
      <formula>AND(#REF!="",ABS(#REF!)&lt;1000)</formula>
    </cfRule>
  </conditionalFormatting>
  <conditionalFormatting sqref="P48">
    <cfRule type="expression" priority="3" dxfId="35">
      <formula>AND($A66="",ABS(P66)&lt;100)</formula>
    </cfRule>
    <cfRule type="expression" priority="4" dxfId="1">
      <formula>AND($A66="",ABS(P66)&gt;=100)</formula>
    </cfRule>
  </conditionalFormatting>
  <conditionalFormatting sqref="P66:P68">
    <cfRule type="expression" priority="2" dxfId="35">
      <formula>AND(#REF!="",ABS(#REF!)&lt;1000)</formula>
    </cfRule>
  </conditionalFormatting>
  <conditionalFormatting sqref="P34:P35">
    <cfRule type="expression" priority="18" dxfId="35">
      <formula>AND(#REF!="",ABS(#REF!)&lt;1000)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C7" location="GRI_302_1" display="GRI_302_1"/>
    <hyperlink ref="C8" location="GRI_302_2" display="GRI_302_2"/>
    <hyperlink ref="A11" location="GRI_302" display="Ó"/>
    <hyperlink ref="A62" location="GRI_302" display="Ó"/>
    <hyperlink ref="D2" location="Home" display="Home"/>
  </hyperlinks>
  <printOptions/>
  <pageMargins left="0.7" right="0.7" top="0.787401575" bottom="0.7874015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rgb="FF006D68"/>
  </sheetPr>
  <dimension ref="A2:CC121"/>
  <sheetViews>
    <sheetView showGridLines="0" showRowColHeaders="0" zoomScale="90" zoomScaleNormal="90" zoomScalePageLayoutView="0" workbookViewId="0" topLeftCell="A1">
      <pane xSplit="7" topLeftCell="H1" activePane="topRight" state="frozen"/>
      <selection pane="topLeft" activeCell="B73" sqref="B73"/>
      <selection pane="topRight" activeCell="B3" sqref="B3:C3"/>
    </sheetView>
  </sheetViews>
  <sheetFormatPr defaultColWidth="10.75390625" defaultRowHeight="12.75" customHeight="1"/>
  <cols>
    <col min="1" max="1" width="2.50390625" style="66" customWidth="1"/>
    <col min="2" max="2" width="2.50390625" style="1" customWidth="1"/>
    <col min="3" max="3" width="61.50390625" style="1" customWidth="1"/>
    <col min="4" max="4" width="35.50390625" style="1" customWidth="1"/>
    <col min="5" max="5" width="9.50390625" style="37" customWidth="1"/>
    <col min="6" max="6" width="14.125" style="37" customWidth="1"/>
    <col min="7" max="7" width="2.50390625" style="47" customWidth="1"/>
    <col min="8" max="13" width="11.625" style="107" customWidth="1"/>
    <col min="14" max="17" width="11.625" style="20" customWidth="1"/>
    <col min="18" max="81" width="11.625" style="37" customWidth="1"/>
    <col min="82" max="16384" width="10.75390625" style="1" customWidth="1"/>
  </cols>
  <sheetData>
    <row r="2" spans="1:81" s="153" customFormat="1" ht="25.5" customHeight="1">
      <c r="A2" s="64"/>
      <c r="B2" s="485" t="str">
        <f>UPPER(RIGHT(Inhaltsverzeichnis!$C$22,LEN(Inhaltsverzeichnis!$C$22)-FIND(" – ",Inhaltsverzeichnis!$C$22,1)-2))</f>
        <v>EMISSIONS</v>
      </c>
      <c r="C2" s="485"/>
      <c r="D2" s="481" t="str">
        <f>VLOOKUP(35,Textbausteine!$A$2:$E$67,Hilfsgrössen!$D$2,FALSE)</f>
        <v>retour à la table des matières</v>
      </c>
      <c r="E2" s="482"/>
      <c r="F2" s="145" t="s">
        <v>86</v>
      </c>
      <c r="G2" s="171"/>
      <c r="H2" s="136"/>
      <c r="I2" s="136"/>
      <c r="J2" s="136"/>
      <c r="K2" s="136"/>
      <c r="L2" s="136"/>
      <c r="M2" s="136"/>
      <c r="N2" s="116"/>
      <c r="O2" s="116"/>
      <c r="P2" s="116"/>
      <c r="Q2" s="116"/>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row>
    <row r="3" spans="1:81" s="154" customFormat="1" ht="25.5" customHeight="1">
      <c r="A3" s="65"/>
      <c r="B3" s="486" t="str">
        <f>UPPER("GRI "&amp;LEFT(Inhaltsverzeichnis!$C$22,3))</f>
        <v>GRI 305</v>
      </c>
      <c r="C3" s="486"/>
      <c r="E3" s="38"/>
      <c r="F3" s="38"/>
      <c r="G3" s="45"/>
      <c r="H3" s="136"/>
      <c r="I3" s="136"/>
      <c r="J3" s="136"/>
      <c r="K3" s="136"/>
      <c r="L3" s="136"/>
      <c r="M3" s="136"/>
      <c r="N3" s="116"/>
      <c r="O3" s="116"/>
      <c r="P3" s="116"/>
      <c r="Q3" s="116"/>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row>
    <row r="6" spans="1:81" s="31" customFormat="1" ht="12.75" customHeight="1">
      <c r="A6" s="55"/>
      <c r="B6" s="31" t="str">
        <f>VLOOKUP(31,Textbausteine!$A$2:$E$67,Hilfsgrössen!$D$2,FALSE)</f>
        <v>Divulgations</v>
      </c>
      <c r="E6" s="39"/>
      <c r="F6" s="39"/>
      <c r="G6" s="46"/>
      <c r="H6" s="107"/>
      <c r="I6" s="107"/>
      <c r="J6" s="107"/>
      <c r="K6" s="107"/>
      <c r="L6" s="107"/>
      <c r="M6" s="107"/>
      <c r="N6" s="20"/>
      <c r="O6" s="20"/>
      <c r="P6" s="20"/>
      <c r="Q6" s="20"/>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row>
    <row r="7" spans="2:4" ht="12.75" customHeight="1">
      <c r="B7" s="2"/>
      <c r="C7" s="5" t="str">
        <f>VLOOKUP(1,Textbausteine!$AQ$2:$AU$151,Hilfsgrössen!$D$2,FALSE)</f>
        <v>Emissions de gaz à effet de serre</v>
      </c>
      <c r="D7" s="4"/>
    </row>
    <row r="8" spans="2:4" ht="12.75" customHeight="1">
      <c r="B8" s="2"/>
      <c r="C8" s="5" t="str">
        <f>VLOOKUP(2,Textbausteine!$AQ$2:$AU$151,Hilfsgrössen!$D$2,FALSE)</f>
        <v>Intensité de gaz à effet de serre</v>
      </c>
      <c r="D8" s="4"/>
    </row>
    <row r="9" spans="2:4" ht="12.75" customHeight="1">
      <c r="B9" s="2"/>
      <c r="C9" s="5" t="str">
        <f>VLOOKUP(3,Textbausteine!$AQ$2:$AU$151,Hilfsgrössen!$D$2,FALSE)</f>
        <v>Emissions de gaz à effet de serre compensées</v>
      </c>
      <c r="D9" s="4"/>
    </row>
    <row r="10" spans="2:81" ht="12.75" customHeight="1">
      <c r="B10" s="2"/>
      <c r="C10" s="5" t="str">
        <f>VLOOKUP(4,Textbausteine!$AQ$2:$AU$151,Hilfsgrössen!$D$2,FALSE)</f>
        <v>Autres indicateurs des gaz à effet de serre</v>
      </c>
      <c r="D10" s="4"/>
      <c r="E10" s="39"/>
      <c r="F10" s="39"/>
      <c r="H10" s="20"/>
      <c r="I10" s="20"/>
      <c r="J10" s="20"/>
      <c r="K10" s="20"/>
      <c r="L10" s="20"/>
      <c r="M10" s="20"/>
      <c r="R10" s="7"/>
      <c r="S10" s="7"/>
      <c r="T10" s="7"/>
      <c r="U10" s="7"/>
      <c r="V10" s="7"/>
      <c r="W10" s="7"/>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row>
    <row r="11" spans="2:81" ht="12.75" customHeight="1">
      <c r="B11" s="2"/>
      <c r="C11" s="148" t="str">
        <f>VLOOKUP(5,Textbausteine!$AQ$2:$AU$151,Hilfsgrössen!$D$2,FALSE)</f>
        <v>Emissions de polluants atmosphériques</v>
      </c>
      <c r="D11" s="4"/>
      <c r="E11" s="40"/>
      <c r="F11" s="40"/>
      <c r="H11" s="127"/>
      <c r="I11" s="127"/>
      <c r="J11" s="127"/>
      <c r="K11" s="127"/>
      <c r="L11" s="127"/>
      <c r="M11" s="127"/>
      <c r="N11" s="120"/>
      <c r="O11" s="120"/>
      <c r="P11" s="120"/>
      <c r="Q11" s="120"/>
      <c r="R11" s="131"/>
      <c r="S11" s="118"/>
      <c r="T11" s="118"/>
      <c r="U11" s="118"/>
      <c r="V11" s="118"/>
      <c r="W11" s="118"/>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row>
    <row r="12" spans="2:23" ht="12.75" customHeight="1">
      <c r="B12" s="2"/>
      <c r="E12" s="12"/>
      <c r="F12" s="11"/>
      <c r="G12" s="48"/>
      <c r="R12" s="11"/>
      <c r="S12" s="11"/>
      <c r="T12" s="11"/>
      <c r="U12" s="11"/>
      <c r="V12" s="11"/>
      <c r="W12" s="11"/>
    </row>
    <row r="13" spans="2:23" ht="12.75" customHeight="1">
      <c r="B13" s="2"/>
      <c r="E13" s="11"/>
      <c r="F13" s="11"/>
      <c r="G13" s="48"/>
      <c r="H13" s="20"/>
      <c r="I13" s="20"/>
      <c r="L13" s="137"/>
      <c r="M13" s="137"/>
      <c r="R13" s="14"/>
      <c r="S13" s="74"/>
      <c r="T13" s="74"/>
      <c r="U13" s="74"/>
      <c r="V13" s="74"/>
      <c r="W13" s="17"/>
    </row>
    <row r="14" spans="1:81" s="31" customFormat="1" ht="12.75" customHeight="1">
      <c r="A14" s="191" t="s">
        <v>807</v>
      </c>
      <c r="B14" s="480" t="str">
        <f>$C$7</f>
        <v>Emissions de gaz à effet de serre</v>
      </c>
      <c r="C14" s="480"/>
      <c r="D14" s="6" t="str">
        <f>VLOOKUP(32,Textbausteine!$A$2:$E$67,Hilfsgrössen!$D$2,FALSE)</f>
        <v>Unité</v>
      </c>
      <c r="E14" s="40" t="str">
        <f>VLOOKUP(33,Textbausteine!$A$2:$E$67,Hilfsgrössen!$D$2,FALSE)</f>
        <v>Notes</v>
      </c>
      <c r="F14" s="40" t="str">
        <f>VLOOKUP(34,Textbausteine!$A$2:$E$67,Hilfsgrössen!$D$2,FALSE)</f>
        <v>GRI</v>
      </c>
      <c r="G14" s="49"/>
      <c r="H14" s="117">
        <v>2010</v>
      </c>
      <c r="I14" s="117">
        <v>2011</v>
      </c>
      <c r="J14" s="103">
        <v>2012</v>
      </c>
      <c r="K14" s="103">
        <v>2013</v>
      </c>
      <c r="L14" s="141">
        <v>2014</v>
      </c>
      <c r="M14" s="141">
        <v>2015</v>
      </c>
      <c r="N14" s="117">
        <v>2016</v>
      </c>
      <c r="O14" s="117">
        <v>2017</v>
      </c>
      <c r="P14" s="117">
        <v>2018</v>
      </c>
      <c r="Q14" s="142">
        <v>2019</v>
      </c>
      <c r="R14" s="124"/>
      <c r="S14" s="121"/>
      <c r="T14" s="121"/>
      <c r="U14" s="121"/>
      <c r="V14" s="121"/>
      <c r="W14" s="121"/>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row>
    <row r="15" spans="1:81" s="31" customFormat="1" ht="12.75" customHeight="1">
      <c r="A15" s="55"/>
      <c r="B15" s="480"/>
      <c r="C15" s="480"/>
      <c r="D15" s="6"/>
      <c r="E15" s="11"/>
      <c r="F15" s="11"/>
      <c r="G15" s="49"/>
      <c r="H15" s="20"/>
      <c r="I15" s="20"/>
      <c r="J15" s="107"/>
      <c r="K15" s="107"/>
      <c r="L15" s="137"/>
      <c r="M15" s="137"/>
      <c r="N15" s="119"/>
      <c r="O15" s="119"/>
      <c r="P15" s="119"/>
      <c r="Q15" s="134"/>
      <c r="R15" s="14"/>
      <c r="S15" s="14"/>
      <c r="T15" s="14"/>
      <c r="U15" s="14"/>
      <c r="V15" s="14"/>
      <c r="W15" s="11"/>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row>
    <row r="16" spans="2:23" ht="12.75" customHeight="1">
      <c r="B16" s="8"/>
      <c r="C16" s="9"/>
      <c r="D16" s="9"/>
      <c r="E16" s="11"/>
      <c r="F16" s="11"/>
      <c r="G16" s="49"/>
      <c r="H16" s="20"/>
      <c r="I16" s="20"/>
      <c r="L16" s="137"/>
      <c r="M16" s="137"/>
      <c r="N16" s="119"/>
      <c r="O16" s="119"/>
      <c r="P16" s="119"/>
      <c r="Q16" s="134"/>
      <c r="R16" s="123"/>
      <c r="S16" s="74"/>
      <c r="T16" s="74"/>
      <c r="U16" s="74"/>
      <c r="V16" s="74"/>
      <c r="W16" s="17"/>
    </row>
    <row r="17" spans="2:23" ht="12.75" customHeight="1">
      <c r="B17" s="8" t="str">
        <f>VLOOKUP(36,Textbausteine!$A$2:$E$67,Hilfsgrössen!$D$2,FALSE)</f>
        <v>Groupe</v>
      </c>
      <c r="C17" s="8"/>
      <c r="D17" s="67"/>
      <c r="E17" s="11"/>
      <c r="F17" s="11"/>
      <c r="G17" s="49"/>
      <c r="H17" s="20"/>
      <c r="I17" s="20"/>
      <c r="J17" s="138"/>
      <c r="L17" s="137"/>
      <c r="M17" s="137"/>
      <c r="Q17" s="133"/>
      <c r="R17" s="14"/>
      <c r="S17" s="74"/>
      <c r="T17" s="74"/>
      <c r="U17" s="74"/>
      <c r="V17" s="74"/>
      <c r="W17" s="11"/>
    </row>
    <row r="18" spans="3:23" ht="12.75" customHeight="1">
      <c r="C18" s="8" t="str">
        <f>VLOOKUP(31,Textbausteine!$AQ$2:$AU$151,Hilfsgrössen!$D$2,FALSE)</f>
        <v>Par processus</v>
      </c>
      <c r="D18" s="67"/>
      <c r="E18" s="11"/>
      <c r="F18" s="11"/>
      <c r="G18" s="49"/>
      <c r="H18" s="20"/>
      <c r="I18" s="20"/>
      <c r="L18" s="137"/>
      <c r="M18" s="137"/>
      <c r="N18" s="107"/>
      <c r="O18" s="107"/>
      <c r="P18" s="107"/>
      <c r="Q18" s="139"/>
      <c r="R18" s="14"/>
      <c r="S18" s="74"/>
      <c r="T18" s="74"/>
      <c r="U18" s="74"/>
      <c r="V18" s="74"/>
      <c r="W18" s="17"/>
    </row>
    <row r="19" spans="3:23" ht="12.75" customHeight="1">
      <c r="C19" s="19" t="str">
        <f>VLOOKUP(32,Textbausteine!$AQ$2:$AU$151,Hilfsgrössen!$D$2,FALSE)</f>
        <v>Fourniture de prestations</v>
      </c>
      <c r="D19" s="67" t="str">
        <f>VLOOKUP(11,Textbausteine!$AQ$2:$AU$151,Hilfsgrössen!$D$2,FALSE)</f>
        <v>Equivalent de tonnes de CO2</v>
      </c>
      <c r="E19" s="11">
        <v>2</v>
      </c>
      <c r="F19" s="11"/>
      <c r="G19" s="49"/>
      <c r="H19" s="20">
        <v>478253</v>
      </c>
      <c r="I19" s="20">
        <v>463248</v>
      </c>
      <c r="J19" s="107">
        <v>478020</v>
      </c>
      <c r="K19" s="107">
        <v>449174</v>
      </c>
      <c r="L19" s="107">
        <v>442202</v>
      </c>
      <c r="M19" s="137">
        <v>440728</v>
      </c>
      <c r="N19" s="107">
        <v>446151.36167583</v>
      </c>
      <c r="O19" s="107">
        <v>436549.74852077</v>
      </c>
      <c r="P19" s="107">
        <v>439954.81451883</v>
      </c>
      <c r="Q19" s="139">
        <v>408784</v>
      </c>
      <c r="R19" s="13"/>
      <c r="S19" s="72"/>
      <c r="T19" s="72"/>
      <c r="U19" s="72"/>
      <c r="V19" s="72"/>
      <c r="W19" s="17"/>
    </row>
    <row r="20" spans="3:17" ht="12.75" customHeight="1">
      <c r="C20" s="219" t="str">
        <f>VLOOKUP(33,Textbausteine!$AQ$2:$AU$151,Hilfsgrössen!$D$2,FALSE)</f>
        <v>Bâtiments</v>
      </c>
      <c r="D20" s="67" t="str">
        <f>VLOOKUP(11,Textbausteine!$AQ$2:$AU$151,Hilfsgrössen!$D$2,FALSE)</f>
        <v>Equivalent de tonnes de CO2</v>
      </c>
      <c r="E20" s="11">
        <v>2</v>
      </c>
      <c r="F20" s="11"/>
      <c r="G20" s="49"/>
      <c r="H20" s="107">
        <v>116701</v>
      </c>
      <c r="I20" s="107">
        <v>99636</v>
      </c>
      <c r="J20" s="107">
        <v>98712</v>
      </c>
      <c r="K20" s="107">
        <v>88695</v>
      </c>
      <c r="L20" s="107">
        <v>84265</v>
      </c>
      <c r="M20" s="107">
        <v>80863</v>
      </c>
      <c r="N20" s="107">
        <v>75302.539396716</v>
      </c>
      <c r="O20" s="107">
        <f>SUM(O21:O23)</f>
        <v>74730</v>
      </c>
      <c r="P20" s="107">
        <v>74354.932472488</v>
      </c>
      <c r="Q20" s="139">
        <v>70772</v>
      </c>
    </row>
    <row r="21" spans="3:17" ht="12.75" customHeight="1">
      <c r="C21" s="226" t="str">
        <f>VLOOKUP(34,Textbausteine!$AQ$2:$AU$151,Hilfsgrössen!$D$2,FALSE)</f>
        <v>Chaleur</v>
      </c>
      <c r="D21" s="67" t="str">
        <f>VLOOKUP(11,Textbausteine!$AQ$2:$AU$151,Hilfsgrössen!$D$2,FALSE)</f>
        <v>Equivalent de tonnes de CO2</v>
      </c>
      <c r="E21" s="11">
        <v>2</v>
      </c>
      <c r="F21" s="11"/>
      <c r="G21" s="49"/>
      <c r="H21" s="107">
        <v>54661</v>
      </c>
      <c r="I21" s="107">
        <v>46183</v>
      </c>
      <c r="J21" s="107">
        <v>44539</v>
      </c>
      <c r="K21" s="107">
        <v>39441</v>
      </c>
      <c r="L21" s="107">
        <v>33088</v>
      </c>
      <c r="M21" s="107">
        <v>31853</v>
      </c>
      <c r="N21" s="107">
        <v>30967.38168544</v>
      </c>
      <c r="O21" s="107">
        <v>30661</v>
      </c>
      <c r="P21" s="107">
        <v>33938.287700443</v>
      </c>
      <c r="Q21" s="139">
        <v>33167</v>
      </c>
    </row>
    <row r="22" spans="3:17" ht="12.75" customHeight="1">
      <c r="C22" s="226" t="str">
        <f>VLOOKUP(35,Textbausteine!$AQ$2:$AU$151,Hilfsgrössen!$D$2,FALSE)</f>
        <v>Electricité</v>
      </c>
      <c r="D22" s="67" t="str">
        <f>VLOOKUP(11,Textbausteine!$AQ$2:$AU$151,Hilfsgrössen!$D$2,FALSE)</f>
        <v>Equivalent de tonnes de CO2</v>
      </c>
      <c r="E22" s="11">
        <v>1</v>
      </c>
      <c r="F22" s="11"/>
      <c r="G22" s="49"/>
      <c r="H22" s="107">
        <v>40209</v>
      </c>
      <c r="I22" s="107">
        <v>31902</v>
      </c>
      <c r="J22" s="107">
        <v>32001</v>
      </c>
      <c r="K22" s="107">
        <v>30455</v>
      </c>
      <c r="L22" s="107">
        <v>32853</v>
      </c>
      <c r="M22" s="107">
        <v>31189</v>
      </c>
      <c r="N22" s="107">
        <v>28441.728036182</v>
      </c>
      <c r="O22" s="107">
        <v>28430</v>
      </c>
      <c r="P22" s="107">
        <v>26768.113074828</v>
      </c>
      <c r="Q22" s="139">
        <v>25396</v>
      </c>
    </row>
    <row r="23" spans="3:17" ht="12.75" customHeight="1">
      <c r="C23" s="226" t="str">
        <f>VLOOKUP(36,Textbausteine!$AQ$2:$AU$151,Hilfsgrössen!$D$2,FALSE)</f>
        <v>Climatisation, ressources et déchets</v>
      </c>
      <c r="D23" s="67" t="str">
        <f>VLOOKUP(11,Textbausteine!$AQ$2:$AU$151,Hilfsgrössen!$D$2,FALSE)</f>
        <v>Equivalent de tonnes de CO2</v>
      </c>
      <c r="E23" s="11">
        <v>2</v>
      </c>
      <c r="F23" s="11"/>
      <c r="G23" s="49"/>
      <c r="H23" s="107">
        <v>21831</v>
      </c>
      <c r="I23" s="107">
        <v>21551</v>
      </c>
      <c r="J23" s="107">
        <v>22172</v>
      </c>
      <c r="K23" s="107">
        <v>18799</v>
      </c>
      <c r="L23" s="107">
        <v>18324</v>
      </c>
      <c r="M23" s="107">
        <v>17821</v>
      </c>
      <c r="N23" s="107">
        <v>15893.429675094</v>
      </c>
      <c r="O23" s="107">
        <v>15639</v>
      </c>
      <c r="P23" s="107">
        <v>13648.531697216</v>
      </c>
      <c r="Q23" s="139">
        <v>12209</v>
      </c>
    </row>
    <row r="24" spans="3:17" ht="12.75" customHeight="1">
      <c r="C24" s="219" t="str">
        <f>VLOOKUP(37,Textbausteine!$AQ$2:$AU$151,Hilfsgrössen!$D$2,FALSE)</f>
        <v>Mobilité</v>
      </c>
      <c r="D24" s="67" t="str">
        <f>VLOOKUP(11,Textbausteine!$AQ$2:$AU$151,Hilfsgrössen!$D$2,FALSE)</f>
        <v>Equivalent de tonnes de CO2</v>
      </c>
      <c r="E24" s="11">
        <v>2</v>
      </c>
      <c r="F24" s="11"/>
      <c r="G24" s="49"/>
      <c r="H24" s="107">
        <v>361552</v>
      </c>
      <c r="I24" s="107">
        <v>363611</v>
      </c>
      <c r="J24" s="107">
        <v>379309</v>
      </c>
      <c r="K24" s="107">
        <v>360479.050086</v>
      </c>
      <c r="L24" s="107">
        <v>357936.049668</v>
      </c>
      <c r="M24" s="107">
        <v>359864.045436</v>
      </c>
      <c r="N24" s="107">
        <v>370848.82227910816</v>
      </c>
      <c r="O24" s="107">
        <f>SUM(O25,O26,O32,O33)</f>
        <v>361818.8890389166</v>
      </c>
      <c r="P24" s="107">
        <v>365599.88204634</v>
      </c>
      <c r="Q24" s="139">
        <v>338012</v>
      </c>
    </row>
    <row r="25" spans="3:17" ht="12.75" customHeight="1">
      <c r="C25" s="221" t="str">
        <f>VLOOKUP(38,Textbausteine!$AQ$2:$AU$151,Hilfsgrössen!$D$2,FALSE)</f>
        <v>Transport de voyageurs</v>
      </c>
      <c r="D25" s="67" t="str">
        <f>VLOOKUP(11,Textbausteine!$AQ$2:$AU$151,Hilfsgrössen!$D$2,FALSE)</f>
        <v>Equivalent de tonnes de CO2</v>
      </c>
      <c r="E25" s="11">
        <v>2</v>
      </c>
      <c r="F25" s="11"/>
      <c r="G25" s="49"/>
      <c r="H25" s="107">
        <v>145129</v>
      </c>
      <c r="I25" s="107">
        <v>150581</v>
      </c>
      <c r="J25" s="107">
        <v>157333</v>
      </c>
      <c r="K25" s="107">
        <v>166232</v>
      </c>
      <c r="L25" s="107">
        <v>167441</v>
      </c>
      <c r="M25" s="107">
        <v>169933</v>
      </c>
      <c r="N25" s="107">
        <v>179348.8706819</v>
      </c>
      <c r="O25" s="107">
        <v>177817.08560114</v>
      </c>
      <c r="P25" s="107">
        <v>180687.69761884</v>
      </c>
      <c r="Q25" s="139">
        <v>158991</v>
      </c>
    </row>
    <row r="26" spans="3:17" ht="12.75" customHeight="1">
      <c r="C26" s="221" t="str">
        <f>VLOOKUP(39,Textbausteine!$AQ$2:$AU$151,Hilfsgrössen!$D$2,FALSE)</f>
        <v>Transport de marchandises</v>
      </c>
      <c r="D26" s="67" t="str">
        <f>VLOOKUP(11,Textbausteine!$AQ$2:$AU$151,Hilfsgrössen!$D$2,FALSE)</f>
        <v>Equivalent de tonnes de CO2</v>
      </c>
      <c r="E26" s="11">
        <v>2</v>
      </c>
      <c r="F26" s="11"/>
      <c r="G26" s="49"/>
      <c r="H26" s="107">
        <v>158386</v>
      </c>
      <c r="I26" s="107">
        <v>155349</v>
      </c>
      <c r="J26" s="107">
        <v>163650</v>
      </c>
      <c r="K26" s="107">
        <v>134655.050086</v>
      </c>
      <c r="L26" s="107">
        <v>128576.049668</v>
      </c>
      <c r="M26" s="107">
        <v>128391.045436</v>
      </c>
      <c r="N26" s="107">
        <v>132810.1958226587</v>
      </c>
      <c r="O26" s="107">
        <f>SUM(O27:O31)</f>
        <v>126530.2519180572</v>
      </c>
      <c r="P26" s="107">
        <v>128250.95168711</v>
      </c>
      <c r="Q26" s="139">
        <v>125484</v>
      </c>
    </row>
    <row r="27" spans="3:17" ht="12.75" customHeight="1">
      <c r="C27" s="227" t="str">
        <f>VLOOKUP(40,Textbausteine!$AQ$2:$AU$151,Hilfsgrössen!$D$2,FALSE)</f>
        <v>Sites d'entreprise</v>
      </c>
      <c r="D27" s="67" t="str">
        <f>VLOOKUP(11,Textbausteine!$AQ$2:$AU$151,Hilfsgrössen!$D$2,FALSE)</f>
        <v>Equivalent de tonnes de CO2</v>
      </c>
      <c r="E27" s="11">
        <v>2</v>
      </c>
      <c r="F27" s="11"/>
      <c r="G27" s="49"/>
      <c r="H27" s="107">
        <v>623</v>
      </c>
      <c r="I27" s="107">
        <v>658</v>
      </c>
      <c r="J27" s="107">
        <v>665</v>
      </c>
      <c r="K27" s="107">
        <v>591</v>
      </c>
      <c r="L27" s="107">
        <v>673</v>
      </c>
      <c r="M27" s="107">
        <v>572</v>
      </c>
      <c r="N27" s="107">
        <v>589.9302003676</v>
      </c>
      <c r="O27" s="107">
        <v>1041.5849523159</v>
      </c>
      <c r="P27" s="107">
        <v>820.06261596723</v>
      </c>
      <c r="Q27" s="139">
        <v>1039</v>
      </c>
    </row>
    <row r="28" spans="3:17" ht="12.75" customHeight="1">
      <c r="C28" s="227" t="str">
        <f>VLOOKUP(41,Textbausteine!$AQ$2:$AU$151,Hilfsgrössen!$D$2,FALSE)</f>
        <v>Route</v>
      </c>
      <c r="D28" s="67" t="str">
        <f>VLOOKUP(11,Textbausteine!$AQ$2:$AU$151,Hilfsgrössen!$D$2,FALSE)</f>
        <v>Equivalent de tonnes de CO2</v>
      </c>
      <c r="E28" s="11">
        <v>2</v>
      </c>
      <c r="F28" s="11"/>
      <c r="G28" s="49"/>
      <c r="H28" s="107">
        <v>100078</v>
      </c>
      <c r="I28" s="107">
        <v>94364</v>
      </c>
      <c r="J28" s="107">
        <v>94257</v>
      </c>
      <c r="K28" s="107">
        <v>94686</v>
      </c>
      <c r="L28" s="107">
        <v>89603</v>
      </c>
      <c r="M28" s="107">
        <v>88652</v>
      </c>
      <c r="N28" s="107">
        <v>89117.3720146</v>
      </c>
      <c r="O28" s="107">
        <v>88326.869325243</v>
      </c>
      <c r="P28" s="107">
        <v>91709.252918306</v>
      </c>
      <c r="Q28" s="139">
        <v>91340</v>
      </c>
    </row>
    <row r="29" spans="3:17" ht="12.75" customHeight="1">
      <c r="C29" s="227" t="str">
        <f>VLOOKUP(42,Textbausteine!$AQ$2:$AU$151,Hilfsgrössen!$D$2,FALSE)</f>
        <v>Rail</v>
      </c>
      <c r="D29" s="67" t="str">
        <f>VLOOKUP(11,Textbausteine!$AQ$2:$AU$151,Hilfsgrössen!$D$2,FALSE)</f>
        <v>Equivalent de tonnes de CO2</v>
      </c>
      <c r="E29" s="11">
        <v>2</v>
      </c>
      <c r="F29" s="13"/>
      <c r="G29" s="49"/>
      <c r="H29" s="107">
        <v>1395</v>
      </c>
      <c r="I29" s="107">
        <v>1389</v>
      </c>
      <c r="J29" s="107">
        <v>1336</v>
      </c>
      <c r="K29" s="107">
        <v>1468</v>
      </c>
      <c r="L29" s="107">
        <v>1572</v>
      </c>
      <c r="M29" s="107">
        <v>1668</v>
      </c>
      <c r="N29" s="107">
        <v>1718.3006751521</v>
      </c>
      <c r="O29" s="107">
        <v>1487.9082858683</v>
      </c>
      <c r="P29" s="107">
        <v>1484.2324832917</v>
      </c>
      <c r="Q29" s="139">
        <v>1516</v>
      </c>
    </row>
    <row r="30" spans="3:17" ht="12.75" customHeight="1">
      <c r="C30" s="227" t="str">
        <f>VLOOKUP(43,Textbausteine!$AQ$2:$AU$151,Hilfsgrössen!$D$2,FALSE)</f>
        <v>Transport aérien</v>
      </c>
      <c r="D30" s="67" t="str">
        <f>VLOOKUP(11,Textbausteine!$AQ$2:$AU$151,Hilfsgrössen!$D$2,FALSE)</f>
        <v>Equivalent de tonnes de CO2</v>
      </c>
      <c r="E30" s="11" t="s">
        <v>382</v>
      </c>
      <c r="F30" s="11"/>
      <c r="G30" s="49"/>
      <c r="H30" s="107">
        <v>56290</v>
      </c>
      <c r="I30" s="107">
        <v>58938</v>
      </c>
      <c r="J30" s="107">
        <v>67392</v>
      </c>
      <c r="K30" s="107">
        <v>37910</v>
      </c>
      <c r="L30" s="107">
        <v>36728</v>
      </c>
      <c r="M30" s="107">
        <v>37499</v>
      </c>
      <c r="N30" s="107">
        <v>41384.555395039</v>
      </c>
      <c r="O30" s="107">
        <v>35673.85710423</v>
      </c>
      <c r="P30" s="107">
        <v>34237.374922645</v>
      </c>
      <c r="Q30" s="139">
        <v>31589</v>
      </c>
    </row>
    <row r="31" spans="3:17" ht="12.75" customHeight="1">
      <c r="C31" s="227" t="str">
        <f>VLOOKUP(44,Textbausteine!$AQ$2:$AU$151,Hilfsgrössen!$D$2,FALSE)</f>
        <v>Transport naval</v>
      </c>
      <c r="D31" s="67" t="str">
        <f>VLOOKUP(11,Textbausteine!$AQ$2:$AU$151,Hilfsgrössen!$D$2,FALSE)</f>
        <v>Equivalent de tonnes de CO2</v>
      </c>
      <c r="E31" s="11">
        <v>2</v>
      </c>
      <c r="F31" s="11"/>
      <c r="G31" s="50"/>
      <c r="H31" s="107">
        <v>0</v>
      </c>
      <c r="I31" s="107">
        <v>0</v>
      </c>
      <c r="J31" s="107">
        <v>0</v>
      </c>
      <c r="K31" s="107">
        <v>0.050086</v>
      </c>
      <c r="L31" s="107">
        <v>0.049668</v>
      </c>
      <c r="M31" s="107">
        <v>0.045436</v>
      </c>
      <c r="N31" s="107">
        <v>0.037537500000001</v>
      </c>
      <c r="O31" s="107">
        <v>0.032250400000001</v>
      </c>
      <c r="P31" s="107">
        <v>0.0287469</v>
      </c>
      <c r="Q31" s="139">
        <v>0</v>
      </c>
    </row>
    <row r="32" spans="3:17" ht="12.75" customHeight="1">
      <c r="C32" s="221" t="str">
        <f>VLOOKUP(45,Textbausteine!$AQ$2:$AU$151,Hilfsgrössen!$D$2,FALSE)</f>
        <v>Déplacements professionnels</v>
      </c>
      <c r="D32" s="67" t="str">
        <f>VLOOKUP(11,Textbausteine!$AQ$2:$AU$151,Hilfsgrössen!$D$2,FALSE)</f>
        <v>Equivalent de tonnes de CO2</v>
      </c>
      <c r="E32" s="11">
        <v>2</v>
      </c>
      <c r="F32" s="11"/>
      <c r="G32" s="49"/>
      <c r="H32" s="107">
        <v>5488</v>
      </c>
      <c r="I32" s="107">
        <v>5925</v>
      </c>
      <c r="J32" s="107">
        <v>6525</v>
      </c>
      <c r="K32" s="107">
        <v>5933</v>
      </c>
      <c r="L32" s="107">
        <v>6117</v>
      </c>
      <c r="M32" s="107">
        <v>6066</v>
      </c>
      <c r="N32" s="107">
        <v>5846.1645165735</v>
      </c>
      <c r="O32" s="107">
        <v>5918.2438045294</v>
      </c>
      <c r="P32" s="107">
        <v>6331.4974314842</v>
      </c>
      <c r="Q32" s="139">
        <v>5680</v>
      </c>
    </row>
    <row r="33" spans="3:17" ht="12.75" customHeight="1">
      <c r="C33" s="221" t="str">
        <f>VLOOKUP(46,Textbausteine!$AQ$2:$AU$151,Hilfsgrössen!$D$2,FALSE)</f>
        <v>Trafic pendulaire</v>
      </c>
      <c r="D33" s="67" t="str">
        <f>VLOOKUP(11,Textbausteine!$AQ$2:$AU$151,Hilfsgrössen!$D$2,FALSE)</f>
        <v>Equivalent de tonnes de CO2</v>
      </c>
      <c r="E33" s="11">
        <v>2</v>
      </c>
      <c r="F33" s="13"/>
      <c r="G33" s="49"/>
      <c r="H33" s="107">
        <v>52549</v>
      </c>
      <c r="I33" s="107">
        <v>51756</v>
      </c>
      <c r="J33" s="107">
        <v>51801</v>
      </c>
      <c r="K33" s="107">
        <v>53659</v>
      </c>
      <c r="L33" s="107">
        <v>55802</v>
      </c>
      <c r="M33" s="107">
        <v>55474</v>
      </c>
      <c r="N33" s="107">
        <v>52843.591257976</v>
      </c>
      <c r="O33" s="107">
        <v>51553.30771519</v>
      </c>
      <c r="P33" s="107">
        <v>50329.735308902</v>
      </c>
      <c r="Q33" s="139">
        <v>47855</v>
      </c>
    </row>
    <row r="34" spans="3:17" ht="12.75" customHeight="1">
      <c r="C34" s="220"/>
      <c r="D34" s="67"/>
      <c r="E34" s="13"/>
      <c r="F34" s="13"/>
      <c r="G34" s="49"/>
      <c r="N34" s="107"/>
      <c r="O34" s="107"/>
      <c r="P34" s="107"/>
      <c r="Q34" s="139"/>
    </row>
    <row r="35" spans="3:17" ht="12.75" customHeight="1">
      <c r="C35" s="228" t="str">
        <f>VLOOKUP(47,Textbausteine!$AQ$2:$AU$151,Hilfsgrössen!$D$2,FALSE)</f>
        <v>Par scope et source d'énergie</v>
      </c>
      <c r="D35" s="67"/>
      <c r="E35" s="13"/>
      <c r="F35" s="11"/>
      <c r="G35" s="50"/>
      <c r="N35" s="107"/>
      <c r="O35" s="107"/>
      <c r="P35" s="107"/>
      <c r="Q35" s="139"/>
    </row>
    <row r="36" spans="3:17" ht="12.75" customHeight="1">
      <c r="C36" s="19" t="str">
        <f>VLOOKUP(48,Textbausteine!$AQ$2:$AU$151,Hilfsgrössen!$D$2,FALSE)</f>
        <v>Emissions de gaz à effet de serre (scopes 1−3)</v>
      </c>
      <c r="D36" s="67" t="str">
        <f>VLOOKUP(11,Textbausteine!$AQ$2:$AU$151,Hilfsgrössen!$D$2,FALSE)</f>
        <v>Equivalent de tonnes de CO2</v>
      </c>
      <c r="E36" s="13">
        <v>2</v>
      </c>
      <c r="F36" s="11"/>
      <c r="G36" s="50"/>
      <c r="H36" s="107">
        <v>478253</v>
      </c>
      <c r="I36" s="107">
        <v>463248</v>
      </c>
      <c r="J36" s="107">
        <v>478020</v>
      </c>
      <c r="K36" s="107">
        <v>449174</v>
      </c>
      <c r="L36" s="107">
        <v>442202</v>
      </c>
      <c r="M36" s="107">
        <v>440728</v>
      </c>
      <c r="N36" s="107">
        <v>446151.36167583</v>
      </c>
      <c r="O36" s="107">
        <v>436549.74852077</v>
      </c>
      <c r="P36" s="107">
        <v>439954.81451875</v>
      </c>
      <c r="Q36" s="139">
        <v>408784</v>
      </c>
    </row>
    <row r="37" spans="3:17" ht="12.75" customHeight="1">
      <c r="C37" s="219" t="str">
        <f>VLOOKUP(49,Textbausteine!$AQ$2:$AU$151,Hilfsgrössen!$D$2,FALSE)</f>
        <v>Emissions directes de gaz à effet de serre (scope 1)</v>
      </c>
      <c r="D37" s="67" t="str">
        <f>VLOOKUP(11,Textbausteine!$AQ$2:$AU$151,Hilfsgrössen!$D$2,FALSE)</f>
        <v>Equivalent de tonnes de CO2</v>
      </c>
      <c r="E37" s="11">
        <v>2</v>
      </c>
      <c r="F37" s="13" t="s">
        <v>681</v>
      </c>
      <c r="G37" s="49"/>
      <c r="H37" s="107">
        <f>SUM(H38,H42,H47)</f>
        <v>185849</v>
      </c>
      <c r="I37" s="107">
        <f aca="true" t="shared" si="0" ref="I37:N37">SUM(I38,I42,I47)</f>
        <v>185453</v>
      </c>
      <c r="J37" s="107">
        <f t="shared" si="0"/>
        <v>192155</v>
      </c>
      <c r="K37" s="107">
        <f t="shared" si="0"/>
        <v>193196</v>
      </c>
      <c r="L37" s="107">
        <f t="shared" si="0"/>
        <v>189053</v>
      </c>
      <c r="M37" s="107">
        <f t="shared" si="0"/>
        <v>187641</v>
      </c>
      <c r="N37" s="107">
        <f t="shared" si="0"/>
        <v>192641.19787531687</v>
      </c>
      <c r="O37" s="107">
        <f>SUM(O38,O42,O47)</f>
        <v>188244.99781373318</v>
      </c>
      <c r="P37" s="107">
        <v>192395.71118894</v>
      </c>
      <c r="Q37" s="139">
        <v>173328</v>
      </c>
    </row>
    <row r="38" spans="3:17" ht="12.75" customHeight="1">
      <c r="C38" s="226" t="str">
        <f>VLOOKUP(50,Textbausteine!$AQ$2:$AU$151,Hilfsgrössen!$D$2,FALSE)</f>
        <v>Consommation de combustibles dans des sources stationnaires</v>
      </c>
      <c r="D38" s="67" t="str">
        <f>VLOOKUP(11,Textbausteine!$AQ$2:$AU$151,Hilfsgrössen!$D$2,FALSE)</f>
        <v>Equivalent de tonnes de CO2</v>
      </c>
      <c r="E38" s="13">
        <v>2</v>
      </c>
      <c r="F38" s="13"/>
      <c r="G38" s="49"/>
      <c r="H38" s="107">
        <f>SUM(H39:H40)</f>
        <v>20126</v>
      </c>
      <c r="I38" s="107">
        <f aca="true" t="shared" si="1" ref="I38:N38">SUM(I39:I40)</f>
        <v>17464</v>
      </c>
      <c r="J38" s="107">
        <f t="shared" si="1"/>
        <v>19103</v>
      </c>
      <c r="K38" s="107">
        <f t="shared" si="1"/>
        <v>15440</v>
      </c>
      <c r="L38" s="107">
        <f t="shared" si="1"/>
        <v>12813</v>
      </c>
      <c r="M38" s="107">
        <f t="shared" si="1"/>
        <v>11798</v>
      </c>
      <c r="N38" s="107">
        <f t="shared" si="1"/>
        <v>11006.4913754591</v>
      </c>
      <c r="O38" s="107">
        <f>SUM(O39:O40)</f>
        <v>10301.4245421076</v>
      </c>
      <c r="P38" s="107">
        <v>12156.375777379</v>
      </c>
      <c r="Q38" s="139">
        <v>12001</v>
      </c>
    </row>
    <row r="39" spans="3:17" ht="12.75" customHeight="1">
      <c r="C39" s="229" t="str">
        <f>VLOOKUP(51,Textbausteine!$AQ$2:$AU$151,Hilfsgrössen!$D$2,FALSE)</f>
        <v>Mazout</v>
      </c>
      <c r="D39" s="67" t="str">
        <f>VLOOKUP(11,Textbausteine!$AQ$2:$AU$151,Hilfsgrössen!$D$2,FALSE)</f>
        <v>Equivalent de tonnes de CO2</v>
      </c>
      <c r="E39" s="13">
        <v>2</v>
      </c>
      <c r="F39" s="11"/>
      <c r="G39" s="50"/>
      <c r="H39" s="107">
        <v>16214</v>
      </c>
      <c r="I39" s="107">
        <v>13558</v>
      </c>
      <c r="J39" s="107">
        <v>13894</v>
      </c>
      <c r="K39" s="107">
        <v>11623</v>
      </c>
      <c r="L39" s="107">
        <v>8904</v>
      </c>
      <c r="M39" s="107">
        <v>8177</v>
      </c>
      <c r="N39" s="107">
        <v>7550.8390116191</v>
      </c>
      <c r="O39" s="107">
        <v>7442.7899666116</v>
      </c>
      <c r="P39" s="107">
        <v>6781.3074173688</v>
      </c>
      <c r="Q39" s="139">
        <v>6828</v>
      </c>
    </row>
    <row r="40" spans="3:17" ht="12.75" customHeight="1">
      <c r="C40" s="229" t="str">
        <f>VLOOKUP(52,Textbausteine!$AQ$2:$AU$151,Hilfsgrössen!$D$2,FALSE)</f>
        <v>Gaz naturel</v>
      </c>
      <c r="D40" s="67" t="str">
        <f>VLOOKUP(11,Textbausteine!$AQ$2:$AU$151,Hilfsgrössen!$D$2,FALSE)</f>
        <v>Equivalent de tonnes de CO2</v>
      </c>
      <c r="E40" s="13">
        <v>2</v>
      </c>
      <c r="F40" s="11"/>
      <c r="G40" s="50"/>
      <c r="H40" s="107">
        <v>3912</v>
      </c>
      <c r="I40" s="107">
        <v>3906</v>
      </c>
      <c r="J40" s="107">
        <v>5209</v>
      </c>
      <c r="K40" s="107">
        <v>3817</v>
      </c>
      <c r="L40" s="107">
        <v>3909</v>
      </c>
      <c r="M40" s="107">
        <v>3621</v>
      </c>
      <c r="N40" s="107">
        <v>3455.65236384</v>
      </c>
      <c r="O40" s="107">
        <v>2858.634575496</v>
      </c>
      <c r="P40" s="107">
        <v>5373.9050289119</v>
      </c>
      <c r="Q40" s="139">
        <v>5171</v>
      </c>
    </row>
    <row r="41" spans="3:17" ht="12.75" customHeight="1">
      <c r="C41" s="229" t="str">
        <f>VLOOKUP(53,Textbausteine!$AQ$2:$AU$151,Hilfsgrössen!$D$2,FALSE)</f>
        <v>Bois</v>
      </c>
      <c r="D41" s="67" t="str">
        <f>VLOOKUP(11,Textbausteine!$AQ$2:$AU$151,Hilfsgrössen!$D$2,FALSE)</f>
        <v>Equivalent de tonnes de CO2</v>
      </c>
      <c r="E41" s="13">
        <v>2</v>
      </c>
      <c r="F41" s="11"/>
      <c r="G41" s="50"/>
      <c r="H41" s="107" t="s">
        <v>1470</v>
      </c>
      <c r="I41" s="107" t="s">
        <v>1470</v>
      </c>
      <c r="J41" s="107" t="s">
        <v>1470</v>
      </c>
      <c r="K41" s="107" t="s">
        <v>1470</v>
      </c>
      <c r="L41" s="107" t="s">
        <v>1470</v>
      </c>
      <c r="M41" s="107" t="s">
        <v>1470</v>
      </c>
      <c r="N41" s="107" t="s">
        <v>1470</v>
      </c>
      <c r="O41" s="107" t="s">
        <v>1470</v>
      </c>
      <c r="P41" s="107">
        <v>1.16333109816</v>
      </c>
      <c r="Q41" s="139">
        <v>2</v>
      </c>
    </row>
    <row r="42" spans="3:17" ht="12.75" customHeight="1">
      <c r="C42" s="226" t="str">
        <f>VLOOKUP(54,Textbausteine!$AQ$2:$AU$151,Hilfsgrössen!$D$2,FALSE)</f>
        <v>Consommation de combustibles dans des sources mobiles</v>
      </c>
      <c r="D42" s="67" t="str">
        <f>VLOOKUP(11,Textbausteine!$AQ$2:$AU$151,Hilfsgrössen!$D$2,FALSE)</f>
        <v>Equivalent de tonnes de CO2</v>
      </c>
      <c r="E42" s="13">
        <v>2</v>
      </c>
      <c r="F42" s="11"/>
      <c r="G42" s="49"/>
      <c r="H42" s="107">
        <f>SUM(H43:H46)</f>
        <v>163272</v>
      </c>
      <c r="I42" s="107">
        <f aca="true" t="shared" si="2" ref="I42:N42">SUM(I43:I46)</f>
        <v>165441</v>
      </c>
      <c r="J42" s="107">
        <f t="shared" si="2"/>
        <v>169622</v>
      </c>
      <c r="K42" s="107">
        <f t="shared" si="2"/>
        <v>174272</v>
      </c>
      <c r="L42" s="107">
        <f t="shared" si="2"/>
        <v>173201</v>
      </c>
      <c r="M42" s="107">
        <f t="shared" si="2"/>
        <v>172948</v>
      </c>
      <c r="N42" s="107">
        <f t="shared" si="2"/>
        <v>178396.75396665776</v>
      </c>
      <c r="O42" s="107">
        <f>SUM(O43:O46)</f>
        <v>175293.1393274256</v>
      </c>
      <c r="P42" s="107">
        <v>177232.56403437</v>
      </c>
      <c r="Q42" s="139">
        <v>156763</v>
      </c>
    </row>
    <row r="43" spans="3:17" ht="12.75" customHeight="1">
      <c r="C43" s="229" t="str">
        <f>VLOOKUP(55,Textbausteine!$AQ$2:$AU$151,Hilfsgrössen!$D$2,FALSE)</f>
        <v>Diesel</v>
      </c>
      <c r="D43" s="67" t="str">
        <f>VLOOKUP(11,Textbausteine!$AQ$2:$AU$151,Hilfsgrössen!$D$2,FALSE)</f>
        <v>Equivalent de tonnes de CO2</v>
      </c>
      <c r="E43" s="13">
        <v>2</v>
      </c>
      <c r="F43" s="11"/>
      <c r="G43" s="49"/>
      <c r="H43" s="107">
        <v>146619</v>
      </c>
      <c r="I43" s="107">
        <v>150819</v>
      </c>
      <c r="J43" s="107">
        <v>156985</v>
      </c>
      <c r="K43" s="107">
        <v>163944</v>
      </c>
      <c r="L43" s="107">
        <v>163663</v>
      </c>
      <c r="M43" s="107">
        <v>164237</v>
      </c>
      <c r="N43" s="107">
        <v>170963.39839306</v>
      </c>
      <c r="O43" s="107">
        <v>168687.06480912</v>
      </c>
      <c r="P43" s="107">
        <v>171033.24489186</v>
      </c>
      <c r="Q43" s="139">
        <v>151222</v>
      </c>
    </row>
    <row r="44" spans="3:17" ht="12.75" customHeight="1">
      <c r="C44" s="229" t="str">
        <f>VLOOKUP(56,Textbausteine!$AQ$2:$AU$151,Hilfsgrössen!$D$2,FALSE)</f>
        <v>Essence</v>
      </c>
      <c r="D44" s="67" t="str">
        <f>VLOOKUP(11,Textbausteine!$AQ$2:$AU$151,Hilfsgrössen!$D$2,FALSE)</f>
        <v>Equivalent de tonnes de CO2</v>
      </c>
      <c r="E44" s="11">
        <v>2</v>
      </c>
      <c r="F44" s="11"/>
      <c r="G44" s="49"/>
      <c r="H44" s="107">
        <v>13268</v>
      </c>
      <c r="I44" s="107">
        <v>11980</v>
      </c>
      <c r="J44" s="107">
        <v>11619</v>
      </c>
      <c r="K44" s="107">
        <v>9409</v>
      </c>
      <c r="L44" s="107">
        <v>8699</v>
      </c>
      <c r="M44" s="107">
        <v>7928</v>
      </c>
      <c r="N44" s="107">
        <v>7091.1867565031</v>
      </c>
      <c r="O44" s="107">
        <v>6461.1271408375</v>
      </c>
      <c r="P44" s="107">
        <v>6016.7192285076</v>
      </c>
      <c r="Q44" s="139">
        <v>5418</v>
      </c>
    </row>
    <row r="45" spans="3:17" ht="12.75" customHeight="1">
      <c r="C45" s="229" t="str">
        <f>VLOOKUP(57,Textbausteine!$AQ$2:$AU$151,Hilfsgrössen!$D$2,FALSE)</f>
        <v>Gaz naturel</v>
      </c>
      <c r="D45" s="67" t="str">
        <f>VLOOKUP(11,Textbausteine!$AQ$2:$AU$151,Hilfsgrössen!$D$2,FALSE)</f>
        <v>Equivalent de tonnes de CO2</v>
      </c>
      <c r="E45" s="11">
        <v>2</v>
      </c>
      <c r="F45" s="13"/>
      <c r="G45" s="49"/>
      <c r="H45" s="107">
        <v>3385</v>
      </c>
      <c r="I45" s="107">
        <v>2642</v>
      </c>
      <c r="J45" s="107">
        <v>1018</v>
      </c>
      <c r="K45" s="107">
        <v>919</v>
      </c>
      <c r="L45" s="107">
        <v>839</v>
      </c>
      <c r="M45" s="107">
        <v>783</v>
      </c>
      <c r="N45" s="107">
        <v>342.16881709466</v>
      </c>
      <c r="O45" s="107">
        <v>144.94737746812</v>
      </c>
      <c r="P45" s="107">
        <v>182.59991399936</v>
      </c>
      <c r="Q45" s="139">
        <v>122</v>
      </c>
    </row>
    <row r="46" spans="3:17" ht="12.75" customHeight="1">
      <c r="C46" s="229" t="str">
        <f>VLOOKUP(58,Textbausteine!$AQ$2:$AU$151,Hilfsgrössen!$D$2,FALSE)</f>
        <v>Hydrogène</v>
      </c>
      <c r="D46" s="67" t="str">
        <f>VLOOKUP(11,Textbausteine!$AQ$2:$AU$151,Hilfsgrössen!$D$2,FALSE)</f>
        <v>Equivalent de tonnes de CO2</v>
      </c>
      <c r="E46" s="11">
        <v>2</v>
      </c>
      <c r="F46" s="11"/>
      <c r="G46" s="49"/>
      <c r="H46" s="107" t="s">
        <v>1470</v>
      </c>
      <c r="I46" s="107" t="s">
        <v>1470</v>
      </c>
      <c r="J46" s="107" t="s">
        <v>1470</v>
      </c>
      <c r="K46" s="107">
        <v>0</v>
      </c>
      <c r="L46" s="107">
        <v>0</v>
      </c>
      <c r="M46" s="107">
        <v>0</v>
      </c>
      <c r="N46" s="107">
        <v>0</v>
      </c>
      <c r="O46" s="107" t="s">
        <v>1470</v>
      </c>
      <c r="P46" s="107" t="s">
        <v>1470</v>
      </c>
      <c r="Q46" s="139" t="s">
        <v>1470</v>
      </c>
    </row>
    <row r="47" spans="3:17" ht="12.75" customHeight="1">
      <c r="C47" s="226" t="str">
        <f>VLOOKUP(59,Textbausteine!$AQ$2:$AU$151,Hilfsgrössen!$D$2,FALSE)</f>
        <v>Emissions fugitives</v>
      </c>
      <c r="D47" s="67" t="str">
        <f>VLOOKUP(11,Textbausteine!$AQ$2:$AU$151,Hilfsgrössen!$D$2,FALSE)</f>
        <v>Equivalent de tonnes de CO2</v>
      </c>
      <c r="E47" s="11">
        <v>2</v>
      </c>
      <c r="F47" s="11"/>
      <c r="G47" s="50"/>
      <c r="H47" s="107">
        <f>SUM(H48)</f>
        <v>2451</v>
      </c>
      <c r="I47" s="107">
        <f aca="true" t="shared" si="3" ref="I47:N47">SUM(I48)</f>
        <v>2548</v>
      </c>
      <c r="J47" s="107">
        <f t="shared" si="3"/>
        <v>3430</v>
      </c>
      <c r="K47" s="107">
        <f t="shared" si="3"/>
        <v>3484</v>
      </c>
      <c r="L47" s="107">
        <f t="shared" si="3"/>
        <v>3039</v>
      </c>
      <c r="M47" s="107">
        <f t="shared" si="3"/>
        <v>2895</v>
      </c>
      <c r="N47" s="107">
        <f t="shared" si="3"/>
        <v>3237.9525332</v>
      </c>
      <c r="O47" s="107">
        <f>SUM(O48)</f>
        <v>2650.4339442</v>
      </c>
      <c r="P47" s="107">
        <v>3006.7713772</v>
      </c>
      <c r="Q47" s="139">
        <v>4565</v>
      </c>
    </row>
    <row r="48" spans="3:17" ht="12.75" customHeight="1">
      <c r="C48" s="229" t="str">
        <f>VLOOKUP(60,Textbausteine!$AQ$2:$AU$151,Hilfsgrössen!$D$2,FALSE)</f>
        <v>Climatisation</v>
      </c>
      <c r="D48" s="67" t="str">
        <f>VLOOKUP(11,Textbausteine!$AQ$2:$AU$151,Hilfsgrössen!$D$2,FALSE)</f>
        <v>Equivalent de tonnes de CO2</v>
      </c>
      <c r="E48" s="11">
        <v>2</v>
      </c>
      <c r="F48" s="13"/>
      <c r="G48" s="49"/>
      <c r="H48" s="107">
        <v>2451</v>
      </c>
      <c r="I48" s="107">
        <v>2548</v>
      </c>
      <c r="J48" s="107">
        <v>3430</v>
      </c>
      <c r="K48" s="107">
        <v>3484</v>
      </c>
      <c r="L48" s="107">
        <v>3039</v>
      </c>
      <c r="M48" s="107">
        <v>2895</v>
      </c>
      <c r="N48" s="107">
        <v>3237.9525332</v>
      </c>
      <c r="O48" s="107">
        <v>2650.4339442</v>
      </c>
      <c r="P48" s="107">
        <v>3006.7713772</v>
      </c>
      <c r="Q48" s="139">
        <v>4565</v>
      </c>
    </row>
    <row r="49" spans="3:17" ht="12.75" customHeight="1">
      <c r="C49" s="219" t="str">
        <f>VLOOKUP(61,Textbausteine!$AQ$2:$AU$151,Hilfsgrössen!$D$2,FALSE)</f>
        <v>Emissions indirectes de gaz à effet de serre liées à l'énergie (scope 2)</v>
      </c>
      <c r="D49" s="67" t="str">
        <f>VLOOKUP(11,Textbausteine!$AQ$2:$AU$151,Hilfsgrössen!$D$2,FALSE)</f>
        <v>Equivalent de tonnes de CO2</v>
      </c>
      <c r="E49" s="11">
        <v>2</v>
      </c>
      <c r="F49" s="11" t="s">
        <v>682</v>
      </c>
      <c r="G49" s="49"/>
      <c r="H49" s="107">
        <f>SUM(H50,H53)</f>
        <v>29629</v>
      </c>
      <c r="I49" s="107">
        <f aca="true" t="shared" si="4" ref="I49:N49">SUM(I50,I53)</f>
        <v>22212</v>
      </c>
      <c r="J49" s="107">
        <f t="shared" si="4"/>
        <v>22623</v>
      </c>
      <c r="K49" s="107">
        <f t="shared" si="4"/>
        <v>21684</v>
      </c>
      <c r="L49" s="107">
        <f t="shared" si="4"/>
        <v>23332</v>
      </c>
      <c r="M49" s="107">
        <f t="shared" si="4"/>
        <v>22217</v>
      </c>
      <c r="N49" s="107">
        <f t="shared" si="4"/>
        <v>20147.0613746235</v>
      </c>
      <c r="O49" s="107">
        <f>SUM(O50,O53)</f>
        <v>20123.4868844437</v>
      </c>
      <c r="P49" s="107">
        <v>20188.436594316</v>
      </c>
      <c r="Q49" s="139">
        <v>19091</v>
      </c>
    </row>
    <row r="50" spans="3:17" ht="12.75" customHeight="1">
      <c r="C50" s="230" t="str">
        <f>VLOOKUP(62,Textbausteine!$AQ$2:$AU$151,Hilfsgrössen!$D$2,FALSE)</f>
        <v>Electricité</v>
      </c>
      <c r="D50" s="194" t="str">
        <f>VLOOKUP(11,Textbausteine!$AQ$2:$AU$151,Hilfsgrössen!$D$2,FALSE)</f>
        <v>Equivalent de tonnes de CO2</v>
      </c>
      <c r="E50" s="11">
        <v>1</v>
      </c>
      <c r="F50" s="11"/>
      <c r="G50" s="50"/>
      <c r="H50" s="107">
        <f>H52</f>
        <v>27408</v>
      </c>
      <c r="I50" s="107">
        <f aca="true" t="shared" si="5" ref="I50:N50">I52</f>
        <v>20619</v>
      </c>
      <c r="J50" s="107">
        <f t="shared" si="5"/>
        <v>20766</v>
      </c>
      <c r="K50" s="107">
        <f t="shared" si="5"/>
        <v>20037</v>
      </c>
      <c r="L50" s="107">
        <f t="shared" si="5"/>
        <v>21547</v>
      </c>
      <c r="M50" s="107">
        <f t="shared" si="5"/>
        <v>20348</v>
      </c>
      <c r="N50" s="107">
        <f t="shared" si="5"/>
        <v>18403.540674961</v>
      </c>
      <c r="O50" s="107">
        <f>O52</f>
        <v>18532.772471718</v>
      </c>
      <c r="P50" s="107">
        <v>17734.697146114</v>
      </c>
      <c r="Q50" s="139">
        <v>17035</v>
      </c>
    </row>
    <row r="51" spans="3:17" ht="12.75" customHeight="1">
      <c r="C51" s="231" t="str">
        <f>VLOOKUP(63,Textbausteine!$AQ$2:$AU$151,Hilfsgrössen!$D$2,FALSE)</f>
        <v>Emissions basées sur les sites</v>
      </c>
      <c r="D51" s="195" t="str">
        <f>VLOOKUP(11,Textbausteine!$AQ$2:$AU$151,Hilfsgrössen!$D$2,FALSE)</f>
        <v>Equivalent de tonnes de CO2</v>
      </c>
      <c r="E51" s="11">
        <v>2</v>
      </c>
      <c r="F51" s="11"/>
      <c r="G51" s="49"/>
      <c r="H51" s="107">
        <f aca="true" t="shared" si="6" ref="H51:M51">H52/0.95</f>
        <v>28850.526315789473</v>
      </c>
      <c r="I51" s="107">
        <f t="shared" si="6"/>
        <v>21704.21052631579</v>
      </c>
      <c r="J51" s="107">
        <f t="shared" si="6"/>
        <v>21858.947368421053</v>
      </c>
      <c r="K51" s="107">
        <f t="shared" si="6"/>
        <v>21091.578947368424</v>
      </c>
      <c r="L51" s="107">
        <f t="shared" si="6"/>
        <v>22681.05263157895</v>
      </c>
      <c r="M51" s="107">
        <f t="shared" si="6"/>
        <v>21418.947368421053</v>
      </c>
      <c r="N51" s="107">
        <f>N52/0.9</f>
        <v>20448.378527734447</v>
      </c>
      <c r="O51" s="107">
        <f>O52/0.9</f>
        <v>20591.969413019997</v>
      </c>
      <c r="P51" s="107">
        <v>19265.297593884</v>
      </c>
      <c r="Q51" s="139">
        <v>18472</v>
      </c>
    </row>
    <row r="52" spans="3:17" ht="12.75" customHeight="1">
      <c r="C52" s="231" t="str">
        <f>VLOOKUP(64,Textbausteine!$AQ$2:$AU$151,Hilfsgrössen!$D$2,FALSE)</f>
        <v>Emissions basées sur le marché</v>
      </c>
      <c r="D52" s="194" t="str">
        <f>VLOOKUP(11,Textbausteine!$AQ$2:$AU$151,Hilfsgrössen!$D$2,FALSE)</f>
        <v>Equivalent de tonnes de CO2</v>
      </c>
      <c r="E52" s="11">
        <v>2</v>
      </c>
      <c r="F52" s="11"/>
      <c r="G52" s="49"/>
      <c r="H52" s="107">
        <v>27408</v>
      </c>
      <c r="I52" s="107">
        <v>20619</v>
      </c>
      <c r="J52" s="107">
        <v>20766</v>
      </c>
      <c r="K52" s="107">
        <v>20037</v>
      </c>
      <c r="L52" s="107">
        <v>21547</v>
      </c>
      <c r="M52" s="107">
        <v>20348</v>
      </c>
      <c r="N52" s="107">
        <v>18403.540674961</v>
      </c>
      <c r="O52" s="107">
        <v>18532.772471718</v>
      </c>
      <c r="P52" s="107">
        <v>17734.697146114</v>
      </c>
      <c r="Q52" s="139">
        <v>17035</v>
      </c>
    </row>
    <row r="53" spans="3:17" ht="12.75" customHeight="1">
      <c r="C53" s="226" t="str">
        <f>VLOOKUP(65,Textbausteine!$AQ$2:$AU$151,Hilfsgrössen!$D$2,FALSE)</f>
        <v>Chaleur à distance</v>
      </c>
      <c r="D53" s="67" t="str">
        <f>VLOOKUP(11,Textbausteine!$AQ$2:$AU$151,Hilfsgrössen!$D$2,FALSE)</f>
        <v>Equivalent de tonnes de CO2</v>
      </c>
      <c r="E53" s="11">
        <v>2</v>
      </c>
      <c r="F53" s="11"/>
      <c r="G53" s="49"/>
      <c r="H53" s="107">
        <v>2221</v>
      </c>
      <c r="I53" s="107">
        <v>1593</v>
      </c>
      <c r="J53" s="107">
        <v>1857</v>
      </c>
      <c r="K53" s="107">
        <v>1647</v>
      </c>
      <c r="L53" s="107">
        <v>1785</v>
      </c>
      <c r="M53" s="107">
        <v>1869</v>
      </c>
      <c r="N53" s="107">
        <v>1743.5206996625</v>
      </c>
      <c r="O53" s="107">
        <v>1590.7144127257</v>
      </c>
      <c r="P53" s="107">
        <v>2453.7394482013</v>
      </c>
      <c r="Q53" s="139">
        <v>2056</v>
      </c>
    </row>
    <row r="54" spans="3:17" ht="12.75" customHeight="1">
      <c r="C54" s="232" t="str">
        <f>VLOOKUP(66,Textbausteine!$AQ$2:$AU$151,Hilfsgrössen!$D$2,FALSE)</f>
        <v>Autres émissions indirectes importantes de gaz à effet de serre (scope 3)</v>
      </c>
      <c r="D54" s="194" t="str">
        <f>VLOOKUP(11,Textbausteine!$AQ$2:$AU$151,Hilfsgrössen!$D$2,FALSE)</f>
        <v>Equivalent de tonnes de CO2</v>
      </c>
      <c r="E54" s="11">
        <v>2</v>
      </c>
      <c r="F54" s="11" t="s">
        <v>683</v>
      </c>
      <c r="G54" s="49"/>
      <c r="H54" s="107">
        <f>SUM(H55:H62)</f>
        <v>262780</v>
      </c>
      <c r="I54" s="107">
        <f aca="true" t="shared" si="7" ref="I54:N54">SUM(I55:I62)</f>
        <v>255588</v>
      </c>
      <c r="J54" s="107">
        <f t="shared" si="7"/>
        <v>263248</v>
      </c>
      <c r="K54" s="107">
        <f t="shared" si="7"/>
        <v>234297</v>
      </c>
      <c r="L54" s="107">
        <f t="shared" si="7"/>
        <v>229821</v>
      </c>
      <c r="M54" s="107">
        <f t="shared" si="7"/>
        <v>230873</v>
      </c>
      <c r="N54" s="107">
        <f t="shared" si="7"/>
        <v>233366.53409199772</v>
      </c>
      <c r="O54" s="107">
        <f>SUM(O55:O62)</f>
        <v>228181.89127211153</v>
      </c>
      <c r="P54" s="107">
        <v>227370.66673549</v>
      </c>
      <c r="Q54" s="139">
        <v>216364</v>
      </c>
    </row>
    <row r="55" spans="3:17" ht="12.75" customHeight="1">
      <c r="C55" s="230" t="str">
        <f>VLOOKUP(67,Textbausteine!$AQ$2:$AU$151,Hilfsgrössen!$D$2,FALSE)</f>
        <v>Marchandises et prestations achetées</v>
      </c>
      <c r="D55" s="194" t="str">
        <f>VLOOKUP(11,Textbausteine!$AQ$2:$AU$151,Hilfsgrössen!$D$2,FALSE)</f>
        <v>Equivalent de tonnes de CO2</v>
      </c>
      <c r="E55" s="11">
        <v>2</v>
      </c>
      <c r="F55" s="11" t="s">
        <v>683</v>
      </c>
      <c r="G55" s="49"/>
      <c r="H55" s="107">
        <v>11561</v>
      </c>
      <c r="I55" s="107">
        <v>11429</v>
      </c>
      <c r="J55" s="107">
        <v>11273</v>
      </c>
      <c r="K55" s="107">
        <v>8109</v>
      </c>
      <c r="L55" s="107">
        <v>7935</v>
      </c>
      <c r="M55" s="107">
        <v>7751</v>
      </c>
      <c r="N55" s="107">
        <v>5846.7021988428</v>
      </c>
      <c r="O55" s="107">
        <v>6468.4043745775</v>
      </c>
      <c r="P55" s="107">
        <v>4590.3196405556</v>
      </c>
      <c r="Q55" s="139">
        <v>3942</v>
      </c>
    </row>
    <row r="56" spans="3:17" ht="12.75" customHeight="1">
      <c r="C56" s="233" t="str">
        <f>VLOOKUP(68,Textbausteine!$AQ$2:$AU$151,Hilfsgrössen!$D$2,FALSE)</f>
        <v>Activités liées aux combustibles et à l'énergie</v>
      </c>
      <c r="D56" s="194" t="str">
        <f>VLOOKUP(11,Textbausteine!$AQ$2:$AU$151,Hilfsgrössen!$D$2,FALSE)</f>
        <v>Equivalent de tonnes de CO2</v>
      </c>
      <c r="E56" s="11">
        <v>2</v>
      </c>
      <c r="F56" s="11" t="s">
        <v>683</v>
      </c>
      <c r="G56" s="49"/>
      <c r="H56" s="107">
        <v>51104</v>
      </c>
      <c r="I56" s="107">
        <v>50138</v>
      </c>
      <c r="J56" s="107">
        <v>51217</v>
      </c>
      <c r="K56" s="107">
        <v>50269</v>
      </c>
      <c r="L56" s="107">
        <v>50583</v>
      </c>
      <c r="M56" s="107">
        <v>49794</v>
      </c>
      <c r="N56" s="107">
        <v>49424.781135725</v>
      </c>
      <c r="O56" s="107">
        <v>48210.135412318</v>
      </c>
      <c r="P56" s="107">
        <v>46142.779632666</v>
      </c>
      <c r="Q56" s="139">
        <v>41538</v>
      </c>
    </row>
    <row r="57" spans="3:17" ht="12.75" customHeight="1">
      <c r="C57" s="233" t="str">
        <f>VLOOKUP(69,Textbausteine!$AQ$2:$AU$151,Hilfsgrössen!$D$2,FALSE)</f>
        <v>Transport et tri en amont (upstream)</v>
      </c>
      <c r="D57" s="194" t="str">
        <f>VLOOKUP(11,Textbausteine!$AQ$2:$AU$151,Hilfsgrössen!$D$2,FALSE)</f>
        <v>Equivalent de tonnes de CO2</v>
      </c>
      <c r="E57" s="11" t="s">
        <v>1585</v>
      </c>
      <c r="F57" s="11" t="s">
        <v>683</v>
      </c>
      <c r="G57" s="49"/>
      <c r="H57" s="107">
        <v>110601</v>
      </c>
      <c r="I57" s="107">
        <v>109666</v>
      </c>
      <c r="J57" s="107">
        <v>120287</v>
      </c>
      <c r="K57" s="107">
        <v>94302</v>
      </c>
      <c r="L57" s="107">
        <v>91031</v>
      </c>
      <c r="M57" s="107">
        <v>93550</v>
      </c>
      <c r="N57" s="107">
        <v>100730.06248808201</v>
      </c>
      <c r="O57" s="107">
        <v>96907.918669915</v>
      </c>
      <c r="P57" s="107">
        <v>99011.31682799</v>
      </c>
      <c r="Q57" s="139">
        <v>96683</v>
      </c>
    </row>
    <row r="58" spans="3:17" ht="12.75" customHeight="1">
      <c r="C58" s="230" t="str">
        <f>VLOOKUP(70,Textbausteine!$AQ$2:$AU$151,Hilfsgrössen!$D$2,FALSE)</f>
        <v>Déchets produits dans le cadre d'activités opérationnelles</v>
      </c>
      <c r="D58" s="194" t="str">
        <f>VLOOKUP(11,Textbausteine!$AQ$2:$AU$151,Hilfsgrössen!$D$2,FALSE)</f>
        <v>Equivalent de tonnes de CO2</v>
      </c>
      <c r="E58" s="13">
        <v>2</v>
      </c>
      <c r="F58" s="11" t="s">
        <v>683</v>
      </c>
      <c r="G58" s="49"/>
      <c r="H58" s="107">
        <v>9353</v>
      </c>
      <c r="I58" s="107">
        <v>9170</v>
      </c>
      <c r="J58" s="107">
        <v>9320</v>
      </c>
      <c r="K58" s="107">
        <v>9129</v>
      </c>
      <c r="L58" s="107">
        <v>9243</v>
      </c>
      <c r="M58" s="107">
        <v>9158</v>
      </c>
      <c r="N58" s="107">
        <v>9047.3568552237</v>
      </c>
      <c r="O58" s="107">
        <v>8813.1983539383</v>
      </c>
      <c r="P58" s="107">
        <v>8568.5426310463</v>
      </c>
      <c r="Q58" s="139">
        <v>8017</v>
      </c>
    </row>
    <row r="59" spans="3:17" ht="12.75" customHeight="1">
      <c r="C59" s="230" t="str">
        <f>VLOOKUP(71,Textbausteine!$AQ$2:$AU$151,Hilfsgrössen!$D$2,FALSE)</f>
        <v>Déplacements professionnels</v>
      </c>
      <c r="D59" s="194" t="str">
        <f>VLOOKUP(11,Textbausteine!$AQ$2:$AU$151,Hilfsgrössen!$D$2,FALSE)</f>
        <v>Equivalent de tonnes de CO2</v>
      </c>
      <c r="E59" s="13">
        <v>2</v>
      </c>
      <c r="F59" s="11" t="s">
        <v>683</v>
      </c>
      <c r="G59" s="49"/>
      <c r="H59" s="107">
        <v>399</v>
      </c>
      <c r="I59" s="107">
        <v>630</v>
      </c>
      <c r="J59" s="107">
        <v>624</v>
      </c>
      <c r="K59" s="107">
        <v>429</v>
      </c>
      <c r="L59" s="107">
        <v>488</v>
      </c>
      <c r="M59" s="107">
        <v>530</v>
      </c>
      <c r="N59" s="107">
        <v>595.11857555519</v>
      </c>
      <c r="O59" s="107">
        <v>750.00902377275</v>
      </c>
      <c r="P59" s="107">
        <v>1189.596548072</v>
      </c>
      <c r="Q59" s="139">
        <v>1216</v>
      </c>
    </row>
    <row r="60" spans="3:17" ht="12.75" customHeight="1">
      <c r="C60" s="230" t="str">
        <f>VLOOKUP(72,Textbausteine!$AQ$2:$AU$151,Hilfsgrössen!$D$2,FALSE)</f>
        <v>Trafic pendulaire du personnel</v>
      </c>
      <c r="D60" s="194" t="str">
        <f>VLOOKUP(11,Textbausteine!$AQ$2:$AU$151,Hilfsgrössen!$D$2,FALSE)</f>
        <v>Equivalent de tonnes de CO2</v>
      </c>
      <c r="E60" s="13">
        <v>2</v>
      </c>
      <c r="F60" s="11" t="s">
        <v>683</v>
      </c>
      <c r="G60" s="49"/>
      <c r="H60" s="107">
        <v>52549</v>
      </c>
      <c r="I60" s="107">
        <v>51756</v>
      </c>
      <c r="J60" s="107">
        <v>51801</v>
      </c>
      <c r="K60" s="107">
        <v>53659</v>
      </c>
      <c r="L60" s="107">
        <v>55802</v>
      </c>
      <c r="M60" s="107">
        <v>55474</v>
      </c>
      <c r="N60" s="107">
        <v>52843.591257976</v>
      </c>
      <c r="O60" s="107">
        <v>51553.30771519</v>
      </c>
      <c r="P60" s="107">
        <v>50329.735308902</v>
      </c>
      <c r="Q60" s="139">
        <v>47855</v>
      </c>
    </row>
    <row r="61" spans="3:17" ht="12.75" customHeight="1">
      <c r="C61" s="230" t="str">
        <f>VLOOKUP(73,Textbausteine!$AQ$2:$AU$151,Hilfsgrössen!$D$2,FALSE)</f>
        <v>Biens économiques loués en amont (upstream)</v>
      </c>
      <c r="D61" s="194" t="str">
        <f>VLOOKUP(11,Textbausteine!$AQ$2:$AU$151,Hilfsgrössen!$D$2,FALSE)</f>
        <v>Equivalent de tonnes de CO2</v>
      </c>
      <c r="E61" s="11">
        <v>2</v>
      </c>
      <c r="F61" s="11" t="s">
        <v>683</v>
      </c>
      <c r="G61" s="49"/>
      <c r="H61" s="107">
        <v>27213</v>
      </c>
      <c r="I61" s="107">
        <v>22799</v>
      </c>
      <c r="J61" s="107">
        <v>18726</v>
      </c>
      <c r="K61" s="107">
        <v>18400</v>
      </c>
      <c r="L61" s="107">
        <v>14739</v>
      </c>
      <c r="M61" s="107">
        <v>14616</v>
      </c>
      <c r="N61" s="107">
        <v>14878.921580593</v>
      </c>
      <c r="O61" s="107">
        <v>15478.9177224</v>
      </c>
      <c r="P61" s="107">
        <v>14467.12846645</v>
      </c>
      <c r="Q61" s="139">
        <v>14435</v>
      </c>
    </row>
    <row r="62" spans="3:17" ht="12.75" customHeight="1">
      <c r="C62" s="230" t="str">
        <f>VLOOKUP(74,Textbausteine!$AQ$2:$AU$151,Hilfsgrössen!$D$2,FALSE)</f>
        <v>Transport et distribution en aval (downstream)</v>
      </c>
      <c r="D62" s="194" t="str">
        <f>VLOOKUP(11,Textbausteine!$AQ$2:$AU$151,Hilfsgrössen!$D$2,FALSE)</f>
        <v>Equivalent de tonnes de CO2</v>
      </c>
      <c r="E62" s="11">
        <v>2</v>
      </c>
      <c r="F62" s="11" t="s">
        <v>683</v>
      </c>
      <c r="G62" s="49"/>
      <c r="H62" s="107" t="s">
        <v>1470</v>
      </c>
      <c r="I62" s="107" t="s">
        <v>1470</v>
      </c>
      <c r="J62" s="107" t="s">
        <v>1470</v>
      </c>
      <c r="K62" s="107" t="s">
        <v>1470</v>
      </c>
      <c r="L62" s="107" t="s">
        <v>1470</v>
      </c>
      <c r="M62" s="107" t="s">
        <v>1470</v>
      </c>
      <c r="N62" s="107" t="s">
        <v>1470</v>
      </c>
      <c r="O62" s="107" t="s">
        <v>1470</v>
      </c>
      <c r="P62" s="107">
        <v>3071.2476798116</v>
      </c>
      <c r="Q62" s="139">
        <v>2677</v>
      </c>
    </row>
    <row r="63" spans="5:17" ht="12.75" customHeight="1">
      <c r="E63" s="11"/>
      <c r="F63" s="11"/>
      <c r="G63" s="49"/>
      <c r="N63" s="107"/>
      <c r="O63" s="107"/>
      <c r="P63" s="107"/>
      <c r="Q63" s="103"/>
    </row>
    <row r="64" spans="2:81" ht="12.75" customHeight="1">
      <c r="B64" s="21" t="str">
        <f>VLOOKUP(130,Textbausteine!$AQ$2:$AU$151,Hilfsgrössen!$D$2,FALSE)</f>
        <v>1) L'électricité renouvelable est inscrite au bilan des émissions de gaz à effet de serre avec le mix énergétique acheté en Suisse. L'électricité certifiée «naturemade star» est inscrite au bilan sans impact sur le climat. </v>
      </c>
      <c r="E64" s="41"/>
      <c r="F64" s="41"/>
      <c r="G64" s="49"/>
      <c r="H64" s="103"/>
      <c r="I64" s="103"/>
      <c r="J64" s="103"/>
      <c r="K64" s="103"/>
      <c r="L64" s="103"/>
      <c r="M64" s="103"/>
      <c r="N64" s="103"/>
      <c r="O64" s="103"/>
      <c r="P64" s="103"/>
      <c r="Q64" s="103"/>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row>
    <row r="65" spans="2:17" ht="12.75" customHeight="1">
      <c r="B65" s="21" t="str">
        <f>VLOOKUP(131,Textbausteine!$AQ$2:$AU$151,Hilfsgrössen!$D$2,FALSE)</f>
        <v>2) Normes, méthodes et coefficients d'émission: protocole GHG, Revised Edition (2004), ISO 14064–1. L'approche du contrôle financier (Financial Control Approach) a été choisie comme approche de consolidation. Les coefficients d'émission sont tirés d'ecoinvent 2.2.</v>
      </c>
      <c r="E65" s="41"/>
      <c r="F65" s="41"/>
      <c r="G65" s="49"/>
      <c r="N65" s="107"/>
      <c r="O65" s="107"/>
      <c r="P65" s="107"/>
      <c r="Q65" s="107"/>
    </row>
    <row r="66" spans="1:17" ht="12.75" customHeight="1">
      <c r="A66" s="475"/>
      <c r="B66" s="21" t="str">
        <f>VLOOKUP(132,Textbausteine!$AQ$2:$AU$151,Hilfsgrössen!$D$2,FALSE)</f>
        <v>3) Réduction transport de personnes en raison de la vente de CarPostal France</v>
      </c>
      <c r="E66" s="41"/>
      <c r="F66" s="41"/>
      <c r="G66" s="51"/>
      <c r="N66" s="107"/>
      <c r="O66" s="107"/>
      <c r="P66" s="107"/>
      <c r="Q66" s="107"/>
    </row>
    <row r="67" spans="1:7" ht="12.75" customHeight="1">
      <c r="A67" s="475"/>
      <c r="B67" s="21"/>
      <c r="E67" s="42"/>
      <c r="F67" s="42"/>
      <c r="G67" s="51"/>
    </row>
    <row r="68" spans="5:7" ht="12.75" customHeight="1">
      <c r="E68" s="43"/>
      <c r="F68" s="43"/>
      <c r="G68" s="52"/>
    </row>
    <row r="69" ht="12.75" customHeight="1">
      <c r="G69" s="52"/>
    </row>
    <row r="70" spans="1:81" s="31" customFormat="1" ht="12.75" customHeight="1">
      <c r="A70" s="191" t="s">
        <v>807</v>
      </c>
      <c r="B70" s="480" t="str">
        <f>$C$8</f>
        <v>Intensité de gaz à effet de serre</v>
      </c>
      <c r="C70" s="480"/>
      <c r="D70" s="6" t="str">
        <f>VLOOKUP(32,Textbausteine!$A$2:$E$67,Hilfsgrössen!$D$2,FALSE)</f>
        <v>Unité</v>
      </c>
      <c r="E70" s="39" t="str">
        <f>VLOOKUP(33,Textbausteine!$A$2:$E$67,Hilfsgrössen!$D$2,FALSE)</f>
        <v>Notes</v>
      </c>
      <c r="F70" s="39" t="str">
        <f>VLOOKUP(34,Textbausteine!$A$2:$E$67,Hilfsgrössen!$D$2,FALSE)</f>
        <v>GRI</v>
      </c>
      <c r="G70" s="53"/>
      <c r="H70" s="103">
        <v>2010</v>
      </c>
      <c r="I70" s="103">
        <v>2011</v>
      </c>
      <c r="J70" s="103">
        <v>2012</v>
      </c>
      <c r="K70" s="103">
        <v>2013</v>
      </c>
      <c r="L70" s="103">
        <v>2014</v>
      </c>
      <c r="M70" s="103">
        <v>2015</v>
      </c>
      <c r="N70" s="117">
        <v>2016</v>
      </c>
      <c r="O70" s="117">
        <v>2017</v>
      </c>
      <c r="P70" s="117">
        <v>2018</v>
      </c>
      <c r="Q70" s="142">
        <v>2019</v>
      </c>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row>
    <row r="71" spans="1:81" s="31" customFormat="1" ht="12.75" customHeight="1">
      <c r="A71" s="55"/>
      <c r="B71" s="480"/>
      <c r="C71" s="480"/>
      <c r="D71" s="6"/>
      <c r="E71" s="37"/>
      <c r="F71" s="37"/>
      <c r="G71" s="47"/>
      <c r="H71" s="107"/>
      <c r="I71" s="107"/>
      <c r="J71" s="107"/>
      <c r="K71" s="107"/>
      <c r="L71" s="107"/>
      <c r="M71" s="107"/>
      <c r="N71" s="20"/>
      <c r="O71" s="20"/>
      <c r="P71" s="20"/>
      <c r="Q71" s="133"/>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row>
    <row r="72" spans="2:17" ht="12.75" customHeight="1">
      <c r="B72" s="8"/>
      <c r="C72" s="9"/>
      <c r="D72" s="9"/>
      <c r="E72" s="40"/>
      <c r="F72" s="40"/>
      <c r="Q72" s="133"/>
    </row>
    <row r="73" spans="2:17" ht="12.75" customHeight="1">
      <c r="B73" s="8" t="str">
        <f>VLOOKUP(36,Textbausteine!$A$2:$E$67,Hilfsgrössen!$D$2,FALSE)</f>
        <v>Groupe</v>
      </c>
      <c r="C73" s="8"/>
      <c r="D73" s="67"/>
      <c r="E73" s="40"/>
      <c r="F73" s="40"/>
      <c r="Q73" s="133"/>
    </row>
    <row r="74" spans="3:17" ht="12.75" customHeight="1">
      <c r="C74" s="18" t="str">
        <f>VLOOKUP(81,Textbausteine!$AQ$2:$AU$151,Hilfsgrössen!$D$2,FALSE)</f>
        <v>Intensité en CO2 de la création de valeur</v>
      </c>
      <c r="D74" s="67" t="str">
        <f>VLOOKUP(12,Textbausteine!$AQ$2:$AU$151,Hilfsgrössen!$D$2,FALSE)</f>
        <v>Equivalent de tonnes de CO2 par million de CHF</v>
      </c>
      <c r="E74" s="13"/>
      <c r="F74" s="11" t="s">
        <v>684</v>
      </c>
      <c r="G74" s="48"/>
      <c r="H74" s="351">
        <v>90.7845482156416</v>
      </c>
      <c r="I74" s="351">
        <v>89.30942741469057</v>
      </c>
      <c r="J74" s="351">
        <v>89.95483628152051</v>
      </c>
      <c r="K74" s="351">
        <v>84.30442942942943</v>
      </c>
      <c r="L74" s="351">
        <v>84.71302681992337</v>
      </c>
      <c r="M74" s="351">
        <v>84.86963219718852</v>
      </c>
      <c r="N74" s="352">
        <v>84.8493194403829</v>
      </c>
      <c r="O74" s="352">
        <v>84.88231548138634</v>
      </c>
      <c r="P74" s="352">
        <v>95.37281910226534</v>
      </c>
      <c r="Q74" s="353">
        <v>88.5580589254766</v>
      </c>
    </row>
    <row r="75" spans="3:17" ht="12.75" customHeight="1">
      <c r="C75" s="18" t="str">
        <f>VLOOKUP(82,Textbausteine!$AQ$2:$AU$151,Hilfsgrössen!$D$2,FALSE)</f>
        <v>Intensité en CO2 des produits d'exploitation</v>
      </c>
      <c r="D75" s="67" t="str">
        <f>VLOOKUP(12,Textbausteine!$AQ$2:$AU$151,Hilfsgrössen!$D$2,FALSE)</f>
        <v>Equivalent de tonnes de CO2 par million de CHF</v>
      </c>
      <c r="E75" s="39"/>
      <c r="F75" s="37" t="s">
        <v>684</v>
      </c>
      <c r="G75" s="48"/>
      <c r="H75" s="351">
        <v>54.74507783882784</v>
      </c>
      <c r="I75" s="351">
        <v>53.87231073380626</v>
      </c>
      <c r="J75" s="351">
        <v>55.7392723880597</v>
      </c>
      <c r="K75" s="351">
        <v>52.38180758017493</v>
      </c>
      <c r="L75" s="351">
        <v>52.82546888065942</v>
      </c>
      <c r="M75" s="351">
        <v>53.590466926070036</v>
      </c>
      <c r="N75" s="352">
        <v>54.48844182655471</v>
      </c>
      <c r="O75" s="352">
        <v>54.135633497119294</v>
      </c>
      <c r="P75" s="352">
        <v>60.64996064498897</v>
      </c>
      <c r="Q75" s="353">
        <v>57.0608598548297</v>
      </c>
    </row>
    <row r="76" spans="3:18" ht="12.75" customHeight="1">
      <c r="C76" s="18" t="str">
        <f>VLOOKUP(83,Textbausteine!$AQ$2:$AU$151,Hilfsgrössen!$D$2,FALSE)</f>
        <v>Intensité CO2 des postes de travail</v>
      </c>
      <c r="D76" s="67" t="str">
        <f>VLOOKUP(13,Textbausteine!$AQ$2:$AU$151,Hilfsgrössen!$D$2,FALSE)</f>
        <v>Equivalent de tonnes de CO2 par unité de personnel </v>
      </c>
      <c r="E76" s="13"/>
      <c r="F76" s="11" t="s">
        <v>684</v>
      </c>
      <c r="G76" s="49"/>
      <c r="H76" s="351">
        <v>10.6</v>
      </c>
      <c r="I76" s="351">
        <v>10.4</v>
      </c>
      <c r="J76" s="351">
        <v>10.7</v>
      </c>
      <c r="K76" s="351">
        <v>10.2</v>
      </c>
      <c r="L76" s="351">
        <v>9.9</v>
      </c>
      <c r="M76" s="351">
        <v>9.99</v>
      </c>
      <c r="N76" s="354">
        <v>10.261708102293</v>
      </c>
      <c r="O76" s="354">
        <v>10.297</v>
      </c>
      <c r="P76" s="354">
        <v>11.017600283450616</v>
      </c>
      <c r="Q76" s="355">
        <v>10.304613057726241</v>
      </c>
      <c r="R76" s="11"/>
    </row>
    <row r="77" spans="2:17" ht="12.75" customHeight="1">
      <c r="B77" s="21"/>
      <c r="C77" s="228"/>
      <c r="D77" s="18"/>
      <c r="E77" s="13"/>
      <c r="F77" s="11"/>
      <c r="G77" s="46"/>
      <c r="N77" s="107"/>
      <c r="O77" s="107"/>
      <c r="P77" s="107"/>
      <c r="Q77" s="107"/>
    </row>
    <row r="78" spans="2:17" ht="12.75" customHeight="1">
      <c r="B78" s="21"/>
      <c r="C78" s="228"/>
      <c r="D78" s="18"/>
      <c r="E78" s="13"/>
      <c r="F78" s="11"/>
      <c r="N78" s="107"/>
      <c r="O78" s="107"/>
      <c r="P78" s="107"/>
      <c r="Q78" s="107"/>
    </row>
    <row r="79" spans="5:17" ht="12.75" customHeight="1">
      <c r="E79" s="44"/>
      <c r="F79" s="44"/>
      <c r="N79" s="107"/>
      <c r="O79" s="107"/>
      <c r="P79" s="107"/>
      <c r="Q79" s="107"/>
    </row>
    <row r="80" spans="1:81" s="31" customFormat="1" ht="12.75" customHeight="1">
      <c r="A80" s="191" t="s">
        <v>807</v>
      </c>
      <c r="B80" s="480" t="str">
        <f>$C$9</f>
        <v>Emissions de gaz à effet de serre compensées</v>
      </c>
      <c r="C80" s="480"/>
      <c r="D80" s="6" t="str">
        <f>VLOOKUP(32,Textbausteine!$A$2:$E$67,Hilfsgrössen!$D$2,FALSE)</f>
        <v>Unité</v>
      </c>
      <c r="E80" s="118" t="str">
        <f>VLOOKUP(33,Textbausteine!$A$2:$E$67,Hilfsgrössen!$D$2,FALSE)</f>
        <v>Notes</v>
      </c>
      <c r="F80" s="118" t="str">
        <f>VLOOKUP(34,Textbausteine!$A$2:$E$67,Hilfsgrössen!$D$2,FALSE)</f>
        <v>GRI</v>
      </c>
      <c r="G80" s="47"/>
      <c r="H80" s="103">
        <v>2010</v>
      </c>
      <c r="I80" s="103">
        <v>2011</v>
      </c>
      <c r="J80" s="103">
        <v>2012</v>
      </c>
      <c r="K80" s="103">
        <v>2013</v>
      </c>
      <c r="L80" s="103">
        <v>2014</v>
      </c>
      <c r="M80" s="103">
        <v>2015</v>
      </c>
      <c r="N80" s="103">
        <v>2016</v>
      </c>
      <c r="O80" s="103">
        <v>2017</v>
      </c>
      <c r="P80" s="103">
        <v>2018</v>
      </c>
      <c r="Q80" s="135">
        <v>2019</v>
      </c>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row>
    <row r="81" spans="1:81" s="31" customFormat="1" ht="12.75" customHeight="1">
      <c r="A81" s="55"/>
      <c r="B81" s="480"/>
      <c r="C81" s="480"/>
      <c r="D81" s="6"/>
      <c r="E81" s="44"/>
      <c r="F81" s="44"/>
      <c r="G81" s="47"/>
      <c r="H81" s="107"/>
      <c r="I81" s="107"/>
      <c r="J81" s="107"/>
      <c r="K81" s="107"/>
      <c r="L81" s="107"/>
      <c r="M81" s="107"/>
      <c r="N81" s="107"/>
      <c r="O81" s="107"/>
      <c r="P81" s="107"/>
      <c r="Q81" s="139"/>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row>
    <row r="82" spans="2:17" ht="12.75" customHeight="1">
      <c r="B82" s="8"/>
      <c r="C82" s="9"/>
      <c r="D82" s="9"/>
      <c r="N82" s="107"/>
      <c r="O82" s="107"/>
      <c r="P82" s="107"/>
      <c r="Q82" s="139"/>
    </row>
    <row r="83" spans="2:17" ht="12.75" customHeight="1">
      <c r="B83" s="8" t="str">
        <f>VLOOKUP(36,Textbausteine!$A$2:$E$67,Hilfsgrössen!$D$2,FALSE)</f>
        <v>Groupe</v>
      </c>
      <c r="C83" s="8"/>
      <c r="D83" s="67"/>
      <c r="N83" s="107"/>
      <c r="O83" s="107"/>
      <c r="P83" s="107"/>
      <c r="Q83" s="139"/>
    </row>
    <row r="84" spans="3:17" ht="12.75" customHeight="1">
      <c r="C84" s="18" t="str">
        <f>VLOOKUP(91,Textbausteine!$AQ$2:$AU$151,Hilfsgrössen!$D$2,FALSE)</f>
        <v>Compensations des émissions de CO2</v>
      </c>
      <c r="D84" s="67" t="str">
        <f>VLOOKUP(11,Textbausteine!$AQ$2:$AU$151,Hilfsgrössen!$D$2,FALSE)</f>
        <v>Equivalent de tonnes de CO2</v>
      </c>
      <c r="E84" s="37">
        <v>1</v>
      </c>
      <c r="H84" s="107">
        <v>27000</v>
      </c>
      <c r="I84" s="107">
        <v>9500</v>
      </c>
      <c r="J84" s="107">
        <v>38300</v>
      </c>
      <c r="K84" s="107">
        <v>41800</v>
      </c>
      <c r="L84" s="107">
        <v>35900</v>
      </c>
      <c r="M84" s="107">
        <v>35600</v>
      </c>
      <c r="N84" s="119">
        <v>35766</v>
      </c>
      <c r="O84" s="119">
        <v>41000</v>
      </c>
      <c r="P84" s="119">
        <v>38906</v>
      </c>
      <c r="Q84" s="134">
        <v>39085</v>
      </c>
    </row>
    <row r="85" spans="3:17" ht="12.75" customHeight="1">
      <c r="C85" s="67" t="str">
        <f>VLOOKUP(92,Textbausteine!$AQ$2:$AU$151,Hilfsgrössen!$D$2,FALSE)</f>
        <v>Envois compensés</v>
      </c>
      <c r="D85" s="67" t="str">
        <f>VLOOKUP(14,Textbausteine!$AQ$2:$AU$151,Hilfsgrössen!$D$2,FALSE)</f>
        <v>Nombre en millions</v>
      </c>
      <c r="E85" s="37">
        <v>1</v>
      </c>
      <c r="H85" s="107">
        <v>69</v>
      </c>
      <c r="I85" s="107">
        <v>67</v>
      </c>
      <c r="J85" s="107">
        <v>1726</v>
      </c>
      <c r="K85" s="107">
        <v>2252</v>
      </c>
      <c r="L85" s="107">
        <v>2199</v>
      </c>
      <c r="M85" s="107">
        <v>2168</v>
      </c>
      <c r="N85" s="119">
        <v>2099</v>
      </c>
      <c r="O85" s="119">
        <v>2954</v>
      </c>
      <c r="P85" s="119">
        <v>2826</v>
      </c>
      <c r="Q85" s="134">
        <v>2836</v>
      </c>
    </row>
    <row r="87" spans="2:4" ht="12.75" customHeight="1">
      <c r="B87" s="21" t="str">
        <f>VLOOKUP(134,Textbausteine!$AQ$2:$AU$151,Hilfsgrössen!$D$2,FALSE)</f>
        <v>1) Le volume de CO2 compensé varie en fonction du prix des certificats de CO2 sur le marché. Les suppléments «pro clima» versés par les clients sont intégralement investis dans des projets de compensation. </v>
      </c>
      <c r="C87" s="21"/>
      <c r="D87" s="21"/>
    </row>
    <row r="89" spans="14:17" ht="12.75" customHeight="1">
      <c r="N89" s="107"/>
      <c r="O89" s="107"/>
      <c r="P89" s="107"/>
      <c r="Q89" s="107"/>
    </row>
    <row r="90" spans="1:81" s="31" customFormat="1" ht="12.75" customHeight="1">
      <c r="A90" s="191" t="s">
        <v>807</v>
      </c>
      <c r="B90" s="480" t="str">
        <f>$C$10</f>
        <v>Autres indicateurs des gaz à effet de serre</v>
      </c>
      <c r="C90" s="480"/>
      <c r="D90" s="6" t="str">
        <f>VLOOKUP(32,Textbausteine!$A$2:$E$67,Hilfsgrössen!$D$2,FALSE)</f>
        <v>Unité</v>
      </c>
      <c r="E90" s="39" t="str">
        <f>VLOOKUP(33,Textbausteine!$A$2:$E$67,Hilfsgrössen!$D$2,FALSE)</f>
        <v>Notes</v>
      </c>
      <c r="F90" s="39" t="str">
        <f>VLOOKUP(34,Textbausteine!$A$2:$E$67,Hilfsgrössen!$D$2,FALSE)</f>
        <v>GRI</v>
      </c>
      <c r="G90" s="47"/>
      <c r="H90" s="103">
        <v>2010</v>
      </c>
      <c r="I90" s="103">
        <v>2011</v>
      </c>
      <c r="J90" s="103">
        <v>2012</v>
      </c>
      <c r="K90" s="103">
        <v>2013</v>
      </c>
      <c r="L90" s="103">
        <v>2014</v>
      </c>
      <c r="M90" s="103">
        <v>2015</v>
      </c>
      <c r="N90" s="103">
        <v>2016</v>
      </c>
      <c r="O90" s="103">
        <v>2017</v>
      </c>
      <c r="P90" s="103">
        <v>2018</v>
      </c>
      <c r="Q90" s="135">
        <v>2019</v>
      </c>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c r="CB90" s="39"/>
      <c r="CC90" s="39"/>
    </row>
    <row r="91" spans="1:81" s="31" customFormat="1" ht="12.75" customHeight="1">
      <c r="A91" s="55"/>
      <c r="B91" s="480"/>
      <c r="C91" s="480"/>
      <c r="D91" s="6"/>
      <c r="E91" s="37"/>
      <c r="F91" s="37"/>
      <c r="G91" s="47"/>
      <c r="H91" s="107"/>
      <c r="I91" s="107"/>
      <c r="J91" s="107"/>
      <c r="K91" s="107"/>
      <c r="L91" s="107"/>
      <c r="M91" s="107"/>
      <c r="N91" s="107"/>
      <c r="O91" s="107"/>
      <c r="P91" s="107"/>
      <c r="Q91" s="139"/>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row>
    <row r="92" spans="2:17" ht="12.75" customHeight="1">
      <c r="B92" s="8"/>
      <c r="C92" s="9"/>
      <c r="D92" s="9"/>
      <c r="N92" s="107"/>
      <c r="O92" s="107"/>
      <c r="P92" s="107"/>
      <c r="Q92" s="139"/>
    </row>
    <row r="93" spans="2:17" ht="12.75" customHeight="1">
      <c r="B93" s="8" t="str">
        <f>VLOOKUP(36,Textbausteine!$A$2:$E$67,Hilfsgrössen!$D$2,FALSE)</f>
        <v>Groupe</v>
      </c>
      <c r="C93" s="8"/>
      <c r="D93" s="67"/>
      <c r="N93" s="107"/>
      <c r="O93" s="107"/>
      <c r="P93" s="107"/>
      <c r="Q93" s="139"/>
    </row>
    <row r="94" spans="3:17" ht="12.75" customHeight="1">
      <c r="C94" s="18" t="str">
        <f>VLOOKUP(101,Textbausteine!$AQ$2:$AU$151,Hilfsgrössen!$D$2,FALSE)</f>
        <v>Amélioration de l'efficacité en matière de CO2 depuis 2010</v>
      </c>
      <c r="D94" s="18" t="str">
        <f>VLOOKUP(15,Textbausteine!$AQ$2:$AU$151,Hilfsgrössen!$D$2,FALSE)</f>
        <v>%</v>
      </c>
      <c r="E94" s="37">
        <v>1</v>
      </c>
      <c r="H94" s="107">
        <v>0</v>
      </c>
      <c r="I94" s="162">
        <v>3.46</v>
      </c>
      <c r="J94" s="107">
        <v>3.11</v>
      </c>
      <c r="K94" s="107">
        <v>10.1</v>
      </c>
      <c r="L94" s="107">
        <v>12.1</v>
      </c>
      <c r="M94" s="107">
        <v>13.7</v>
      </c>
      <c r="N94" s="107">
        <v>16.5</v>
      </c>
      <c r="O94" s="107">
        <v>19.2</v>
      </c>
      <c r="P94" s="107">
        <v>20.4</v>
      </c>
      <c r="Q94" s="139">
        <v>27.6</v>
      </c>
    </row>
    <row r="95" spans="14:17" ht="12.75" customHeight="1">
      <c r="N95" s="107"/>
      <c r="O95" s="107"/>
      <c r="P95" s="107"/>
      <c r="Q95" s="107"/>
    </row>
    <row r="96" spans="2:17" ht="12.75" customHeight="1">
      <c r="B96" s="21" t="str">
        <f>VLOOKUP(135,Textbausteine!$AQ$2:$AU$151,Hilfsgrössen!$D$2,FALSE)</f>
        <v>1) L'amélioration de l'efficacité en matière de CO2 est mesurée en tant que variation des équivalents de CO2 par prestation de base au cours de l'exercice en comparaison avec l'année de référence.  La prestation de base est définie de manière différente selon les unités du groupe (envoi, transaction, kilomètre-voyageur/kilomètre, unité de personnel, etc.).</v>
      </c>
      <c r="C96" s="21"/>
      <c r="D96" s="21"/>
      <c r="N96" s="107"/>
      <c r="O96" s="107"/>
      <c r="P96" s="107"/>
      <c r="Q96" s="107"/>
    </row>
    <row r="97" spans="7:17" ht="12.75" customHeight="1">
      <c r="G97" s="49"/>
      <c r="N97" s="107"/>
      <c r="O97" s="107"/>
      <c r="P97" s="107"/>
      <c r="Q97" s="107"/>
    </row>
    <row r="98" spans="7:17" ht="12.75" customHeight="1">
      <c r="G98" s="49"/>
      <c r="N98" s="107"/>
      <c r="O98" s="107"/>
      <c r="P98" s="107"/>
      <c r="Q98" s="107"/>
    </row>
    <row r="99" spans="1:81" s="31" customFormat="1" ht="12.75" customHeight="1">
      <c r="A99" s="191" t="s">
        <v>807</v>
      </c>
      <c r="B99" s="480" t="str">
        <f>$C$11</f>
        <v>Emissions de polluants atmosphériques</v>
      </c>
      <c r="C99" s="480"/>
      <c r="D99" s="6" t="str">
        <f>VLOOKUP(32,Textbausteine!$A$2:$E$67,Hilfsgrössen!$D$2,FALSE)</f>
        <v>Unité</v>
      </c>
      <c r="E99" s="39" t="str">
        <f>VLOOKUP(33,Textbausteine!$A$2:$E$67,Hilfsgrössen!$D$2,FALSE)</f>
        <v>Notes</v>
      </c>
      <c r="F99" s="39" t="str">
        <f>VLOOKUP(34,Textbausteine!$A$2:$E$67,Hilfsgrössen!$D$2,FALSE)</f>
        <v>GRI</v>
      </c>
      <c r="G99" s="49"/>
      <c r="H99" s="103">
        <v>2010</v>
      </c>
      <c r="I99" s="103">
        <v>2011</v>
      </c>
      <c r="J99" s="103">
        <v>2012</v>
      </c>
      <c r="K99" s="103">
        <v>2013</v>
      </c>
      <c r="L99" s="103">
        <v>2014</v>
      </c>
      <c r="M99" s="103">
        <v>2015</v>
      </c>
      <c r="N99" s="103">
        <v>2016</v>
      </c>
      <c r="O99" s="103">
        <v>2017</v>
      </c>
      <c r="P99" s="103">
        <v>2018</v>
      </c>
      <c r="Q99" s="135">
        <v>2019</v>
      </c>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c r="BZ99" s="39"/>
      <c r="CA99" s="39"/>
      <c r="CB99" s="39"/>
      <c r="CC99" s="39"/>
    </row>
    <row r="100" spans="1:81" s="31" customFormat="1" ht="12.75" customHeight="1">
      <c r="A100" s="55"/>
      <c r="B100" s="480"/>
      <c r="C100" s="480"/>
      <c r="D100" s="6"/>
      <c r="E100" s="37"/>
      <c r="F100" s="37"/>
      <c r="G100" s="49"/>
      <c r="H100" s="107"/>
      <c r="I100" s="107"/>
      <c r="J100" s="107"/>
      <c r="K100" s="107"/>
      <c r="L100" s="107"/>
      <c r="M100" s="107"/>
      <c r="N100" s="107"/>
      <c r="O100" s="107"/>
      <c r="P100" s="107"/>
      <c r="Q100" s="139"/>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row>
    <row r="101" spans="2:17" ht="12.75" customHeight="1">
      <c r="B101" s="8"/>
      <c r="C101" s="9"/>
      <c r="D101" s="9"/>
      <c r="G101" s="49"/>
      <c r="N101" s="107"/>
      <c r="O101" s="107"/>
      <c r="P101" s="107"/>
      <c r="Q101" s="139"/>
    </row>
    <row r="102" spans="2:17" ht="12.75" customHeight="1">
      <c r="B102" s="8" t="str">
        <f>VLOOKUP(36,Textbausteine!$A$2:$E$67,Hilfsgrössen!$D$2,FALSE)</f>
        <v>Groupe</v>
      </c>
      <c r="C102" s="8"/>
      <c r="D102" s="67"/>
      <c r="N102" s="107"/>
      <c r="O102" s="107"/>
      <c r="P102" s="107"/>
      <c r="Q102" s="139"/>
    </row>
    <row r="103" spans="3:17" ht="12.75" customHeight="1">
      <c r="C103" s="18" t="str">
        <f>VLOOKUP(111,Textbausteine!$AQ$2:$AU$151,Hilfsgrössen!$D$2,FALSE)</f>
        <v>Equivalents chlorofluorocarbones (équivalent CFC 11)</v>
      </c>
      <c r="D103" s="18" t="str">
        <f>VLOOKUP(16,Textbausteine!$AQ$2:$AU$151,Hilfsgrössen!$D$2,FALSE)</f>
        <v>Kilos</v>
      </c>
      <c r="E103" s="37" t="s">
        <v>77</v>
      </c>
      <c r="F103" s="37" t="s">
        <v>988</v>
      </c>
      <c r="H103" s="350">
        <v>56.656749999999995</v>
      </c>
      <c r="I103" s="350">
        <v>56.216750000000005</v>
      </c>
      <c r="J103" s="350">
        <v>108</v>
      </c>
      <c r="K103" s="350">
        <v>106.6825</v>
      </c>
      <c r="L103" s="350">
        <v>53.60525</v>
      </c>
      <c r="M103" s="350">
        <v>52.2483525</v>
      </c>
      <c r="N103" s="350">
        <v>51.7</v>
      </c>
      <c r="O103" s="350">
        <v>1.28</v>
      </c>
      <c r="P103" s="350">
        <v>0.74732</v>
      </c>
      <c r="Q103" s="356">
        <v>0.04</v>
      </c>
    </row>
    <row r="104" spans="3:17" ht="12.75" customHeight="1">
      <c r="C104" s="18" t="str">
        <f>VLOOKUP(112,Textbausteine!$AQ$2:$AU$151,Hilfsgrössen!$D$2,FALSE)</f>
        <v>Oxydes d'azote (NOx)</v>
      </c>
      <c r="D104" s="18" t="str">
        <f>VLOOKUP(17,Textbausteine!$AQ$2:$AU$151,Hilfsgrössen!$D$2,FALSE)</f>
        <v>Tonnes</v>
      </c>
      <c r="E104" s="37" t="s">
        <v>77</v>
      </c>
      <c r="F104" s="37" t="s">
        <v>989</v>
      </c>
      <c r="H104" s="350">
        <v>2126.6254912214044</v>
      </c>
      <c r="I104" s="350">
        <v>2086.986795031813</v>
      </c>
      <c r="J104" s="350">
        <v>2110.797139600674</v>
      </c>
      <c r="K104" s="350">
        <v>2001.3082524510821</v>
      </c>
      <c r="L104" s="350">
        <v>1892.8871645166876</v>
      </c>
      <c r="M104" s="350">
        <v>1836.9172596897106</v>
      </c>
      <c r="N104" s="357">
        <v>1828.607522379969</v>
      </c>
      <c r="O104" s="357">
        <v>1692.6639323839715</v>
      </c>
      <c r="P104" s="357">
        <v>1617.9185809195394</v>
      </c>
      <c r="Q104" s="358">
        <v>1425</v>
      </c>
    </row>
    <row r="105" spans="3:17" ht="12.75" customHeight="1">
      <c r="C105" s="18" t="str">
        <f>VLOOKUP(113,Textbausteine!$AQ$2:$AU$151,Hilfsgrössen!$D$2,FALSE)</f>
        <v>Oxydes de soufre (SOx)</v>
      </c>
      <c r="D105" s="18" t="str">
        <f>VLOOKUP(17,Textbausteine!$AQ$2:$AU$151,Hilfsgrössen!$D$2,FALSE)</f>
        <v>Tonnes</v>
      </c>
      <c r="E105" s="37" t="s">
        <v>77</v>
      </c>
      <c r="F105" s="37" t="s">
        <v>989</v>
      </c>
      <c r="H105" s="350">
        <v>453.21409126742935</v>
      </c>
      <c r="I105" s="350">
        <v>442.2077906990463</v>
      </c>
      <c r="J105" s="350">
        <v>448.9533009047371</v>
      </c>
      <c r="K105" s="350">
        <v>407.4340788629303</v>
      </c>
      <c r="L105" s="350">
        <v>398.722349143019</v>
      </c>
      <c r="M105" s="350">
        <v>398.1254143751407</v>
      </c>
      <c r="N105" s="357">
        <v>405.2995780828837</v>
      </c>
      <c r="O105" s="357">
        <v>387.73112315768856</v>
      </c>
      <c r="P105" s="357">
        <v>385.22939359908577</v>
      </c>
      <c r="Q105" s="358">
        <v>367</v>
      </c>
    </row>
    <row r="106" spans="3:17" ht="12.75" customHeight="1">
      <c r="C106" s="18" t="str">
        <f>VLOOKUP(114,Textbausteine!$AQ$2:$AU$151,Hilfsgrössen!$D$2,FALSE)</f>
        <v>Hydrocarbures non méthaniques (HCNM)</v>
      </c>
      <c r="D106" s="18" t="str">
        <f>VLOOKUP(17,Textbausteine!$AQ$2:$AU$151,Hilfsgrössen!$D$2,FALSE)</f>
        <v>Tonnes</v>
      </c>
      <c r="E106" s="37" t="s">
        <v>77</v>
      </c>
      <c r="F106" s="37" t="s">
        <v>989</v>
      </c>
      <c r="H106" s="350">
        <v>808.0003107106888</v>
      </c>
      <c r="I106" s="350">
        <v>680.9239588695527</v>
      </c>
      <c r="J106" s="350">
        <v>657.9598419888213</v>
      </c>
      <c r="K106" s="350">
        <v>538.5741538184354</v>
      </c>
      <c r="L106" s="350">
        <v>458.74439530133685</v>
      </c>
      <c r="M106" s="350">
        <v>427.4443919172101</v>
      </c>
      <c r="N106" s="357">
        <v>369.982208289253</v>
      </c>
      <c r="O106" s="357">
        <v>334.9209813825666</v>
      </c>
      <c r="P106" s="357">
        <v>320.34807607678783</v>
      </c>
      <c r="Q106" s="358">
        <v>297</v>
      </c>
    </row>
    <row r="107" spans="3:17" ht="12.75" customHeight="1">
      <c r="C107" s="18" t="str">
        <f>VLOOKUP(115,Textbausteine!$AQ$2:$AU$151,Hilfsgrössen!$D$2,FALSE)</f>
        <v>Matières particulaires (PM10)</v>
      </c>
      <c r="D107" s="18" t="str">
        <f>VLOOKUP(17,Textbausteine!$AQ$2:$AU$151,Hilfsgrössen!$D$2,FALSE)</f>
        <v>Tonnes</v>
      </c>
      <c r="E107" s="37" t="s">
        <v>77</v>
      </c>
      <c r="F107" s="37" t="s">
        <v>989</v>
      </c>
      <c r="G107" s="48"/>
      <c r="H107" s="350">
        <v>87.30241700582776</v>
      </c>
      <c r="I107" s="350">
        <v>81.4519626695796</v>
      </c>
      <c r="J107" s="350">
        <v>77.82838093008597</v>
      </c>
      <c r="K107" s="350">
        <v>74.19352020279081</v>
      </c>
      <c r="L107" s="350">
        <v>70.37480022999111</v>
      </c>
      <c r="M107" s="350">
        <v>69.16227271750591</v>
      </c>
      <c r="N107" s="357">
        <v>67.59036985320202</v>
      </c>
      <c r="O107" s="357">
        <v>62.089763775006226</v>
      </c>
      <c r="P107" s="357">
        <v>58.68110654601414</v>
      </c>
      <c r="Q107" s="358">
        <v>54.8</v>
      </c>
    </row>
    <row r="108" ht="12.75" customHeight="1">
      <c r="G108" s="48"/>
    </row>
    <row r="109" spans="2:17" ht="12.75" customHeight="1">
      <c r="B109" s="21" t="str">
        <f>VLOOKUP(141,Textbausteine!$AQ$2:$AU$151,Hilfsgrössen!$D$2,FALSE)</f>
        <v>1) Les chiffres des émissions sont calculés à l'aide de coefficients d'émission propres aux prestations de transport et aux différentes sources d'énergie. Ils englobent les étapes préalables de la production d'énergie.</v>
      </c>
      <c r="C109" s="21"/>
      <c r="D109" s="21"/>
      <c r="G109" s="49"/>
      <c r="N109" s="107"/>
      <c r="O109" s="107"/>
      <c r="P109" s="107"/>
      <c r="Q109" s="107"/>
    </row>
    <row r="110" spans="2:17" ht="12.75" customHeight="1">
      <c r="B110" s="21" t="str">
        <f>VLOOKUP(142,Textbausteine!$AQ$2:$AU$151,Hilfsgrössen!$D$2,FALSE)</f>
        <v>2) Normes, méthodes et coefficients d'émission: les coefficients d'émission sont tirés de HBEFA 3.1, Mobitool Version 2010, ecoinvent 2.2 et d'autres sources statistiques. </v>
      </c>
      <c r="C110" s="21"/>
      <c r="D110" s="21"/>
      <c r="G110" s="46"/>
      <c r="N110" s="107"/>
      <c r="O110" s="107"/>
      <c r="P110" s="107"/>
      <c r="Q110" s="107"/>
    </row>
    <row r="111" ht="12.75" customHeight="1">
      <c r="G111" s="49"/>
    </row>
    <row r="112" ht="12.75" customHeight="1">
      <c r="G112" s="49"/>
    </row>
    <row r="113" ht="12.75" customHeight="1">
      <c r="G113" s="49"/>
    </row>
    <row r="114" spans="7:17" ht="12.75" customHeight="1">
      <c r="G114" s="49"/>
      <c r="N114" s="140"/>
      <c r="O114" s="140"/>
      <c r="P114" s="140"/>
      <c r="Q114" s="140"/>
    </row>
    <row r="115" spans="7:17" ht="12.75" customHeight="1">
      <c r="G115" s="54"/>
      <c r="N115" s="140"/>
      <c r="O115" s="140"/>
      <c r="P115" s="140"/>
      <c r="Q115" s="140"/>
    </row>
    <row r="116" spans="7:17" ht="12.75" customHeight="1">
      <c r="G116" s="54"/>
      <c r="N116" s="140"/>
      <c r="O116" s="140"/>
      <c r="P116" s="140"/>
      <c r="Q116" s="140"/>
    </row>
    <row r="117" spans="7:17" ht="12.75" customHeight="1">
      <c r="G117" s="54"/>
      <c r="N117" s="140"/>
      <c r="O117" s="140"/>
      <c r="P117" s="140"/>
      <c r="Q117" s="140"/>
    </row>
    <row r="118" spans="14:17" ht="12.75" customHeight="1">
      <c r="N118" s="140"/>
      <c r="O118" s="140"/>
      <c r="P118" s="140"/>
      <c r="Q118" s="140"/>
    </row>
    <row r="119" spans="14:17" ht="12.75" customHeight="1">
      <c r="N119" s="140"/>
      <c r="O119" s="140"/>
      <c r="P119" s="140"/>
      <c r="Q119" s="140"/>
    </row>
    <row r="120" spans="14:17" ht="12.75" customHeight="1">
      <c r="N120" s="140"/>
      <c r="O120" s="140"/>
      <c r="P120" s="140"/>
      <c r="Q120" s="140"/>
    </row>
    <row r="121" spans="14:17" ht="12.75" customHeight="1">
      <c r="N121" s="140"/>
      <c r="O121" s="140"/>
      <c r="P121" s="140"/>
      <c r="Q121" s="140"/>
    </row>
  </sheetData>
  <sheetProtection sheet="1" objects="1" scenarios="1"/>
  <mergeCells count="8">
    <mergeCell ref="D2:E2"/>
    <mergeCell ref="B99:C100"/>
    <mergeCell ref="B90:C91"/>
    <mergeCell ref="B2:C2"/>
    <mergeCell ref="B3:C3"/>
    <mergeCell ref="B14:C15"/>
    <mergeCell ref="B70:C71"/>
    <mergeCell ref="B80:C81"/>
  </mergeCells>
  <conditionalFormatting sqref="H14:CC9999">
    <cfRule type="expression" priority="12" dxfId="0">
      <formula>AND($D14&lt;&gt;"",H$14&lt;&gt;"",H14="")</formula>
    </cfRule>
    <cfRule type="expression" priority="13" dxfId="1">
      <formula>AND($A14="",ABS(H14)=0)</formula>
    </cfRule>
    <cfRule type="expression" priority="14" dxfId="1">
      <formula>AND($A14="",ABS(H14)&lt;10)</formula>
    </cfRule>
    <cfRule type="expression" priority="15" dxfId="35">
      <formula>AND($A14="",ABS(H14)&lt;100)</formula>
    </cfRule>
    <cfRule type="expression" priority="16" dxfId="1">
      <formula>AND($A14="",ABS(H14)&gt;=100)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C10" location="GRI_305_4" display="GRI_305_4"/>
    <hyperlink ref="C9" location="GRI_305_3" display="GRI_305_3"/>
    <hyperlink ref="C8" location="GRI_305_2" display="GRI_305_2"/>
    <hyperlink ref="C7" location="GRI_305_1" display="GRI_305_1"/>
    <hyperlink ref="A14" location="GRI_305" display="Ó"/>
    <hyperlink ref="A70" location="GRI_305" display="Ó"/>
    <hyperlink ref="A80" location="GRI_305" display="Ó"/>
    <hyperlink ref="A90" location="GRI_305" display="Ó"/>
    <hyperlink ref="A99" location="GRI_305" display="Ó"/>
    <hyperlink ref="C11" location="GRI_305_6_7" display="GRI_305_6_7"/>
    <hyperlink ref="D2" location="Home" display="Home"/>
  </hyperlinks>
  <printOptions/>
  <pageMargins left="0.7" right="0.7" top="0.787401575" bottom="0.7874015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tabColor rgb="FF9E2A2F"/>
  </sheetPr>
  <dimension ref="A2:CI146"/>
  <sheetViews>
    <sheetView showGridLines="0" showRowColHeaders="0" zoomScale="90" zoomScaleNormal="90" zoomScalePageLayoutView="0" workbookViewId="0" topLeftCell="A1">
      <pane xSplit="7" topLeftCell="H1" activePane="topRight" state="frozen"/>
      <selection pane="topLeft" activeCell="B73" sqref="B73"/>
      <selection pane="topRight" activeCell="B3" sqref="B3:C3"/>
    </sheetView>
  </sheetViews>
  <sheetFormatPr defaultColWidth="10.75390625" defaultRowHeight="12.75" customHeight="1"/>
  <cols>
    <col min="1" max="1" width="2.50390625" style="91" customWidth="1"/>
    <col min="2" max="2" width="2.50390625" style="1" customWidth="1"/>
    <col min="3" max="3" width="61.50390625" style="1" customWidth="1"/>
    <col min="4" max="4" width="35.50390625" style="1" customWidth="1"/>
    <col min="5" max="5" width="9.50390625" style="37" customWidth="1"/>
    <col min="6" max="6" width="14.125" style="37" customWidth="1"/>
    <col min="7" max="7" width="2.50390625" style="47" customWidth="1"/>
    <col min="8" max="13" width="12.00390625" style="100" customWidth="1"/>
    <col min="14" max="19" width="11.625" style="107" customWidth="1"/>
    <col min="20" max="23" width="11.625" style="20" customWidth="1"/>
    <col min="24" max="87" width="11.625" style="11" customWidth="1"/>
    <col min="88" max="16384" width="10.75390625" style="1" customWidth="1"/>
  </cols>
  <sheetData>
    <row r="2" spans="1:87" s="153" customFormat="1" ht="25.5" customHeight="1">
      <c r="A2" s="88"/>
      <c r="B2" s="485" t="str">
        <f>UPPER(RIGHT(Inhaltsverzeichnis!$C$27,LEN(Inhaltsverzeichnis!$C$27)-FIND(" – ",Inhaltsverzeichnis!$C$27,1)-2))</f>
        <v>EMPLOI</v>
      </c>
      <c r="C2" s="485"/>
      <c r="D2" s="481" t="str">
        <f>VLOOKUP(35,Textbausteine!$A$2:$E$67,Hilfsgrössen!$D$2,FALSE)</f>
        <v>retour à la table des matières</v>
      </c>
      <c r="E2" s="482"/>
      <c r="F2" s="145" t="s">
        <v>86</v>
      </c>
      <c r="G2" s="171"/>
      <c r="H2" s="159"/>
      <c r="I2" s="159"/>
      <c r="J2" s="159"/>
      <c r="K2" s="159"/>
      <c r="L2" s="159"/>
      <c r="M2" s="159"/>
      <c r="N2" s="136"/>
      <c r="O2" s="136"/>
      <c r="P2" s="136"/>
      <c r="Q2" s="136"/>
      <c r="R2" s="136"/>
      <c r="S2" s="136"/>
      <c r="T2" s="116"/>
      <c r="U2" s="116"/>
      <c r="V2" s="116"/>
      <c r="W2" s="116"/>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row>
    <row r="3" spans="1:87" s="154" customFormat="1" ht="25.5" customHeight="1">
      <c r="A3" s="89"/>
      <c r="B3" s="486" t="str">
        <f>UPPER("GRI "&amp;LEFT(Inhaltsverzeichnis!$C$27,3))</f>
        <v>GRI 401</v>
      </c>
      <c r="C3" s="486"/>
      <c r="E3" s="38"/>
      <c r="F3" s="38"/>
      <c r="G3" s="45"/>
      <c r="H3" s="94"/>
      <c r="I3" s="94"/>
      <c r="J3" s="94"/>
      <c r="K3" s="94"/>
      <c r="L3" s="94"/>
      <c r="M3" s="94"/>
      <c r="N3" s="136"/>
      <c r="O3" s="136"/>
      <c r="P3" s="136"/>
      <c r="Q3" s="136"/>
      <c r="R3" s="136"/>
      <c r="S3" s="136"/>
      <c r="T3" s="116"/>
      <c r="U3" s="116"/>
      <c r="V3" s="116"/>
      <c r="W3" s="116"/>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row>
    <row r="6" spans="1:87" s="31" customFormat="1" ht="12.75" customHeight="1">
      <c r="A6" s="90"/>
      <c r="B6" s="31" t="str">
        <f>VLOOKUP(31,Textbausteine!$A$2:$E$67,Hilfsgrössen!$D$2,FALSE)</f>
        <v>Divulgations</v>
      </c>
      <c r="E6" s="39"/>
      <c r="F6" s="39"/>
      <c r="G6" s="46"/>
      <c r="H6" s="96"/>
      <c r="I6" s="96"/>
      <c r="J6" s="96"/>
      <c r="K6" s="96"/>
      <c r="L6" s="96"/>
      <c r="M6" s="96"/>
      <c r="N6" s="107"/>
      <c r="O6" s="107"/>
      <c r="P6" s="107"/>
      <c r="Q6" s="107"/>
      <c r="R6" s="107"/>
      <c r="S6" s="107"/>
      <c r="T6" s="20"/>
      <c r="U6" s="20"/>
      <c r="V6" s="20"/>
      <c r="W6" s="20"/>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row>
    <row r="7" spans="2:4" ht="12.75" customHeight="1">
      <c r="B7" s="2"/>
      <c r="C7" s="5" t="str">
        <f>VLOOKUP(1,Textbausteine!$AW$2:$BA$156,Hilfsgrössen!$D$2,FALSE)</f>
        <v>Fluctuation du personnel et départs</v>
      </c>
      <c r="D7" s="4"/>
    </row>
    <row r="8" spans="2:4" ht="12.75" customHeight="1">
      <c r="B8" s="2"/>
      <c r="C8" s="5" t="str">
        <f>VLOOKUP(2,Textbausteine!$AW$2:$BA$156,Hilfsgrössen!$D$2,FALSE)</f>
        <v>Congé parental</v>
      </c>
      <c r="D8" s="4"/>
    </row>
    <row r="9" spans="2:3" ht="12.75" customHeight="1">
      <c r="B9" s="2"/>
      <c r="C9" s="5" t="str">
        <f>VLOOKUP(3,Textbausteine!$AW$2:$BA$156,Hilfsgrössen!$D$2,FALSE)</f>
        <v>Satisfaction du personnel, motivation et engagement</v>
      </c>
    </row>
    <row r="10" ht="12.75" customHeight="1">
      <c r="B10" s="2"/>
    </row>
    <row r="11" ht="12.75" customHeight="1">
      <c r="B11" s="2"/>
    </row>
    <row r="12" spans="1:87" s="31" customFormat="1" ht="12.75" customHeight="1">
      <c r="A12" s="56" t="s">
        <v>807</v>
      </c>
      <c r="B12" s="480" t="str">
        <f>$C$7</f>
        <v>Fluctuation du personnel et départs</v>
      </c>
      <c r="C12" s="480"/>
      <c r="D12" s="6" t="str">
        <f>VLOOKUP(32,Textbausteine!$A$2:$E$67,Hilfsgrössen!$D$2,FALSE)</f>
        <v>Unité</v>
      </c>
      <c r="E12" s="39" t="str">
        <f>VLOOKUP(33,Textbausteine!$A$2:$E$67,Hilfsgrössen!$D$2,FALSE)</f>
        <v>Notes</v>
      </c>
      <c r="F12" s="39" t="str">
        <f>VLOOKUP(34,Textbausteine!$A$2:$E$67,Hilfsgrössen!$D$2,FALSE)</f>
        <v>GRI</v>
      </c>
      <c r="G12" s="47"/>
      <c r="H12" s="160">
        <v>2004</v>
      </c>
      <c r="I12" s="160">
        <v>2005</v>
      </c>
      <c r="J12" s="160">
        <v>2006</v>
      </c>
      <c r="K12" s="160">
        <v>2007</v>
      </c>
      <c r="L12" s="160">
        <v>2008</v>
      </c>
      <c r="M12" s="160">
        <v>2009</v>
      </c>
      <c r="N12" s="117">
        <v>2010</v>
      </c>
      <c r="O12" s="117">
        <v>2011</v>
      </c>
      <c r="P12" s="117">
        <v>2012</v>
      </c>
      <c r="Q12" s="117">
        <v>2013</v>
      </c>
      <c r="R12" s="117">
        <v>2014</v>
      </c>
      <c r="S12" s="117">
        <v>2015</v>
      </c>
      <c r="T12" s="117">
        <v>2016</v>
      </c>
      <c r="U12" s="117">
        <v>2017</v>
      </c>
      <c r="V12" s="117">
        <v>2018</v>
      </c>
      <c r="W12" s="245">
        <v>2019</v>
      </c>
      <c r="X12" s="7"/>
      <c r="Y12" s="7"/>
      <c r="Z12" s="7"/>
      <c r="AA12" s="7"/>
      <c r="AB12" s="7"/>
      <c r="AC12" s="7"/>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row>
    <row r="13" spans="1:87" s="31" customFormat="1" ht="12.75" customHeight="1">
      <c r="A13" s="90"/>
      <c r="B13" s="480"/>
      <c r="C13" s="480"/>
      <c r="D13" s="6"/>
      <c r="E13" s="40"/>
      <c r="F13" s="40"/>
      <c r="G13" s="48"/>
      <c r="H13" s="161"/>
      <c r="I13" s="161"/>
      <c r="J13" s="161"/>
      <c r="K13" s="161"/>
      <c r="L13" s="161"/>
      <c r="M13" s="161"/>
      <c r="N13" s="143"/>
      <c r="O13" s="143"/>
      <c r="P13" s="143"/>
      <c r="Q13" s="143"/>
      <c r="R13" s="143"/>
      <c r="S13" s="143"/>
      <c r="T13" s="119"/>
      <c r="U13" s="119"/>
      <c r="V13" s="119"/>
      <c r="W13" s="246"/>
      <c r="X13" s="129"/>
      <c r="Y13" s="122"/>
      <c r="Z13" s="122"/>
      <c r="AA13" s="122"/>
      <c r="AB13" s="122"/>
      <c r="AC13" s="122"/>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row>
    <row r="14" spans="2:29" ht="12.75" customHeight="1">
      <c r="B14" s="8"/>
      <c r="C14" s="9"/>
      <c r="D14" s="9"/>
      <c r="E14" s="40"/>
      <c r="F14" s="40"/>
      <c r="G14" s="48"/>
      <c r="W14" s="247"/>
      <c r="X14" s="12"/>
      <c r="Y14" s="13"/>
      <c r="Z14" s="13"/>
      <c r="AA14" s="13"/>
      <c r="AB14" s="13"/>
      <c r="AC14" s="13"/>
    </row>
    <row r="15" spans="2:23" ht="12.75" customHeight="1">
      <c r="B15" s="8" t="str">
        <f>VLOOKUP(37,Textbausteine!$A$2:$E$67,Hilfsgrössen!$D$2,FALSE)</f>
        <v>Groupe Suisse</v>
      </c>
      <c r="C15" s="8"/>
      <c r="D15" s="67"/>
      <c r="E15" s="12"/>
      <c r="F15" s="11"/>
      <c r="G15" s="49"/>
      <c r="W15" s="247"/>
    </row>
    <row r="16" spans="3:29" ht="12.75" customHeight="1">
      <c r="C16" s="18" t="str">
        <f>VLOOKUP(31,Textbausteine!$AW$2:$BA$156,Hilfsgrössen!$D$2,FALSE)</f>
        <v>Arrivées</v>
      </c>
      <c r="D16" s="18" t="str">
        <f>VLOOKUP(11,Textbausteine!$AW$2:$BA$156,Hilfsgrössen!$D$2,FALSE)</f>
        <v>Nombre de personnes à salaire mensuel</v>
      </c>
      <c r="E16" s="11" t="s">
        <v>1586</v>
      </c>
      <c r="F16" s="11" t="s">
        <v>734</v>
      </c>
      <c r="G16" s="49"/>
      <c r="H16" s="14">
        <v>1512</v>
      </c>
      <c r="I16" s="14">
        <v>2314</v>
      </c>
      <c r="J16" s="14">
        <v>1797</v>
      </c>
      <c r="K16" s="14">
        <v>2603</v>
      </c>
      <c r="L16" s="14">
        <v>4121</v>
      </c>
      <c r="M16" s="14">
        <v>2002</v>
      </c>
      <c r="N16" s="14">
        <v>2151</v>
      </c>
      <c r="O16" s="14">
        <v>2711</v>
      </c>
      <c r="P16" s="17">
        <v>2146</v>
      </c>
      <c r="Q16" s="17">
        <v>2432</v>
      </c>
      <c r="R16" s="359">
        <v>2319</v>
      </c>
      <c r="S16" s="359">
        <v>2404</v>
      </c>
      <c r="T16" s="14">
        <v>2220</v>
      </c>
      <c r="U16" s="14">
        <v>2155</v>
      </c>
      <c r="V16" s="14">
        <v>2916</v>
      </c>
      <c r="W16" s="360">
        <v>3324</v>
      </c>
      <c r="X16" s="14"/>
      <c r="Y16" s="17"/>
      <c r="Z16" s="17"/>
      <c r="AA16" s="17"/>
      <c r="AB16" s="17"/>
      <c r="AC16" s="17"/>
    </row>
    <row r="17" spans="3:29" ht="12.75" customHeight="1">
      <c r="C17" s="216" t="str">
        <f>VLOOKUP(32,Textbausteine!$AW$2:$BA$156,Hilfsgrössen!$D$2,FALSE)</f>
        <v>Femmes</v>
      </c>
      <c r="D17" s="217" t="str">
        <f>VLOOKUP(11,Textbausteine!$AW$2:$BA$156,Hilfsgrössen!$D$2,FALSE)</f>
        <v>Nombre de personnes à salaire mensuel</v>
      </c>
      <c r="E17" s="11" t="s">
        <v>1586</v>
      </c>
      <c r="F17" s="11" t="s">
        <v>734</v>
      </c>
      <c r="G17" s="49"/>
      <c r="H17" s="14">
        <v>812</v>
      </c>
      <c r="I17" s="14">
        <v>1049</v>
      </c>
      <c r="J17" s="14">
        <v>852</v>
      </c>
      <c r="K17" s="14">
        <v>1287</v>
      </c>
      <c r="L17" s="14">
        <v>1920</v>
      </c>
      <c r="M17" s="14">
        <v>850</v>
      </c>
      <c r="N17" s="14">
        <v>922</v>
      </c>
      <c r="O17" s="14">
        <v>1063</v>
      </c>
      <c r="P17" s="17">
        <v>861</v>
      </c>
      <c r="Q17" s="17">
        <v>917</v>
      </c>
      <c r="R17" s="359">
        <v>977</v>
      </c>
      <c r="S17" s="359">
        <v>1021</v>
      </c>
      <c r="T17" s="14">
        <v>921</v>
      </c>
      <c r="U17" s="14">
        <v>754</v>
      </c>
      <c r="V17" s="14">
        <v>1047</v>
      </c>
      <c r="W17" s="360">
        <v>1265</v>
      </c>
      <c r="X17" s="14"/>
      <c r="Y17" s="17"/>
      <c r="Z17" s="17"/>
      <c r="AA17" s="17"/>
      <c r="AB17" s="17"/>
      <c r="AC17" s="17"/>
    </row>
    <row r="18" spans="3:28" ht="12.75" customHeight="1">
      <c r="C18" s="218" t="str">
        <f>VLOOKUP(33,Textbausteine!$AW$2:$BA$156,Hilfsgrössen!$D$2,FALSE)</f>
        <v>20–29</v>
      </c>
      <c r="D18" s="217" t="str">
        <f>VLOOKUP(11,Textbausteine!$AW$2:$BA$156,Hilfsgrössen!$D$2,FALSE)</f>
        <v>Nombre de personnes à salaire mensuel</v>
      </c>
      <c r="E18" s="11" t="s">
        <v>1586</v>
      </c>
      <c r="F18" s="11" t="s">
        <v>734</v>
      </c>
      <c r="G18" s="49"/>
      <c r="H18" s="14">
        <v>235</v>
      </c>
      <c r="I18" s="14">
        <v>371</v>
      </c>
      <c r="J18" s="14">
        <v>262</v>
      </c>
      <c r="K18" s="14">
        <v>323</v>
      </c>
      <c r="L18" s="14">
        <v>616</v>
      </c>
      <c r="M18" s="14">
        <v>416</v>
      </c>
      <c r="N18" s="14">
        <v>404</v>
      </c>
      <c r="O18" s="14">
        <v>485</v>
      </c>
      <c r="P18" s="17">
        <v>396</v>
      </c>
      <c r="Q18" s="17">
        <v>415</v>
      </c>
      <c r="R18" s="359">
        <v>496</v>
      </c>
      <c r="S18" s="359">
        <v>475</v>
      </c>
      <c r="T18" s="361">
        <v>395</v>
      </c>
      <c r="U18" s="361">
        <v>320</v>
      </c>
      <c r="V18" s="361">
        <v>416</v>
      </c>
      <c r="W18" s="362">
        <v>452</v>
      </c>
      <c r="X18" s="14"/>
      <c r="Y18" s="14"/>
      <c r="Z18" s="14"/>
      <c r="AA18" s="14"/>
      <c r="AB18" s="14"/>
    </row>
    <row r="19" spans="3:29" ht="12.75" customHeight="1">
      <c r="C19" s="218" t="str">
        <f>VLOOKUP(34,Textbausteine!$AW$2:$BA$156,Hilfsgrössen!$D$2,FALSE)</f>
        <v>30-49</v>
      </c>
      <c r="D19" s="18" t="str">
        <f>VLOOKUP(11,Textbausteine!$AW$2:$BA$156,Hilfsgrössen!$D$2,FALSE)</f>
        <v>Nombre de personnes à salaire mensuel</v>
      </c>
      <c r="E19" s="11" t="s">
        <v>1586</v>
      </c>
      <c r="F19" s="11" t="s">
        <v>734</v>
      </c>
      <c r="G19" s="49"/>
      <c r="H19" s="14">
        <v>476</v>
      </c>
      <c r="I19" s="14">
        <v>563</v>
      </c>
      <c r="J19" s="14">
        <v>498</v>
      </c>
      <c r="K19" s="14">
        <v>700</v>
      </c>
      <c r="L19" s="14">
        <v>976</v>
      </c>
      <c r="M19" s="14">
        <v>367</v>
      </c>
      <c r="N19" s="14">
        <v>444</v>
      </c>
      <c r="O19" s="14">
        <v>512</v>
      </c>
      <c r="P19" s="17">
        <v>405</v>
      </c>
      <c r="Q19" s="17">
        <v>440</v>
      </c>
      <c r="R19" s="359">
        <v>399</v>
      </c>
      <c r="S19" s="359">
        <v>470</v>
      </c>
      <c r="T19" s="361">
        <v>444</v>
      </c>
      <c r="U19" s="361">
        <v>361</v>
      </c>
      <c r="V19" s="361">
        <v>516</v>
      </c>
      <c r="W19" s="362">
        <v>644</v>
      </c>
      <c r="X19" s="14"/>
      <c r="Y19" s="17"/>
      <c r="Z19" s="17"/>
      <c r="AA19" s="17"/>
      <c r="AB19" s="17"/>
      <c r="AC19" s="17"/>
    </row>
    <row r="20" spans="3:28" ht="12.75" customHeight="1">
      <c r="C20" s="219" t="str">
        <f>VLOOKUP(35,Textbausteine!$AW$2:$BA$156,Hilfsgrössen!$D$2,FALSE)</f>
        <v>50 ans et plus</v>
      </c>
      <c r="D20" s="18" t="str">
        <f>VLOOKUP(11,Textbausteine!$AW$2:$BA$156,Hilfsgrössen!$D$2,FALSE)</f>
        <v>Nombre de personnes à salaire mensuel</v>
      </c>
      <c r="E20" s="11" t="s">
        <v>1586</v>
      </c>
      <c r="F20" s="11" t="s">
        <v>734</v>
      </c>
      <c r="G20" s="49"/>
      <c r="H20" s="14">
        <v>101</v>
      </c>
      <c r="I20" s="14">
        <v>115</v>
      </c>
      <c r="J20" s="14">
        <v>92</v>
      </c>
      <c r="K20" s="14">
        <v>264</v>
      </c>
      <c r="L20" s="14">
        <v>328</v>
      </c>
      <c r="M20" s="14">
        <v>67</v>
      </c>
      <c r="N20" s="14">
        <v>74</v>
      </c>
      <c r="O20" s="14">
        <v>66</v>
      </c>
      <c r="P20" s="363">
        <v>60</v>
      </c>
      <c r="Q20" s="17">
        <v>62</v>
      </c>
      <c r="R20" s="359">
        <v>82</v>
      </c>
      <c r="S20" s="359">
        <v>76</v>
      </c>
      <c r="T20" s="14">
        <v>82</v>
      </c>
      <c r="U20" s="14">
        <v>73</v>
      </c>
      <c r="V20" s="14">
        <v>115</v>
      </c>
      <c r="W20" s="360">
        <v>169</v>
      </c>
      <c r="X20" s="14"/>
      <c r="Y20" s="17"/>
      <c r="Z20" s="17"/>
      <c r="AA20" s="17"/>
      <c r="AB20" s="17"/>
    </row>
    <row r="21" spans="3:29" ht="12.75" customHeight="1">
      <c r="C21" s="19" t="str">
        <f>VLOOKUP(36,Textbausteine!$AW$2:$BA$156,Hilfsgrössen!$D$2,FALSE)</f>
        <v>Hommes</v>
      </c>
      <c r="D21" s="18" t="str">
        <f>VLOOKUP(11,Textbausteine!$AW$2:$BA$156,Hilfsgrössen!$D$2,FALSE)</f>
        <v>Nombre de personnes à salaire mensuel</v>
      </c>
      <c r="E21" s="11" t="s">
        <v>1586</v>
      </c>
      <c r="F21" s="11" t="s">
        <v>734</v>
      </c>
      <c r="G21" s="49"/>
      <c r="H21" s="14">
        <v>700</v>
      </c>
      <c r="I21" s="14">
        <v>1265</v>
      </c>
      <c r="J21" s="14">
        <v>945</v>
      </c>
      <c r="K21" s="14">
        <v>1316</v>
      </c>
      <c r="L21" s="14">
        <v>2201</v>
      </c>
      <c r="M21" s="14">
        <v>1152</v>
      </c>
      <c r="N21" s="14">
        <v>1229</v>
      </c>
      <c r="O21" s="14">
        <v>1648</v>
      </c>
      <c r="P21" s="17">
        <v>1285</v>
      </c>
      <c r="Q21" s="17">
        <v>1515</v>
      </c>
      <c r="R21" s="359">
        <v>1342</v>
      </c>
      <c r="S21" s="359">
        <v>1383</v>
      </c>
      <c r="T21" s="17">
        <v>1299</v>
      </c>
      <c r="U21" s="17">
        <v>1401</v>
      </c>
      <c r="V21" s="17">
        <v>1869</v>
      </c>
      <c r="W21" s="364">
        <v>2059</v>
      </c>
      <c r="X21" s="14"/>
      <c r="Y21" s="17"/>
      <c r="Z21" s="17"/>
      <c r="AA21" s="17"/>
      <c r="AB21" s="17"/>
      <c r="AC21" s="17"/>
    </row>
    <row r="22" spans="3:29" ht="12.75" customHeight="1">
      <c r="C22" s="219" t="str">
        <f>VLOOKUP(37,Textbausteine!$AW$2:$BA$156,Hilfsgrössen!$D$2,FALSE)</f>
        <v>20–29</v>
      </c>
      <c r="D22" s="18" t="str">
        <f>VLOOKUP(11,Textbausteine!$AW$2:$BA$156,Hilfsgrössen!$D$2,FALSE)</f>
        <v>Nombre de personnes à salaire mensuel</v>
      </c>
      <c r="E22" s="11" t="s">
        <v>1586</v>
      </c>
      <c r="F22" s="11" t="s">
        <v>734</v>
      </c>
      <c r="G22" s="49"/>
      <c r="H22" s="14">
        <v>261</v>
      </c>
      <c r="I22" s="14">
        <v>340</v>
      </c>
      <c r="J22" s="14">
        <v>306</v>
      </c>
      <c r="K22" s="14">
        <v>399</v>
      </c>
      <c r="L22" s="14">
        <v>760</v>
      </c>
      <c r="M22" s="14">
        <v>437</v>
      </c>
      <c r="N22" s="14">
        <v>512</v>
      </c>
      <c r="O22" s="14">
        <v>655</v>
      </c>
      <c r="P22" s="17">
        <v>563</v>
      </c>
      <c r="Q22" s="17">
        <v>635</v>
      </c>
      <c r="R22" s="17">
        <v>543</v>
      </c>
      <c r="S22" s="359">
        <v>564</v>
      </c>
      <c r="T22" s="17">
        <v>551</v>
      </c>
      <c r="U22" s="17">
        <v>577</v>
      </c>
      <c r="V22" s="17">
        <v>768</v>
      </c>
      <c r="W22" s="364">
        <v>801</v>
      </c>
      <c r="X22" s="13"/>
      <c r="AC22" s="17"/>
    </row>
    <row r="23" spans="3:23" ht="12.75" customHeight="1">
      <c r="C23" s="220" t="str">
        <f>VLOOKUP(38,Textbausteine!$AW$2:$BA$156,Hilfsgrössen!$D$2,FALSE)</f>
        <v>30-49</v>
      </c>
      <c r="D23" s="67" t="str">
        <f>VLOOKUP(11,Textbausteine!$AW$2:$BA$156,Hilfsgrössen!$D$2,FALSE)</f>
        <v>Nombre de personnes à salaire mensuel</v>
      </c>
      <c r="E23" s="11" t="s">
        <v>1586</v>
      </c>
      <c r="F23" s="11" t="s">
        <v>734</v>
      </c>
      <c r="G23" s="49"/>
      <c r="H23" s="74">
        <v>341</v>
      </c>
      <c r="I23" s="74">
        <v>709</v>
      </c>
      <c r="J23" s="74">
        <v>546</v>
      </c>
      <c r="K23" s="74">
        <v>702</v>
      </c>
      <c r="L23" s="74">
        <v>1132</v>
      </c>
      <c r="M23" s="74">
        <v>593</v>
      </c>
      <c r="N23" s="17">
        <v>592</v>
      </c>
      <c r="O23" s="17">
        <v>804</v>
      </c>
      <c r="P23" s="17">
        <v>607</v>
      </c>
      <c r="Q23" s="17">
        <v>712</v>
      </c>
      <c r="R23" s="17">
        <v>634</v>
      </c>
      <c r="S23" s="17">
        <v>666</v>
      </c>
      <c r="T23" s="17">
        <v>602</v>
      </c>
      <c r="U23" s="17">
        <v>660</v>
      </c>
      <c r="V23" s="17">
        <v>860</v>
      </c>
      <c r="W23" s="364">
        <v>972</v>
      </c>
    </row>
    <row r="24" spans="3:23" ht="12.75" customHeight="1">
      <c r="C24" s="220" t="str">
        <f>VLOOKUP(39,Textbausteine!$AW$2:$BA$156,Hilfsgrössen!$D$2,FALSE)</f>
        <v>50 ans et plus</v>
      </c>
      <c r="D24" s="67" t="str">
        <f>VLOOKUP(11,Textbausteine!$AW$2:$BA$156,Hilfsgrössen!$D$2,FALSE)</f>
        <v>Nombre de personnes à salaire mensuel</v>
      </c>
      <c r="E24" s="11" t="s">
        <v>1586</v>
      </c>
      <c r="F24" s="11" t="s">
        <v>734</v>
      </c>
      <c r="G24" s="49"/>
      <c r="H24" s="74">
        <v>98</v>
      </c>
      <c r="I24" s="74">
        <v>216</v>
      </c>
      <c r="J24" s="74">
        <v>93</v>
      </c>
      <c r="K24" s="74">
        <v>215</v>
      </c>
      <c r="L24" s="74">
        <v>309</v>
      </c>
      <c r="M24" s="74">
        <v>122</v>
      </c>
      <c r="N24" s="17">
        <v>125</v>
      </c>
      <c r="O24" s="17">
        <v>189</v>
      </c>
      <c r="P24" s="17">
        <v>115</v>
      </c>
      <c r="Q24" s="17">
        <v>168</v>
      </c>
      <c r="R24" s="17">
        <v>165</v>
      </c>
      <c r="S24" s="17">
        <v>153</v>
      </c>
      <c r="T24" s="17">
        <v>146</v>
      </c>
      <c r="U24" s="17">
        <v>164</v>
      </c>
      <c r="V24" s="17">
        <v>241</v>
      </c>
      <c r="W24" s="364">
        <v>286</v>
      </c>
    </row>
    <row r="25" spans="3:23" ht="12.75" customHeight="1">
      <c r="C25" s="18"/>
      <c r="D25" s="67"/>
      <c r="E25" s="11"/>
      <c r="F25" s="11"/>
      <c r="G25" s="49"/>
      <c r="H25" s="332"/>
      <c r="I25" s="332"/>
      <c r="J25" s="332"/>
      <c r="K25" s="332"/>
      <c r="L25" s="332"/>
      <c r="M25" s="332"/>
      <c r="N25" s="17"/>
      <c r="O25" s="17"/>
      <c r="P25" s="17"/>
      <c r="Q25" s="17"/>
      <c r="R25" s="17"/>
      <c r="S25" s="17"/>
      <c r="T25" s="17"/>
      <c r="U25" s="17"/>
      <c r="V25" s="17"/>
      <c r="W25" s="364"/>
    </row>
    <row r="26" spans="3:23" ht="12.75" customHeight="1">
      <c r="C26" s="10" t="str">
        <f>VLOOKUP(40,Textbausteine!$AW$2:$BA$156,Hilfsgrössen!$D$2,FALSE)</f>
        <v>Départs de collaborateurs</v>
      </c>
      <c r="D26" s="67" t="str">
        <f>VLOOKUP(11,Textbausteine!$AW$2:$BA$156,Hilfsgrössen!$D$2,FALSE)</f>
        <v>Nombre de personnes à salaire mensuel</v>
      </c>
      <c r="E26" s="11" t="s">
        <v>716</v>
      </c>
      <c r="F26" s="11" t="s">
        <v>734</v>
      </c>
      <c r="G26" s="49"/>
      <c r="H26" s="365">
        <v>4628</v>
      </c>
      <c r="I26" s="365">
        <v>3643</v>
      </c>
      <c r="J26" s="365">
        <v>3954</v>
      </c>
      <c r="K26" s="365">
        <v>4261</v>
      </c>
      <c r="L26" s="365">
        <v>4823</v>
      </c>
      <c r="M26" s="365">
        <v>3605</v>
      </c>
      <c r="N26" s="17">
        <v>3368</v>
      </c>
      <c r="O26" s="17">
        <v>3648</v>
      </c>
      <c r="P26" s="17">
        <v>3557</v>
      </c>
      <c r="Q26" s="17">
        <v>3789</v>
      </c>
      <c r="R26" s="17">
        <v>3514</v>
      </c>
      <c r="S26" s="17">
        <v>3564</v>
      </c>
      <c r="T26" s="17">
        <v>3412</v>
      </c>
      <c r="U26" s="17">
        <v>3905</v>
      </c>
      <c r="V26" s="17">
        <v>4276</v>
      </c>
      <c r="W26" s="364">
        <v>4130</v>
      </c>
    </row>
    <row r="27" spans="3:23" ht="12.75" customHeight="1">
      <c r="C27" s="77" t="str">
        <f>VLOOKUP(41,Textbausteine!$AW$2:$BA$156,Hilfsgrössen!$D$2,FALSE)</f>
        <v>Retraites</v>
      </c>
      <c r="D27" s="67" t="str">
        <f>VLOOKUP(11,Textbausteine!$AW$2:$BA$156,Hilfsgrössen!$D$2,FALSE)</f>
        <v>Nombre de personnes à salaire mensuel</v>
      </c>
      <c r="E27" s="11" t="s">
        <v>716</v>
      </c>
      <c r="F27" s="11" t="s">
        <v>734</v>
      </c>
      <c r="G27" s="49"/>
      <c r="H27" s="365">
        <v>1136</v>
      </c>
      <c r="I27" s="365">
        <v>876</v>
      </c>
      <c r="J27" s="365">
        <v>1471</v>
      </c>
      <c r="K27" s="365">
        <v>892</v>
      </c>
      <c r="L27" s="365">
        <v>1007</v>
      </c>
      <c r="M27" s="365">
        <v>838</v>
      </c>
      <c r="N27" s="17">
        <v>793</v>
      </c>
      <c r="O27" s="17">
        <v>1055</v>
      </c>
      <c r="P27" s="17">
        <v>918</v>
      </c>
      <c r="Q27" s="17">
        <v>1216</v>
      </c>
      <c r="R27" s="17">
        <v>900</v>
      </c>
      <c r="S27" s="17">
        <v>1099</v>
      </c>
      <c r="T27" s="17">
        <v>800</v>
      </c>
      <c r="U27" s="17">
        <v>1171</v>
      </c>
      <c r="V27" s="17">
        <v>1056</v>
      </c>
      <c r="W27" s="364">
        <v>1065</v>
      </c>
    </row>
    <row r="28" spans="1:87" s="9" customFormat="1" ht="12.75" customHeight="1">
      <c r="A28" s="147"/>
      <c r="C28" s="19" t="str">
        <f>VLOOKUP(42,Textbausteine!$AW$2:$BA$156,Hilfsgrössen!$D$2,FALSE)</f>
        <v>Contrats arrivant à échéance</v>
      </c>
      <c r="D28" s="67" t="str">
        <f>VLOOKUP(11,Textbausteine!$AW$2:$BA$156,Hilfsgrössen!$D$2,FALSE)</f>
        <v>Nombre de personnes à salaire mensuel</v>
      </c>
      <c r="E28" s="11" t="s">
        <v>716</v>
      </c>
      <c r="F28" s="11" t="s">
        <v>734</v>
      </c>
      <c r="G28" s="49"/>
      <c r="H28" s="365">
        <v>233</v>
      </c>
      <c r="I28" s="365">
        <v>218</v>
      </c>
      <c r="J28" s="365">
        <v>217</v>
      </c>
      <c r="K28" s="365">
        <v>197</v>
      </c>
      <c r="L28" s="365">
        <v>265</v>
      </c>
      <c r="M28" s="365">
        <v>414</v>
      </c>
      <c r="N28" s="17">
        <v>325</v>
      </c>
      <c r="O28" s="17">
        <v>237</v>
      </c>
      <c r="P28" s="17">
        <v>232</v>
      </c>
      <c r="Q28" s="17">
        <v>255</v>
      </c>
      <c r="R28" s="17">
        <v>249</v>
      </c>
      <c r="S28" s="17">
        <v>243</v>
      </c>
      <c r="T28" s="17">
        <v>247</v>
      </c>
      <c r="U28" s="17">
        <v>35</v>
      </c>
      <c r="V28" s="17">
        <v>294</v>
      </c>
      <c r="W28" s="364">
        <v>449</v>
      </c>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row>
    <row r="29" spans="1:87" s="9" customFormat="1" ht="12.75" customHeight="1">
      <c r="A29" s="147"/>
      <c r="C29" s="77" t="str">
        <f>VLOOKUP(43,Textbausteine!$AW$2:$BA$156,Hilfsgrössen!$D$2,FALSE)</f>
        <v>Départs négociés</v>
      </c>
      <c r="D29" s="67" t="str">
        <f>VLOOKUP(11,Textbausteine!$AW$2:$BA$156,Hilfsgrössen!$D$2,FALSE)</f>
        <v>Nombre de personnes à salaire mensuel</v>
      </c>
      <c r="E29" s="11" t="s">
        <v>716</v>
      </c>
      <c r="F29" s="11" t="s">
        <v>734</v>
      </c>
      <c r="G29" s="49"/>
      <c r="H29" s="365">
        <v>724</v>
      </c>
      <c r="I29" s="365">
        <v>324</v>
      </c>
      <c r="J29" s="365">
        <v>266</v>
      </c>
      <c r="K29" s="365">
        <v>797</v>
      </c>
      <c r="L29" s="365">
        <v>975</v>
      </c>
      <c r="M29" s="365">
        <v>645</v>
      </c>
      <c r="N29" s="17">
        <v>439</v>
      </c>
      <c r="O29" s="17">
        <v>349</v>
      </c>
      <c r="P29" s="17">
        <v>271</v>
      </c>
      <c r="Q29" s="17">
        <v>298</v>
      </c>
      <c r="R29" s="17">
        <v>240</v>
      </c>
      <c r="S29" s="17">
        <v>364</v>
      </c>
      <c r="T29" s="17">
        <v>313</v>
      </c>
      <c r="U29" s="17">
        <v>314</v>
      </c>
      <c r="V29" s="17">
        <v>317</v>
      </c>
      <c r="W29" s="364">
        <v>201</v>
      </c>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row>
    <row r="30" spans="3:23" ht="12.75" customHeight="1">
      <c r="C30" s="77" t="str">
        <f>VLOOKUP(44,Textbausteine!$AW$2:$BA$156,Hilfsgrössen!$D$2,FALSE)</f>
        <v>Licenciements par l'employeur</v>
      </c>
      <c r="D30" s="67" t="str">
        <f>VLOOKUP(11,Textbausteine!$AW$2:$BA$156,Hilfsgrössen!$D$2,FALSE)</f>
        <v>Nombre de personnes à salaire mensuel</v>
      </c>
      <c r="E30" s="11" t="s">
        <v>716</v>
      </c>
      <c r="F30" s="11" t="s">
        <v>734</v>
      </c>
      <c r="G30" s="49"/>
      <c r="H30" s="365">
        <v>597</v>
      </c>
      <c r="I30" s="365">
        <v>470</v>
      </c>
      <c r="J30" s="365">
        <v>299</v>
      </c>
      <c r="K30" s="365">
        <v>273</v>
      </c>
      <c r="L30" s="365">
        <v>235</v>
      </c>
      <c r="M30" s="365">
        <v>263</v>
      </c>
      <c r="N30" s="17">
        <v>293</v>
      </c>
      <c r="O30" s="17">
        <v>289</v>
      </c>
      <c r="P30" s="17">
        <v>538</v>
      </c>
      <c r="Q30" s="17">
        <v>414</v>
      </c>
      <c r="R30" s="17">
        <v>441</v>
      </c>
      <c r="S30" s="17">
        <v>315</v>
      </c>
      <c r="T30" s="17">
        <v>404</v>
      </c>
      <c r="U30" s="17">
        <v>484</v>
      </c>
      <c r="V30" s="17">
        <v>503</v>
      </c>
      <c r="W30" s="364">
        <v>496</v>
      </c>
    </row>
    <row r="31" spans="3:23" ht="12.75" customHeight="1">
      <c r="C31" s="220" t="str">
        <f>VLOOKUP(45,Textbausteine!$AW$2:$BA$156,Hilfsgrössen!$D$2,FALSE)</f>
        <v>pour raisons économiques</v>
      </c>
      <c r="D31" s="67" t="str">
        <f>VLOOKUP(11,Textbausteine!$AW$2:$BA$156,Hilfsgrössen!$D$2,FALSE)</f>
        <v>Nombre de personnes à salaire mensuel</v>
      </c>
      <c r="E31" s="11" t="s">
        <v>716</v>
      </c>
      <c r="F31" s="11" t="s">
        <v>734</v>
      </c>
      <c r="G31" s="49"/>
      <c r="H31" s="365">
        <v>173</v>
      </c>
      <c r="I31" s="365">
        <v>172</v>
      </c>
      <c r="J31" s="365">
        <v>86</v>
      </c>
      <c r="K31" s="365">
        <v>110</v>
      </c>
      <c r="L31" s="365">
        <v>97</v>
      </c>
      <c r="M31" s="365">
        <v>99</v>
      </c>
      <c r="N31" s="17">
        <v>116</v>
      </c>
      <c r="O31" s="17">
        <v>95</v>
      </c>
      <c r="P31" s="17">
        <v>315</v>
      </c>
      <c r="Q31" s="17">
        <v>180</v>
      </c>
      <c r="R31" s="17">
        <v>168</v>
      </c>
      <c r="S31" s="17">
        <v>78</v>
      </c>
      <c r="T31" s="17">
        <v>84</v>
      </c>
      <c r="U31" s="17">
        <v>161</v>
      </c>
      <c r="V31" s="17">
        <v>152</v>
      </c>
      <c r="W31" s="364">
        <v>105</v>
      </c>
    </row>
    <row r="32" spans="3:23" ht="12.75" customHeight="1">
      <c r="C32" s="220" t="str">
        <f>VLOOKUP(46,Textbausteine!$AW$2:$BA$156,Hilfsgrössen!$D$2,FALSE)</f>
        <v>pour raisons personnelles</v>
      </c>
      <c r="D32" s="67" t="str">
        <f>VLOOKUP(11,Textbausteine!$AW$2:$BA$156,Hilfsgrössen!$D$2,FALSE)</f>
        <v>Nombre de personnes à salaire mensuel</v>
      </c>
      <c r="E32" s="11" t="s">
        <v>716</v>
      </c>
      <c r="F32" s="13" t="s">
        <v>734</v>
      </c>
      <c r="G32" s="50"/>
      <c r="H32" s="365">
        <v>424</v>
      </c>
      <c r="I32" s="365">
        <v>298</v>
      </c>
      <c r="J32" s="365">
        <v>213</v>
      </c>
      <c r="K32" s="365">
        <v>163</v>
      </c>
      <c r="L32" s="365">
        <v>138</v>
      </c>
      <c r="M32" s="365">
        <v>164</v>
      </c>
      <c r="N32" s="17">
        <v>177</v>
      </c>
      <c r="O32" s="17">
        <v>194</v>
      </c>
      <c r="P32" s="17">
        <v>223</v>
      </c>
      <c r="Q32" s="17">
        <v>234</v>
      </c>
      <c r="R32" s="17">
        <v>269</v>
      </c>
      <c r="S32" s="17">
        <v>237</v>
      </c>
      <c r="T32" s="17">
        <v>320</v>
      </c>
      <c r="U32" s="17">
        <v>323</v>
      </c>
      <c r="V32" s="17">
        <v>351</v>
      </c>
      <c r="W32" s="364">
        <v>391</v>
      </c>
    </row>
    <row r="33" spans="3:23" ht="12.75" customHeight="1">
      <c r="C33" s="77" t="str">
        <f>VLOOKUP(47,Textbausteine!$AW$2:$BA$156,Hilfsgrössen!$D$2,FALSE)</f>
        <v>Décès</v>
      </c>
      <c r="D33" s="67" t="str">
        <f>VLOOKUP(11,Textbausteine!$AW$2:$BA$156,Hilfsgrössen!$D$2,FALSE)</f>
        <v>Nombre de personnes à salaire mensuel</v>
      </c>
      <c r="E33" s="11" t="s">
        <v>716</v>
      </c>
      <c r="F33" s="11" t="s">
        <v>734</v>
      </c>
      <c r="G33" s="49"/>
      <c r="H33" s="365">
        <v>54</v>
      </c>
      <c r="I33" s="365">
        <v>52</v>
      </c>
      <c r="J33" s="365">
        <v>71</v>
      </c>
      <c r="K33" s="365">
        <v>57</v>
      </c>
      <c r="L33" s="365">
        <v>52</v>
      </c>
      <c r="M33" s="365">
        <v>69</v>
      </c>
      <c r="N33" s="17">
        <v>42</v>
      </c>
      <c r="O33" s="17">
        <v>48</v>
      </c>
      <c r="P33" s="17">
        <v>50</v>
      </c>
      <c r="Q33" s="17">
        <v>39</v>
      </c>
      <c r="R33" s="17">
        <v>60</v>
      </c>
      <c r="S33" s="17">
        <v>41</v>
      </c>
      <c r="T33" s="17">
        <v>39</v>
      </c>
      <c r="U33" s="17">
        <v>45</v>
      </c>
      <c r="V33" s="17">
        <v>46</v>
      </c>
      <c r="W33" s="364">
        <v>32</v>
      </c>
    </row>
    <row r="34" spans="3:23" ht="12.75" customHeight="1">
      <c r="C34" s="19" t="str">
        <f>VLOOKUP(48,Textbausteine!$AW$2:$BA$156,Hilfsgrössen!$D$2,FALSE)</f>
        <v>Départs volontaires</v>
      </c>
      <c r="D34" s="67" t="str">
        <f>VLOOKUP(11,Textbausteine!$AW$2:$BA$156,Hilfsgrössen!$D$2,FALSE)</f>
        <v>Nombre de personnes à salaire mensuel</v>
      </c>
      <c r="E34" s="11" t="s">
        <v>716</v>
      </c>
      <c r="F34" s="11" t="s">
        <v>734</v>
      </c>
      <c r="G34" s="49"/>
      <c r="H34" s="74">
        <v>1884</v>
      </c>
      <c r="I34" s="74">
        <v>1703</v>
      </c>
      <c r="J34" s="74">
        <v>1630</v>
      </c>
      <c r="K34" s="74">
        <v>2045</v>
      </c>
      <c r="L34" s="74">
        <v>2289</v>
      </c>
      <c r="M34" s="74">
        <v>1376</v>
      </c>
      <c r="N34" s="17">
        <v>1476</v>
      </c>
      <c r="O34" s="17">
        <v>1670</v>
      </c>
      <c r="P34" s="17">
        <v>1548</v>
      </c>
      <c r="Q34" s="17">
        <v>1567</v>
      </c>
      <c r="R34" s="17">
        <v>1628</v>
      </c>
      <c r="S34" s="17">
        <v>1502</v>
      </c>
      <c r="T34" s="17">
        <v>1609</v>
      </c>
      <c r="U34" s="17">
        <v>1856</v>
      </c>
      <c r="V34" s="17">
        <v>2060</v>
      </c>
      <c r="W34" s="364">
        <v>1887</v>
      </c>
    </row>
    <row r="35" spans="3:23" ht="12.75" customHeight="1">
      <c r="C35" s="220" t="str">
        <f>VLOOKUP(49,Textbausteine!$AW$2:$BA$156,Hilfsgrössen!$D$2,FALSE)</f>
        <v>Femmes</v>
      </c>
      <c r="D35" s="67" t="str">
        <f>VLOOKUP(11,Textbausteine!$AW$2:$BA$156,Hilfsgrössen!$D$2,FALSE)</f>
        <v>Nombre de personnes à salaire mensuel</v>
      </c>
      <c r="E35" s="11" t="s">
        <v>716</v>
      </c>
      <c r="F35" s="11" t="s">
        <v>734</v>
      </c>
      <c r="G35" s="49"/>
      <c r="H35" s="74">
        <v>1130</v>
      </c>
      <c r="I35" s="74">
        <v>999</v>
      </c>
      <c r="J35" s="74">
        <v>944</v>
      </c>
      <c r="K35" s="74">
        <v>1166</v>
      </c>
      <c r="L35" s="74">
        <v>1296</v>
      </c>
      <c r="M35" s="74">
        <v>804</v>
      </c>
      <c r="N35" s="17">
        <v>774</v>
      </c>
      <c r="O35" s="17">
        <v>901</v>
      </c>
      <c r="P35" s="17">
        <v>798</v>
      </c>
      <c r="Q35" s="17">
        <v>804</v>
      </c>
      <c r="R35" s="17">
        <v>880</v>
      </c>
      <c r="S35" s="17">
        <v>815</v>
      </c>
      <c r="T35" s="17">
        <v>841</v>
      </c>
      <c r="U35" s="17">
        <v>992</v>
      </c>
      <c r="V35" s="17">
        <v>1016</v>
      </c>
      <c r="W35" s="364">
        <v>860</v>
      </c>
    </row>
    <row r="36" spans="3:23" ht="12.75" customHeight="1">
      <c r="C36" s="221" t="str">
        <f>VLOOKUP(50,Textbausteine!$AW$2:$BA$156,Hilfsgrössen!$D$2,FALSE)</f>
        <v>20–29</v>
      </c>
      <c r="D36" s="67" t="str">
        <f>VLOOKUP(11,Textbausteine!$AW$2:$BA$156,Hilfsgrössen!$D$2,FALSE)</f>
        <v>Nombre de personnes à salaire mensuel</v>
      </c>
      <c r="E36" s="11" t="s">
        <v>716</v>
      </c>
      <c r="F36" s="13" t="s">
        <v>734</v>
      </c>
      <c r="G36" s="50"/>
      <c r="H36" s="74">
        <v>261</v>
      </c>
      <c r="I36" s="74">
        <v>199</v>
      </c>
      <c r="J36" s="74">
        <v>205</v>
      </c>
      <c r="K36" s="74">
        <v>262</v>
      </c>
      <c r="L36" s="74">
        <v>267</v>
      </c>
      <c r="M36" s="74">
        <v>174</v>
      </c>
      <c r="N36" s="17">
        <v>204</v>
      </c>
      <c r="O36" s="17">
        <v>275</v>
      </c>
      <c r="P36" s="17">
        <v>240</v>
      </c>
      <c r="Q36" s="17">
        <v>279</v>
      </c>
      <c r="R36" s="17">
        <v>311</v>
      </c>
      <c r="S36" s="17">
        <v>280</v>
      </c>
      <c r="T36" s="17">
        <v>297</v>
      </c>
      <c r="U36" s="17">
        <v>356</v>
      </c>
      <c r="V36" s="17">
        <v>313</v>
      </c>
      <c r="W36" s="364">
        <v>271</v>
      </c>
    </row>
    <row r="37" spans="3:23" ht="12.75" customHeight="1">
      <c r="C37" s="221" t="str">
        <f>VLOOKUP(51,Textbausteine!$AW$2:$BA$156,Hilfsgrössen!$D$2,FALSE)</f>
        <v>30-49</v>
      </c>
      <c r="D37" s="67" t="str">
        <f>VLOOKUP(11,Textbausteine!$AW$2:$BA$156,Hilfsgrössen!$D$2,FALSE)</f>
        <v>Nombre de personnes à salaire mensuel</v>
      </c>
      <c r="E37" s="11" t="s">
        <v>716</v>
      </c>
      <c r="F37" s="13" t="s">
        <v>734</v>
      </c>
      <c r="G37" s="50"/>
      <c r="H37" s="74">
        <v>689</v>
      </c>
      <c r="I37" s="74">
        <v>613</v>
      </c>
      <c r="J37" s="74">
        <v>577</v>
      </c>
      <c r="K37" s="74">
        <v>698</v>
      </c>
      <c r="L37" s="74">
        <v>774</v>
      </c>
      <c r="M37" s="74">
        <v>475</v>
      </c>
      <c r="N37" s="17">
        <v>419</v>
      </c>
      <c r="O37" s="17">
        <v>488</v>
      </c>
      <c r="P37" s="17">
        <v>426</v>
      </c>
      <c r="Q37" s="17">
        <v>395</v>
      </c>
      <c r="R37" s="17">
        <v>442</v>
      </c>
      <c r="S37" s="17">
        <v>403</v>
      </c>
      <c r="T37" s="17">
        <v>417</v>
      </c>
      <c r="U37" s="17">
        <v>487</v>
      </c>
      <c r="V37" s="17">
        <v>531</v>
      </c>
      <c r="W37" s="364">
        <v>433</v>
      </c>
    </row>
    <row r="38" spans="3:23" ht="12.75" customHeight="1">
      <c r="C38" s="221" t="str">
        <f>VLOOKUP(52,Textbausteine!$AW$2:$BA$156,Hilfsgrössen!$D$2,FALSE)</f>
        <v>50 ans et plus</v>
      </c>
      <c r="D38" s="67" t="str">
        <f>VLOOKUP(11,Textbausteine!$AW$2:$BA$156,Hilfsgrössen!$D$2,FALSE)</f>
        <v>Nombre de personnes à salaire mensuel</v>
      </c>
      <c r="E38" s="11" t="s">
        <v>716</v>
      </c>
      <c r="F38" s="11" t="s">
        <v>734</v>
      </c>
      <c r="G38" s="49"/>
      <c r="H38" s="74">
        <v>180</v>
      </c>
      <c r="I38" s="74">
        <v>187</v>
      </c>
      <c r="J38" s="74">
        <v>162</v>
      </c>
      <c r="K38" s="74">
        <v>206</v>
      </c>
      <c r="L38" s="74">
        <v>255</v>
      </c>
      <c r="M38" s="74">
        <v>155</v>
      </c>
      <c r="N38" s="17">
        <v>151</v>
      </c>
      <c r="O38" s="17">
        <v>138</v>
      </c>
      <c r="P38" s="17">
        <v>132</v>
      </c>
      <c r="Q38" s="17">
        <v>130</v>
      </c>
      <c r="R38" s="17">
        <v>127</v>
      </c>
      <c r="S38" s="17">
        <v>132</v>
      </c>
      <c r="T38" s="17">
        <v>127</v>
      </c>
      <c r="U38" s="17">
        <v>149</v>
      </c>
      <c r="V38" s="17">
        <v>172</v>
      </c>
      <c r="W38" s="364">
        <v>156</v>
      </c>
    </row>
    <row r="39" spans="3:23" ht="12.75" customHeight="1">
      <c r="C39" s="220" t="str">
        <f>VLOOKUP(53,Textbausteine!$AW$2:$BA$156,Hilfsgrössen!$D$2,FALSE)</f>
        <v>Hommes</v>
      </c>
      <c r="D39" s="67" t="str">
        <f>VLOOKUP(11,Textbausteine!$AW$2:$BA$156,Hilfsgrössen!$D$2,FALSE)</f>
        <v>Nombre de personnes à salaire mensuel</v>
      </c>
      <c r="E39" s="11" t="s">
        <v>716</v>
      </c>
      <c r="F39" s="11" t="s">
        <v>734</v>
      </c>
      <c r="G39" s="49"/>
      <c r="H39" s="74">
        <v>754</v>
      </c>
      <c r="I39" s="74">
        <v>704</v>
      </c>
      <c r="J39" s="74">
        <v>686</v>
      </c>
      <c r="K39" s="74">
        <v>879</v>
      </c>
      <c r="L39" s="74">
        <v>993</v>
      </c>
      <c r="M39" s="74">
        <v>572</v>
      </c>
      <c r="N39" s="17">
        <v>702</v>
      </c>
      <c r="O39" s="17">
        <v>769</v>
      </c>
      <c r="P39" s="17">
        <v>750</v>
      </c>
      <c r="Q39" s="17">
        <v>763</v>
      </c>
      <c r="R39" s="17">
        <v>748</v>
      </c>
      <c r="S39" s="17">
        <v>687</v>
      </c>
      <c r="T39" s="17">
        <v>768</v>
      </c>
      <c r="U39" s="17">
        <v>864</v>
      </c>
      <c r="V39" s="17">
        <v>1044</v>
      </c>
      <c r="W39" s="364">
        <v>1027</v>
      </c>
    </row>
    <row r="40" spans="3:23" ht="12.75" customHeight="1">
      <c r="C40" s="221" t="str">
        <f>VLOOKUP(54,Textbausteine!$AW$2:$BA$156,Hilfsgrössen!$D$2,FALSE)</f>
        <v>20–29</v>
      </c>
      <c r="D40" s="67" t="str">
        <f>VLOOKUP(11,Textbausteine!$AW$2:$BA$156,Hilfsgrössen!$D$2,FALSE)</f>
        <v>Nombre de personnes à salaire mensuel</v>
      </c>
      <c r="E40" s="11" t="s">
        <v>716</v>
      </c>
      <c r="F40" s="13" t="s">
        <v>734</v>
      </c>
      <c r="G40" s="50"/>
      <c r="H40" s="74">
        <v>246</v>
      </c>
      <c r="I40" s="74">
        <v>178</v>
      </c>
      <c r="J40" s="74">
        <v>177</v>
      </c>
      <c r="K40" s="74">
        <v>241</v>
      </c>
      <c r="L40" s="74">
        <v>257</v>
      </c>
      <c r="M40" s="74">
        <v>170</v>
      </c>
      <c r="N40" s="17">
        <v>199</v>
      </c>
      <c r="O40" s="17">
        <v>254</v>
      </c>
      <c r="P40" s="17">
        <v>230</v>
      </c>
      <c r="Q40" s="17">
        <v>270</v>
      </c>
      <c r="R40" s="17">
        <v>291</v>
      </c>
      <c r="S40" s="17">
        <v>232</v>
      </c>
      <c r="T40" s="17">
        <v>287</v>
      </c>
      <c r="U40" s="17">
        <v>282</v>
      </c>
      <c r="V40" s="17">
        <v>338</v>
      </c>
      <c r="W40" s="364">
        <v>355</v>
      </c>
    </row>
    <row r="41" spans="3:23" ht="12.75" customHeight="1">
      <c r="C41" s="221" t="str">
        <f>VLOOKUP(55,Textbausteine!$AW$2:$BA$156,Hilfsgrössen!$D$2,FALSE)</f>
        <v>30-49</v>
      </c>
      <c r="D41" s="67" t="str">
        <f>VLOOKUP(11,Textbausteine!$AW$2:$BA$156,Hilfsgrössen!$D$2,FALSE)</f>
        <v>Nombre de personnes à salaire mensuel</v>
      </c>
      <c r="E41" s="11" t="s">
        <v>716</v>
      </c>
      <c r="F41" s="13" t="s">
        <v>734</v>
      </c>
      <c r="G41" s="50"/>
      <c r="H41" s="74">
        <v>441</v>
      </c>
      <c r="I41" s="74">
        <v>454</v>
      </c>
      <c r="J41" s="74">
        <v>437</v>
      </c>
      <c r="K41" s="74">
        <v>561</v>
      </c>
      <c r="L41" s="74">
        <v>643</v>
      </c>
      <c r="M41" s="74">
        <v>331</v>
      </c>
      <c r="N41" s="17">
        <v>419</v>
      </c>
      <c r="O41" s="17">
        <v>451</v>
      </c>
      <c r="P41" s="17">
        <v>440</v>
      </c>
      <c r="Q41" s="17">
        <v>426</v>
      </c>
      <c r="R41" s="17">
        <v>381</v>
      </c>
      <c r="S41" s="17">
        <v>377</v>
      </c>
      <c r="T41" s="17">
        <v>389</v>
      </c>
      <c r="U41" s="17">
        <v>463</v>
      </c>
      <c r="V41" s="17">
        <v>588</v>
      </c>
      <c r="W41" s="364">
        <v>537</v>
      </c>
    </row>
    <row r="42" spans="3:23" ht="12.75" customHeight="1">
      <c r="C42" s="221" t="str">
        <f>VLOOKUP(56,Textbausteine!$AW$2:$BA$156,Hilfsgrössen!$D$2,FALSE)</f>
        <v>50 ans et plus</v>
      </c>
      <c r="D42" s="67" t="str">
        <f>VLOOKUP(11,Textbausteine!$AW$2:$BA$156,Hilfsgrössen!$D$2,FALSE)</f>
        <v>Nombre de personnes à salaire mensuel</v>
      </c>
      <c r="E42" s="11" t="s">
        <v>716</v>
      </c>
      <c r="F42" s="11" t="s">
        <v>734</v>
      </c>
      <c r="G42" s="49"/>
      <c r="H42" s="74">
        <v>67</v>
      </c>
      <c r="I42" s="74">
        <v>72</v>
      </c>
      <c r="J42" s="74">
        <v>72</v>
      </c>
      <c r="K42" s="74">
        <v>77</v>
      </c>
      <c r="L42" s="74">
        <v>93</v>
      </c>
      <c r="M42" s="74">
        <v>71</v>
      </c>
      <c r="N42" s="17">
        <v>84</v>
      </c>
      <c r="O42" s="17">
        <v>64</v>
      </c>
      <c r="P42" s="17">
        <v>80</v>
      </c>
      <c r="Q42" s="17">
        <v>67</v>
      </c>
      <c r="R42" s="17">
        <v>76</v>
      </c>
      <c r="S42" s="17">
        <v>78</v>
      </c>
      <c r="T42" s="17">
        <v>92</v>
      </c>
      <c r="U42" s="17">
        <v>119</v>
      </c>
      <c r="V42" s="17">
        <v>118</v>
      </c>
      <c r="W42" s="364">
        <v>135</v>
      </c>
    </row>
    <row r="43" spans="3:23" ht="12.75" customHeight="1">
      <c r="C43" s="221"/>
      <c r="D43" s="67"/>
      <c r="E43" s="13"/>
      <c r="F43" s="11"/>
      <c r="G43" s="49"/>
      <c r="H43" s="162"/>
      <c r="I43" s="162"/>
      <c r="J43" s="162"/>
      <c r="K43" s="162"/>
      <c r="L43" s="162"/>
      <c r="M43" s="162"/>
      <c r="T43" s="107"/>
      <c r="U43" s="107"/>
      <c r="V43" s="107"/>
      <c r="W43" s="248"/>
    </row>
    <row r="44" spans="3:23" ht="12.75" customHeight="1">
      <c r="C44" s="9" t="str">
        <f>VLOOKUP(57,Textbausteine!$AW$2:$BA$156,Hilfsgrössen!$D$2,FALSE)</f>
        <v>Taux de départ global</v>
      </c>
      <c r="D44" s="172" t="str">
        <f>VLOOKUP(12,Textbausteine!$AW$2:$BA$156,Hilfsgrössen!$D$2,FALSE)</f>
        <v>% de l'effectif moyen avec salaire mensuel</v>
      </c>
      <c r="E44" s="13" t="s">
        <v>1612</v>
      </c>
      <c r="F44" s="11" t="s">
        <v>734</v>
      </c>
      <c r="G44" s="49"/>
      <c r="H44" s="392">
        <v>9.43880112386129</v>
      </c>
      <c r="I44" s="392">
        <v>7.774066850134929</v>
      </c>
      <c r="J44" s="392">
        <v>8.703731587200739</v>
      </c>
      <c r="K44" s="392">
        <v>9.715399995063313</v>
      </c>
      <c r="L44" s="392">
        <v>11.441971492620675</v>
      </c>
      <c r="M44" s="392">
        <v>8.441464961461689</v>
      </c>
      <c r="N44" s="367">
        <v>8.8</v>
      </c>
      <c r="O44" s="367">
        <v>9.4</v>
      </c>
      <c r="P44" s="367">
        <v>9.5</v>
      </c>
      <c r="Q44" s="367">
        <v>9.85</v>
      </c>
      <c r="R44" s="367">
        <v>9.26</v>
      </c>
      <c r="S44" s="367">
        <v>9.15</v>
      </c>
      <c r="T44" s="367">
        <v>8.68</v>
      </c>
      <c r="U44" s="367">
        <v>11.72</v>
      </c>
      <c r="V44" s="367">
        <v>12.31</v>
      </c>
      <c r="W44" s="431">
        <v>12.6</v>
      </c>
    </row>
    <row r="45" spans="3:23" ht="12.75" customHeight="1">
      <c r="C45" s="18" t="str">
        <f>VLOOKUP(58,Textbausteine!$AW$2:$BA$156,Hilfsgrössen!$D$2,FALSE)</f>
        <v>Taux de fluctuation (départs volontaires)</v>
      </c>
      <c r="D45" s="172" t="str">
        <f>VLOOKUP(12,Textbausteine!$AW$2:$BA$156,Hilfsgrössen!$D$2,FALSE)</f>
        <v>% de l'effectif moyen avec salaire mensuel</v>
      </c>
      <c r="E45" s="13" t="s">
        <v>716</v>
      </c>
      <c r="F45" s="11" t="s">
        <v>734</v>
      </c>
      <c r="G45" s="49"/>
      <c r="H45" s="389">
        <v>3.8</v>
      </c>
      <c r="I45" s="389">
        <v>3.6</v>
      </c>
      <c r="J45" s="389">
        <v>3.6</v>
      </c>
      <c r="K45" s="432">
        <v>4.7</v>
      </c>
      <c r="L45" s="389">
        <v>5.3</v>
      </c>
      <c r="M45" s="389">
        <v>3.1</v>
      </c>
      <c r="N45" s="367">
        <v>3.5</v>
      </c>
      <c r="O45" s="367">
        <v>3.9</v>
      </c>
      <c r="P45" s="367">
        <v>3.7</v>
      </c>
      <c r="Q45" s="367">
        <v>3.58</v>
      </c>
      <c r="R45" s="367">
        <v>4.05</v>
      </c>
      <c r="S45" s="367">
        <v>3.78</v>
      </c>
      <c r="T45" s="367">
        <v>3.99</v>
      </c>
      <c r="U45" s="367">
        <v>4.75</v>
      </c>
      <c r="V45" s="367">
        <v>5.48</v>
      </c>
      <c r="W45" s="431">
        <v>5.1</v>
      </c>
    </row>
    <row r="46" spans="3:23" ht="12.75" customHeight="1">
      <c r="C46" s="18"/>
      <c r="D46" s="172"/>
      <c r="E46" s="13"/>
      <c r="F46" s="11"/>
      <c r="G46" s="49"/>
      <c r="H46" s="162"/>
      <c r="I46" s="162"/>
      <c r="J46" s="162"/>
      <c r="K46" s="162"/>
      <c r="L46" s="162"/>
      <c r="M46" s="162"/>
      <c r="T46" s="107"/>
      <c r="U46" s="107"/>
      <c r="V46" s="107"/>
      <c r="W46" s="107"/>
    </row>
    <row r="47" spans="1:87" ht="12.75" customHeight="1">
      <c r="A47" s="66"/>
      <c r="B47" s="21" t="str">
        <f>VLOOKUP(131,Textbausteine!$AW$2:$BA$156,Hilfsgrössen!$D$2,FALSE)</f>
        <v>1) Sans les apprentis</v>
      </c>
      <c r="E47" s="41"/>
      <c r="F47" s="41"/>
      <c r="G47" s="50"/>
      <c r="H47" s="162"/>
      <c r="I47" s="162"/>
      <c r="J47" s="162"/>
      <c r="K47" s="162"/>
      <c r="L47" s="162"/>
      <c r="M47" s="162"/>
      <c r="N47" s="103"/>
      <c r="O47" s="103"/>
      <c r="P47" s="103"/>
      <c r="Q47" s="103"/>
      <c r="R47" s="103"/>
      <c r="S47" s="103"/>
      <c r="T47" s="103"/>
      <c r="U47" s="103"/>
      <c r="V47" s="103"/>
      <c r="W47" s="103"/>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row>
    <row r="48" spans="1:87" ht="12.75" customHeight="1">
      <c r="A48" s="66"/>
      <c r="B48" s="21" t="str">
        <f>VLOOKUP(132,Textbausteine!$AW$2:$BA$156,Hilfsgrössen!$D$2,FALSE)</f>
        <v>2) Taux de départ global = personnes rétribuées au mois qui ont quitté la Poste au cours d'une année civile, exprimé en pourcentage de l'effectif moyen.</v>
      </c>
      <c r="E48" s="41"/>
      <c r="F48" s="41"/>
      <c r="G48" s="49"/>
      <c r="H48" s="162"/>
      <c r="I48" s="162"/>
      <c r="J48" s="162"/>
      <c r="K48" s="162"/>
      <c r="L48" s="162"/>
      <c r="M48" s="162"/>
      <c r="T48" s="107"/>
      <c r="U48" s="107"/>
      <c r="V48" s="107"/>
      <c r="W48" s="10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row>
    <row r="49" spans="1:87" ht="12.75" customHeight="1">
      <c r="A49" s="66"/>
      <c r="B49" s="21" t="str">
        <f>VLOOKUP(133,Textbausteine!$AW$2:$BA$156,Hilfsgrössen!$D$2,FALSE)</f>
        <v>3) Groupe Suisse: données provenant du système du personnel; actuellement sans les données de 1000 unités de personnel ou 6113 personnes des sociétés du groupe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et notime Schweiz AG.</v>
      </c>
      <c r="E49" s="41"/>
      <c r="F49" s="41"/>
      <c r="G49" s="49"/>
      <c r="H49" s="162"/>
      <c r="I49" s="162"/>
      <c r="J49" s="162"/>
      <c r="K49" s="162"/>
      <c r="L49" s="162"/>
      <c r="M49" s="162"/>
      <c r="T49" s="107"/>
      <c r="U49" s="107"/>
      <c r="V49" s="107"/>
      <c r="W49" s="10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row>
    <row r="50" spans="1:87" ht="12.75" customHeight="1">
      <c r="A50" s="66"/>
      <c r="B50" s="21" t="str">
        <f>VLOOKUP(134,Textbausteine!$AW$2:$BA$156,Hilfsgrössen!$D$2,FALSE)</f>
        <v>4) Ajustement de la valeur 2018 en raison de mutations ultérieures</v>
      </c>
      <c r="E50" s="41"/>
      <c r="F50" s="41"/>
      <c r="G50" s="49"/>
      <c r="H50" s="162"/>
      <c r="I50" s="162"/>
      <c r="J50" s="162"/>
      <c r="K50" s="162"/>
      <c r="L50" s="162"/>
      <c r="M50" s="162"/>
      <c r="T50" s="107"/>
      <c r="U50" s="107"/>
      <c r="V50" s="107"/>
      <c r="W50" s="10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row>
    <row r="51" spans="3:23" ht="12.75" customHeight="1">
      <c r="C51" s="18"/>
      <c r="D51" s="172"/>
      <c r="E51" s="13"/>
      <c r="F51" s="11"/>
      <c r="G51" s="49"/>
      <c r="H51" s="162"/>
      <c r="I51" s="162"/>
      <c r="J51" s="162"/>
      <c r="K51" s="162"/>
      <c r="L51" s="162"/>
      <c r="M51" s="162"/>
      <c r="T51" s="107"/>
      <c r="U51" s="107"/>
      <c r="V51" s="107"/>
      <c r="W51" s="107"/>
    </row>
    <row r="52" spans="3:23" ht="12.75" customHeight="1">
      <c r="C52" s="18"/>
      <c r="D52" s="172"/>
      <c r="E52" s="13"/>
      <c r="F52" s="11"/>
      <c r="G52" s="49"/>
      <c r="T52" s="107"/>
      <c r="U52" s="107"/>
      <c r="V52" s="107"/>
      <c r="W52" s="107"/>
    </row>
    <row r="53" spans="1:87" s="31" customFormat="1" ht="12.75" customHeight="1">
      <c r="A53" s="56" t="s">
        <v>807</v>
      </c>
      <c r="B53" s="480" t="str">
        <f>$C$8</f>
        <v>Congé parental</v>
      </c>
      <c r="C53" s="480"/>
      <c r="D53" s="6" t="str">
        <f>VLOOKUP(32,Textbausteine!$A$2:$E$67,Hilfsgrössen!$D$2,FALSE)</f>
        <v>Unité</v>
      </c>
      <c r="E53" s="40" t="str">
        <f>VLOOKUP(33,Textbausteine!$A$2:$E$67,Hilfsgrössen!$D$2,FALSE)</f>
        <v>Notes</v>
      </c>
      <c r="F53" s="40" t="str">
        <f>VLOOKUP(34,Textbausteine!$A$2:$E$67,Hilfsgrössen!$D$2,FALSE)</f>
        <v>GRI</v>
      </c>
      <c r="G53" s="49"/>
      <c r="H53" s="160">
        <v>2004</v>
      </c>
      <c r="I53" s="160">
        <v>2005</v>
      </c>
      <c r="J53" s="160">
        <v>2006</v>
      </c>
      <c r="K53" s="160">
        <v>2007</v>
      </c>
      <c r="L53" s="160">
        <v>2008</v>
      </c>
      <c r="M53" s="160">
        <v>2009</v>
      </c>
      <c r="N53" s="103">
        <v>2010</v>
      </c>
      <c r="O53" s="103">
        <v>2011</v>
      </c>
      <c r="P53" s="103">
        <v>2012</v>
      </c>
      <c r="Q53" s="103">
        <v>2013</v>
      </c>
      <c r="R53" s="103">
        <v>2014</v>
      </c>
      <c r="S53" s="103">
        <v>2015</v>
      </c>
      <c r="T53" s="103">
        <v>2016</v>
      </c>
      <c r="U53" s="103">
        <v>2017</v>
      </c>
      <c r="V53" s="103">
        <v>2018</v>
      </c>
      <c r="W53" s="249">
        <v>2019</v>
      </c>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row>
    <row r="54" spans="1:87" s="31" customFormat="1" ht="12.75" customHeight="1">
      <c r="A54" s="90"/>
      <c r="B54" s="480"/>
      <c r="C54" s="480"/>
      <c r="D54" s="6"/>
      <c r="E54" s="11"/>
      <c r="F54" s="11"/>
      <c r="G54" s="49"/>
      <c r="H54" s="162"/>
      <c r="I54" s="162"/>
      <c r="J54" s="162"/>
      <c r="K54" s="162"/>
      <c r="L54" s="162"/>
      <c r="M54" s="162"/>
      <c r="N54" s="107"/>
      <c r="O54" s="107"/>
      <c r="P54" s="107"/>
      <c r="Q54" s="107"/>
      <c r="R54" s="107"/>
      <c r="S54" s="107"/>
      <c r="T54" s="107"/>
      <c r="U54" s="107"/>
      <c r="V54" s="107"/>
      <c r="W54" s="248"/>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row>
    <row r="55" spans="2:23" ht="12.75" customHeight="1">
      <c r="B55" s="8"/>
      <c r="C55" s="9"/>
      <c r="D55" s="9"/>
      <c r="E55" s="11"/>
      <c r="F55" s="13"/>
      <c r="G55" s="49"/>
      <c r="H55" s="162"/>
      <c r="I55" s="162"/>
      <c r="J55" s="162"/>
      <c r="K55" s="162"/>
      <c r="L55" s="162"/>
      <c r="M55" s="162"/>
      <c r="T55" s="107"/>
      <c r="U55" s="107"/>
      <c r="V55" s="107"/>
      <c r="W55" s="248"/>
    </row>
    <row r="56" spans="2:23" ht="12.75" customHeight="1">
      <c r="B56" s="8" t="str">
        <f>VLOOKUP(37,Textbausteine!$A$2:$E$67,Hilfsgrössen!$D$2,FALSE)</f>
        <v>Groupe Suisse</v>
      </c>
      <c r="C56" s="8"/>
      <c r="D56" s="67"/>
      <c r="E56" s="11"/>
      <c r="F56" s="11"/>
      <c r="G56" s="49"/>
      <c r="H56" s="162"/>
      <c r="I56" s="162"/>
      <c r="J56" s="162"/>
      <c r="K56" s="162"/>
      <c r="L56" s="162"/>
      <c r="M56" s="162"/>
      <c r="T56" s="107"/>
      <c r="U56" s="107"/>
      <c r="V56" s="107"/>
      <c r="W56" s="248"/>
    </row>
    <row r="57" spans="3:23" ht="12.75" customHeight="1">
      <c r="C57" s="310" t="str">
        <f>VLOOKUP(71,Textbausteine!$AW$2:$BA$156,Hilfsgrössen!$D$2,FALSE)</f>
        <v>Bénéficiaires du congé parental</v>
      </c>
      <c r="D57" s="217" t="str">
        <f>VLOOKUP(11,Textbausteine!$AW$2:$BA$156,Hilfsgrössen!$D$2,FALSE)</f>
        <v>Nombre de personnes à salaire mensuel</v>
      </c>
      <c r="E57" s="11">
        <v>1</v>
      </c>
      <c r="F57" s="11" t="s">
        <v>805</v>
      </c>
      <c r="G57" s="49"/>
      <c r="H57" s="162" t="s">
        <v>1470</v>
      </c>
      <c r="I57" s="162" t="s">
        <v>1470</v>
      </c>
      <c r="J57" s="162" t="s">
        <v>1470</v>
      </c>
      <c r="K57" s="162" t="s">
        <v>1470</v>
      </c>
      <c r="L57" s="162" t="s">
        <v>1470</v>
      </c>
      <c r="M57" s="162" t="s">
        <v>1470</v>
      </c>
      <c r="N57" s="107">
        <v>1644</v>
      </c>
      <c r="O57" s="107">
        <v>1658</v>
      </c>
      <c r="P57" s="107">
        <v>1643</v>
      </c>
      <c r="Q57" s="107">
        <v>1762</v>
      </c>
      <c r="R57" s="107">
        <v>1689</v>
      </c>
      <c r="S57" s="107">
        <v>1735</v>
      </c>
      <c r="T57" s="107">
        <v>1764</v>
      </c>
      <c r="U57" s="107">
        <v>1745</v>
      </c>
      <c r="V57" s="107">
        <v>1677</v>
      </c>
      <c r="W57" s="248">
        <v>1741</v>
      </c>
    </row>
    <row r="58" spans="5:23" ht="12.75" customHeight="1">
      <c r="E58" s="11"/>
      <c r="F58" s="11"/>
      <c r="G58" s="49"/>
      <c r="H58" s="162"/>
      <c r="I58" s="162"/>
      <c r="J58" s="162"/>
      <c r="K58" s="162"/>
      <c r="L58" s="162"/>
      <c r="M58" s="162"/>
      <c r="T58" s="107"/>
      <c r="U58" s="107"/>
      <c r="V58" s="107"/>
      <c r="W58" s="107"/>
    </row>
    <row r="59" spans="2:23" ht="12.75" customHeight="1">
      <c r="B59" s="26" t="str">
        <f>VLOOKUP(141,Textbausteine!$AW$2:$BA$156,Hilfsgrössen!$D$2,FALSE)</f>
        <v>1) Comprend les personnes en congé de maternité, en congé parental, en congé d'accouchement, en congé de maternité et en adoption.</v>
      </c>
      <c r="E59" s="11"/>
      <c r="F59" s="11"/>
      <c r="G59" s="49"/>
      <c r="H59" s="162"/>
      <c r="I59" s="162"/>
      <c r="J59" s="162"/>
      <c r="K59" s="162"/>
      <c r="L59" s="162"/>
      <c r="M59" s="162"/>
      <c r="T59" s="107"/>
      <c r="U59" s="107"/>
      <c r="V59" s="107"/>
      <c r="W59" s="107"/>
    </row>
    <row r="60" spans="2:23" ht="12.75" customHeight="1">
      <c r="B60" s="26" t="str">
        <f>VLOOKUP(142,Textbausteine!$AW$2:$BA$156,Hilfsgrössen!$D$2,FALSE)</f>
        <v>2) Groupe Suisse: données provenant du système du personnel; actuellement sans les données de 1000 unités de personnel ou 6113 personnes des sociétés du groupe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et notime Schweiz AG.</v>
      </c>
      <c r="E60" s="11"/>
      <c r="F60" s="11"/>
      <c r="G60" s="49"/>
      <c r="H60" s="162"/>
      <c r="I60" s="162"/>
      <c r="J60" s="162"/>
      <c r="K60" s="162"/>
      <c r="L60" s="162"/>
      <c r="M60" s="162"/>
      <c r="T60" s="107"/>
      <c r="U60" s="107"/>
      <c r="V60" s="107"/>
      <c r="W60" s="107"/>
    </row>
    <row r="61" spans="5:23" ht="12.75" customHeight="1">
      <c r="E61" s="11"/>
      <c r="F61" s="11"/>
      <c r="G61" s="49"/>
      <c r="H61" s="162"/>
      <c r="I61" s="162"/>
      <c r="J61" s="162"/>
      <c r="K61" s="162"/>
      <c r="L61" s="162"/>
      <c r="M61" s="162"/>
      <c r="T61" s="107"/>
      <c r="U61" s="107"/>
      <c r="V61" s="107"/>
      <c r="W61" s="107"/>
    </row>
    <row r="62" spans="5:23" ht="12.75" customHeight="1">
      <c r="E62" s="11"/>
      <c r="F62" s="11"/>
      <c r="G62" s="51"/>
      <c r="H62" s="162"/>
      <c r="I62" s="162"/>
      <c r="J62" s="162"/>
      <c r="K62" s="162"/>
      <c r="L62" s="162"/>
      <c r="M62" s="162"/>
      <c r="T62" s="107"/>
      <c r="U62" s="107"/>
      <c r="V62" s="107"/>
      <c r="W62" s="107"/>
    </row>
    <row r="63" spans="1:87" s="31" customFormat="1" ht="12.75" customHeight="1">
      <c r="A63" s="56" t="s">
        <v>807</v>
      </c>
      <c r="B63" s="480" t="str">
        <f>$C$9</f>
        <v>Satisfaction du personnel, motivation et engagement</v>
      </c>
      <c r="C63" s="480"/>
      <c r="D63" s="6" t="str">
        <f>VLOOKUP(32,Textbausteine!$A$2:$E$67,Hilfsgrössen!$D$2,FALSE)</f>
        <v>Unité</v>
      </c>
      <c r="E63" s="40" t="str">
        <f>VLOOKUP(33,Textbausteine!$A$2:$E$67,Hilfsgrössen!$D$2,FALSE)</f>
        <v>Notes</v>
      </c>
      <c r="F63" s="40" t="str">
        <f>VLOOKUP(34,Textbausteine!$A$2:$E$67,Hilfsgrössen!$D$2,FALSE)</f>
        <v>GRI</v>
      </c>
      <c r="G63" s="49"/>
      <c r="H63" s="103">
        <v>2004</v>
      </c>
      <c r="I63" s="103">
        <v>2005</v>
      </c>
      <c r="J63" s="103">
        <v>2006</v>
      </c>
      <c r="K63" s="103">
        <v>2007</v>
      </c>
      <c r="L63" s="103">
        <v>2008</v>
      </c>
      <c r="M63" s="103">
        <v>2009</v>
      </c>
      <c r="N63" s="103">
        <v>2010</v>
      </c>
      <c r="O63" s="103">
        <v>2011</v>
      </c>
      <c r="P63" s="103">
        <v>2012</v>
      </c>
      <c r="Q63" s="103">
        <v>2013</v>
      </c>
      <c r="R63" s="103">
        <v>2014</v>
      </c>
      <c r="S63" s="103">
        <v>2015</v>
      </c>
      <c r="T63" s="103">
        <v>2016</v>
      </c>
      <c r="U63" s="103">
        <v>2017</v>
      </c>
      <c r="V63" s="103">
        <v>2018</v>
      </c>
      <c r="W63" s="249">
        <v>2019</v>
      </c>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row>
    <row r="64" spans="1:87" s="31" customFormat="1" ht="12.75" customHeight="1">
      <c r="A64" s="90"/>
      <c r="B64" s="480"/>
      <c r="C64" s="480"/>
      <c r="D64" s="6"/>
      <c r="E64" s="11"/>
      <c r="F64" s="11"/>
      <c r="G64" s="49"/>
      <c r="H64" s="162"/>
      <c r="I64" s="162"/>
      <c r="J64" s="162"/>
      <c r="K64" s="162"/>
      <c r="L64" s="162"/>
      <c r="M64" s="162"/>
      <c r="N64" s="107"/>
      <c r="O64" s="107"/>
      <c r="P64" s="107"/>
      <c r="Q64" s="107"/>
      <c r="R64" s="107"/>
      <c r="S64" s="107"/>
      <c r="T64" s="107"/>
      <c r="U64" s="107"/>
      <c r="V64" s="107"/>
      <c r="W64" s="248"/>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row>
    <row r="65" spans="2:23" ht="12.75" customHeight="1">
      <c r="B65" s="8"/>
      <c r="C65" s="9"/>
      <c r="D65" s="9"/>
      <c r="E65" s="11"/>
      <c r="F65" s="13"/>
      <c r="G65" s="49"/>
      <c r="H65" s="162"/>
      <c r="I65" s="162"/>
      <c r="J65" s="162"/>
      <c r="K65" s="162"/>
      <c r="L65" s="162"/>
      <c r="M65" s="162"/>
      <c r="T65" s="107"/>
      <c r="U65" s="107"/>
      <c r="V65" s="107"/>
      <c r="W65" s="248"/>
    </row>
    <row r="66" spans="2:23" ht="12.75" customHeight="1">
      <c r="B66" s="8" t="str">
        <f>VLOOKUP(37,Textbausteine!$A$2:$E$67,Hilfsgrössen!$D$2,FALSE)</f>
        <v>Groupe Suisse</v>
      </c>
      <c r="C66" s="8"/>
      <c r="D66" s="67"/>
      <c r="E66" s="11"/>
      <c r="F66" s="11"/>
      <c r="G66" s="49"/>
      <c r="H66" s="162"/>
      <c r="I66" s="162"/>
      <c r="J66" s="162"/>
      <c r="K66" s="162"/>
      <c r="L66" s="162"/>
      <c r="M66" s="162"/>
      <c r="T66" s="107"/>
      <c r="U66" s="107"/>
      <c r="V66" s="107"/>
      <c r="W66" s="248"/>
    </row>
    <row r="67" spans="3:23" ht="12.75" customHeight="1">
      <c r="C67" s="223" t="str">
        <f>VLOOKUP(81,Textbausteine!$AW$2:$BA$156,Hilfsgrössen!$D$2,FALSE)</f>
        <v>Taux de réponse net de l'enquête</v>
      </c>
      <c r="D67" s="217" t="str">
        <f>VLOOKUP(13,Textbausteine!$AW$2:$BA$156,Hilfsgrössen!$D$2,FALSE)</f>
        <v>%</v>
      </c>
      <c r="E67" s="11"/>
      <c r="F67" s="11">
        <v>401</v>
      </c>
      <c r="G67" s="49"/>
      <c r="H67" s="163">
        <v>63.8</v>
      </c>
      <c r="I67" s="163">
        <v>65.5</v>
      </c>
      <c r="J67" s="163">
        <v>66.7</v>
      </c>
      <c r="K67" s="163">
        <v>64</v>
      </c>
      <c r="L67" s="163">
        <v>68</v>
      </c>
      <c r="M67" s="20">
        <v>73.6</v>
      </c>
      <c r="N67" s="20">
        <v>74.9</v>
      </c>
      <c r="O67" s="20">
        <v>76.4</v>
      </c>
      <c r="P67" s="107">
        <v>75.2</v>
      </c>
      <c r="Q67" s="234">
        <v>77.2</v>
      </c>
      <c r="R67" s="235">
        <v>78.6</v>
      </c>
      <c r="S67" s="234">
        <v>78.1</v>
      </c>
      <c r="T67" s="107">
        <v>79.2</v>
      </c>
      <c r="U67" s="107">
        <v>79.1</v>
      </c>
      <c r="V67" s="107">
        <v>76.7</v>
      </c>
      <c r="W67" s="248">
        <v>77.4</v>
      </c>
    </row>
    <row r="68" spans="3:23" ht="12.75" customHeight="1">
      <c r="C68" s="32" t="str">
        <f>VLOOKUP(82,Textbausteine!$AW$2:$BA$156,Hilfsgrössen!$D$2,FALSE)</f>
        <v>Satisfaction du personnel</v>
      </c>
      <c r="D68" s="1" t="str">
        <f>VLOOKUP(14,Textbausteine!$AW$2:$BA$156,Hilfsgrössen!$D$2,FALSE)</f>
        <v>Indice</v>
      </c>
      <c r="E68" s="11">
        <v>1</v>
      </c>
      <c r="F68" s="11">
        <v>401</v>
      </c>
      <c r="G68" s="49"/>
      <c r="H68" s="334">
        <v>65</v>
      </c>
      <c r="I68" s="334">
        <v>67</v>
      </c>
      <c r="J68" s="334">
        <v>67</v>
      </c>
      <c r="K68" s="334">
        <v>67</v>
      </c>
      <c r="L68" s="334">
        <v>66</v>
      </c>
      <c r="M68" s="357">
        <v>75</v>
      </c>
      <c r="N68" s="357">
        <v>74</v>
      </c>
      <c r="O68" s="357">
        <v>75</v>
      </c>
      <c r="P68" s="350">
        <v>75</v>
      </c>
      <c r="Q68" s="433">
        <v>75</v>
      </c>
      <c r="R68" s="434">
        <v>75</v>
      </c>
      <c r="S68" s="433">
        <v>75</v>
      </c>
      <c r="T68" s="350">
        <v>74</v>
      </c>
      <c r="U68" s="350">
        <v>73</v>
      </c>
      <c r="V68" s="350">
        <v>73</v>
      </c>
      <c r="W68" s="435">
        <v>74</v>
      </c>
    </row>
    <row r="69" spans="3:23" ht="12.75" customHeight="1">
      <c r="C69" s="310" t="str">
        <f>VLOOKUP(83,Textbausteine!$AW$2:$BA$156,Hilfsgrössen!$D$2,FALSE)</f>
        <v>Engagement</v>
      </c>
      <c r="D69" s="217" t="str">
        <f>VLOOKUP(14,Textbausteine!$AW$2:$BA$156,Hilfsgrössen!$D$2,FALSE)</f>
        <v>Indice</v>
      </c>
      <c r="E69" s="11" t="s">
        <v>77</v>
      </c>
      <c r="F69" s="11">
        <v>401</v>
      </c>
      <c r="G69" s="49"/>
      <c r="H69" s="333" t="s">
        <v>1470</v>
      </c>
      <c r="I69" s="333" t="s">
        <v>1470</v>
      </c>
      <c r="J69" s="333">
        <v>70</v>
      </c>
      <c r="K69" s="333">
        <v>70</v>
      </c>
      <c r="L69" s="333">
        <v>70</v>
      </c>
      <c r="M69" s="333">
        <v>83</v>
      </c>
      <c r="N69" s="350">
        <v>83</v>
      </c>
      <c r="O69" s="350">
        <v>83</v>
      </c>
      <c r="P69" s="350">
        <v>83</v>
      </c>
      <c r="Q69" s="350">
        <v>82</v>
      </c>
      <c r="R69" s="350">
        <v>82</v>
      </c>
      <c r="S69" s="350">
        <v>82</v>
      </c>
      <c r="T69" s="350">
        <v>82</v>
      </c>
      <c r="U69" s="350">
        <v>81</v>
      </c>
      <c r="V69" s="350">
        <v>80</v>
      </c>
      <c r="W69" s="435">
        <v>81</v>
      </c>
    </row>
    <row r="70" spans="3:23" ht="12.75" customHeight="1">
      <c r="C70" s="310" t="str">
        <f>VLOOKUP(84,Textbausteine!$AW$2:$BA$156,Hilfsgrössen!$D$2,FALSE)</f>
        <v>Compétitivité de l'unité</v>
      </c>
      <c r="D70" s="217" t="str">
        <f>VLOOKUP(14,Textbausteine!$AW$2:$BA$156,Hilfsgrössen!$D$2,FALSE)</f>
        <v>Indice</v>
      </c>
      <c r="E70" s="11" t="s">
        <v>77</v>
      </c>
      <c r="F70" s="11">
        <v>401</v>
      </c>
      <c r="G70" s="49"/>
      <c r="H70" s="333" t="s">
        <v>1470</v>
      </c>
      <c r="I70" s="333" t="s">
        <v>1470</v>
      </c>
      <c r="J70" s="333">
        <v>65</v>
      </c>
      <c r="K70" s="333">
        <v>68</v>
      </c>
      <c r="L70" s="333">
        <v>69</v>
      </c>
      <c r="M70" s="333">
        <v>71</v>
      </c>
      <c r="N70" s="350">
        <v>71</v>
      </c>
      <c r="O70" s="350">
        <v>72</v>
      </c>
      <c r="P70" s="350">
        <v>72</v>
      </c>
      <c r="Q70" s="350">
        <v>72</v>
      </c>
      <c r="R70" s="350">
        <v>72</v>
      </c>
      <c r="S70" s="350">
        <v>73</v>
      </c>
      <c r="T70" s="350">
        <v>73</v>
      </c>
      <c r="U70" s="350">
        <v>72</v>
      </c>
      <c r="V70" s="350">
        <v>72</v>
      </c>
      <c r="W70" s="435">
        <v>72</v>
      </c>
    </row>
    <row r="71" spans="3:23" ht="12.75" customHeight="1">
      <c r="C71" s="32" t="str">
        <f>VLOOKUP(85,Textbausteine!$AW$2:$BA$156,Hilfsgrössen!$D$2,FALSE)</f>
        <v>Situation professionnelle</v>
      </c>
      <c r="D71" s="217" t="str">
        <f>VLOOKUP(14,Textbausteine!$AW$2:$BA$156,Hilfsgrössen!$D$2,FALSE)</f>
        <v>Indice</v>
      </c>
      <c r="E71" s="11" t="s">
        <v>77</v>
      </c>
      <c r="F71" s="11">
        <v>401</v>
      </c>
      <c r="G71" s="49"/>
      <c r="H71" s="333" t="s">
        <v>1470</v>
      </c>
      <c r="I71" s="333" t="s">
        <v>1470</v>
      </c>
      <c r="J71" s="333">
        <v>70</v>
      </c>
      <c r="K71" s="333">
        <v>70</v>
      </c>
      <c r="L71" s="333">
        <v>70</v>
      </c>
      <c r="M71" s="333">
        <v>75</v>
      </c>
      <c r="N71" s="350">
        <v>75</v>
      </c>
      <c r="O71" s="350">
        <v>75</v>
      </c>
      <c r="P71" s="350">
        <v>75</v>
      </c>
      <c r="Q71" s="350">
        <v>75</v>
      </c>
      <c r="R71" s="350">
        <v>75</v>
      </c>
      <c r="S71" s="350">
        <v>76</v>
      </c>
      <c r="T71" s="350">
        <v>76</v>
      </c>
      <c r="U71" s="350">
        <v>76</v>
      </c>
      <c r="V71" s="350">
        <v>76</v>
      </c>
      <c r="W71" s="435">
        <v>76</v>
      </c>
    </row>
    <row r="72" spans="3:23" ht="12.75" customHeight="1">
      <c r="C72" s="223"/>
      <c r="D72" s="217"/>
      <c r="E72" s="11"/>
      <c r="F72" s="11"/>
      <c r="G72" s="49"/>
      <c r="H72" s="162"/>
      <c r="I72" s="162"/>
      <c r="J72" s="162"/>
      <c r="K72" s="162"/>
      <c r="L72" s="162"/>
      <c r="M72" s="162"/>
      <c r="T72" s="107"/>
      <c r="U72" s="107"/>
      <c r="V72" s="107"/>
      <c r="W72" s="248"/>
    </row>
    <row r="73" spans="3:23" ht="12.75" customHeight="1">
      <c r="C73" s="8" t="str">
        <f>VLOOKUP(45,Textbausteine!$A$2:$E$67,Hilfsgrössen!$D$2,FALSE)</f>
        <v>PostMail</v>
      </c>
      <c r="D73" s="217"/>
      <c r="E73" s="11"/>
      <c r="F73" s="11"/>
      <c r="G73" s="49"/>
      <c r="H73" s="162"/>
      <c r="I73" s="162"/>
      <c r="J73" s="162"/>
      <c r="K73" s="162"/>
      <c r="L73" s="162"/>
      <c r="M73" s="162"/>
      <c r="T73" s="107"/>
      <c r="U73" s="107"/>
      <c r="V73" s="107"/>
      <c r="W73" s="248"/>
    </row>
    <row r="74" spans="1:23" ht="12.75" customHeight="1">
      <c r="A74" s="147"/>
      <c r="B74" s="9"/>
      <c r="C74" s="15" t="str">
        <f>VLOOKUP(82,Textbausteine!$AW$2:$BA$156,Hilfsgrössen!$D$2,FALSE)</f>
        <v>Satisfaction du personnel</v>
      </c>
      <c r="D74" s="9" t="str">
        <f>VLOOKUP(14,Textbausteine!$AW$2:$BA$156,Hilfsgrössen!$D$2,FALSE)</f>
        <v>Indice</v>
      </c>
      <c r="E74" s="11">
        <v>1</v>
      </c>
      <c r="F74" s="11">
        <v>401</v>
      </c>
      <c r="G74" s="49"/>
      <c r="H74" s="162">
        <v>62</v>
      </c>
      <c r="I74" s="162">
        <v>64</v>
      </c>
      <c r="J74" s="162">
        <v>64</v>
      </c>
      <c r="K74" s="162">
        <v>64</v>
      </c>
      <c r="L74" s="162">
        <v>66</v>
      </c>
      <c r="M74" s="162">
        <v>75</v>
      </c>
      <c r="N74" s="107">
        <v>74</v>
      </c>
      <c r="O74" s="107">
        <v>75</v>
      </c>
      <c r="P74" s="107">
        <v>76</v>
      </c>
      <c r="Q74" s="107">
        <v>77</v>
      </c>
      <c r="R74" s="107">
        <v>77</v>
      </c>
      <c r="S74" s="107">
        <v>77</v>
      </c>
      <c r="T74" s="107">
        <v>76</v>
      </c>
      <c r="U74" s="107">
        <v>75</v>
      </c>
      <c r="V74" s="107">
        <v>75</v>
      </c>
      <c r="W74" s="248">
        <v>75</v>
      </c>
    </row>
    <row r="75" spans="1:23" ht="12.75" customHeight="1">
      <c r="A75" s="147"/>
      <c r="B75" s="9"/>
      <c r="C75" s="216" t="str">
        <f>VLOOKUP(83,Textbausteine!$AW$2:$BA$156,Hilfsgrössen!$D$2,FALSE)</f>
        <v>Engagement</v>
      </c>
      <c r="D75" s="217" t="str">
        <f>VLOOKUP(14,Textbausteine!$AW$2:$BA$156,Hilfsgrössen!$D$2,FALSE)</f>
        <v>Indice</v>
      </c>
      <c r="E75" s="11" t="s">
        <v>77</v>
      </c>
      <c r="F75" s="11">
        <v>401</v>
      </c>
      <c r="G75" s="49"/>
      <c r="H75" s="162" t="s">
        <v>1470</v>
      </c>
      <c r="I75" s="162" t="s">
        <v>1470</v>
      </c>
      <c r="J75" s="162">
        <v>68</v>
      </c>
      <c r="K75" s="162">
        <v>68</v>
      </c>
      <c r="L75" s="162">
        <v>69</v>
      </c>
      <c r="M75" s="162">
        <v>83</v>
      </c>
      <c r="N75" s="107">
        <v>83</v>
      </c>
      <c r="O75" s="107">
        <v>83</v>
      </c>
      <c r="P75" s="107">
        <v>84</v>
      </c>
      <c r="Q75" s="107">
        <v>84</v>
      </c>
      <c r="R75" s="107">
        <v>84</v>
      </c>
      <c r="S75" s="107">
        <v>84</v>
      </c>
      <c r="T75" s="107">
        <v>83</v>
      </c>
      <c r="U75" s="107">
        <v>82</v>
      </c>
      <c r="V75" s="107">
        <v>81</v>
      </c>
      <c r="W75" s="248">
        <v>82</v>
      </c>
    </row>
    <row r="76" spans="1:23" ht="12.75" customHeight="1">
      <c r="A76" s="147"/>
      <c r="B76" s="9"/>
      <c r="C76" s="15" t="str">
        <f>VLOOKUP(84,Textbausteine!$AW$2:$BA$156,Hilfsgrössen!$D$2,FALSE)</f>
        <v>Compétitivité de l'unité</v>
      </c>
      <c r="D76" s="9" t="str">
        <f>VLOOKUP(14,Textbausteine!$AW$2:$BA$156,Hilfsgrössen!$D$2,FALSE)</f>
        <v>Indice</v>
      </c>
      <c r="E76" s="11" t="s">
        <v>77</v>
      </c>
      <c r="F76" s="11">
        <v>401</v>
      </c>
      <c r="G76" s="49"/>
      <c r="H76" s="162" t="s">
        <v>1470</v>
      </c>
      <c r="I76" s="162" t="s">
        <v>1470</v>
      </c>
      <c r="J76" s="162" t="s">
        <v>1470</v>
      </c>
      <c r="K76" s="162" t="s">
        <v>1470</v>
      </c>
      <c r="L76" s="162" t="s">
        <v>1470</v>
      </c>
      <c r="M76" s="162" t="s">
        <v>1470</v>
      </c>
      <c r="N76" s="107" t="s">
        <v>1470</v>
      </c>
      <c r="O76" s="162" t="s">
        <v>1470</v>
      </c>
      <c r="P76" s="162" t="s">
        <v>1470</v>
      </c>
      <c r="Q76" s="107" t="s">
        <v>1470</v>
      </c>
      <c r="R76" s="162" t="s">
        <v>1470</v>
      </c>
      <c r="S76" s="162" t="s">
        <v>1470</v>
      </c>
      <c r="T76" s="107" t="s">
        <v>1470</v>
      </c>
      <c r="U76" s="107">
        <v>73</v>
      </c>
      <c r="V76" s="107">
        <v>72</v>
      </c>
      <c r="W76" s="248">
        <v>73</v>
      </c>
    </row>
    <row r="77" spans="1:23" ht="12.75" customHeight="1">
      <c r="A77" s="147"/>
      <c r="B77" s="26"/>
      <c r="C77" s="15" t="str">
        <f>VLOOKUP(85,Textbausteine!$AW$2:$BA$156,Hilfsgrössen!$D$2,FALSE)</f>
        <v>Situation professionnelle</v>
      </c>
      <c r="D77" s="9" t="str">
        <f>VLOOKUP(14,Textbausteine!$AW$2:$BA$156,Hilfsgrössen!$D$2,FALSE)</f>
        <v>Indice</v>
      </c>
      <c r="E77" s="11" t="s">
        <v>77</v>
      </c>
      <c r="F77" s="11">
        <v>401</v>
      </c>
      <c r="G77" s="49"/>
      <c r="H77" s="162" t="s">
        <v>1470</v>
      </c>
      <c r="I77" s="162" t="s">
        <v>1470</v>
      </c>
      <c r="J77" s="162" t="s">
        <v>1470</v>
      </c>
      <c r="K77" s="162" t="s">
        <v>1470</v>
      </c>
      <c r="L77" s="162" t="s">
        <v>1470</v>
      </c>
      <c r="M77" s="162" t="s">
        <v>1470</v>
      </c>
      <c r="N77" s="162" t="s">
        <v>1470</v>
      </c>
      <c r="O77" s="162" t="s">
        <v>1470</v>
      </c>
      <c r="P77" s="162" t="s">
        <v>1470</v>
      </c>
      <c r="Q77" s="162" t="s">
        <v>1470</v>
      </c>
      <c r="R77" s="162" t="s">
        <v>1470</v>
      </c>
      <c r="S77" s="162" t="s">
        <v>1470</v>
      </c>
      <c r="T77" s="162" t="s">
        <v>1470</v>
      </c>
      <c r="U77" s="162">
        <v>77</v>
      </c>
      <c r="V77" s="162">
        <v>77</v>
      </c>
      <c r="W77" s="248">
        <v>77</v>
      </c>
    </row>
    <row r="78" spans="1:23" ht="12.75" customHeight="1">
      <c r="A78" s="147"/>
      <c r="B78" s="9"/>
      <c r="C78" s="15"/>
      <c r="D78" s="9"/>
      <c r="E78" s="13"/>
      <c r="F78" s="11"/>
      <c r="G78" s="51"/>
      <c r="H78" s="162"/>
      <c r="I78" s="162"/>
      <c r="J78" s="162"/>
      <c r="K78" s="162"/>
      <c r="L78" s="162"/>
      <c r="M78" s="162"/>
      <c r="T78" s="107"/>
      <c r="U78" s="107"/>
      <c r="V78" s="107"/>
      <c r="W78" s="248"/>
    </row>
    <row r="79" spans="1:23" ht="12.75" customHeight="1">
      <c r="A79" s="147"/>
      <c r="B79" s="9"/>
      <c r="C79" s="8" t="str">
        <f>VLOOKUP(48,Textbausteine!$A$2:$E$67,Hilfsgrössen!$D$2,FALSE)</f>
        <v>PostLogistics</v>
      </c>
      <c r="D79" s="217"/>
      <c r="E79" s="11"/>
      <c r="F79" s="11"/>
      <c r="G79" s="49"/>
      <c r="H79" s="162"/>
      <c r="I79" s="162"/>
      <c r="J79" s="162"/>
      <c r="K79" s="162"/>
      <c r="L79" s="162"/>
      <c r="M79" s="162"/>
      <c r="T79" s="107"/>
      <c r="U79" s="107"/>
      <c r="V79" s="107"/>
      <c r="W79" s="248"/>
    </row>
    <row r="80" spans="1:23" ht="12.75" customHeight="1">
      <c r="A80" s="147"/>
      <c r="B80" s="9"/>
      <c r="C80" s="15" t="str">
        <f>VLOOKUP(82,Textbausteine!$AW$2:$BA$156,Hilfsgrössen!$D$2,FALSE)</f>
        <v>Satisfaction du personnel</v>
      </c>
      <c r="D80" s="9" t="str">
        <f>VLOOKUP(14,Textbausteine!$AW$2:$BA$156,Hilfsgrössen!$D$2,FALSE)</f>
        <v>Indice</v>
      </c>
      <c r="E80" s="11">
        <v>1</v>
      </c>
      <c r="F80" s="11">
        <v>401</v>
      </c>
      <c r="G80" s="49"/>
      <c r="H80" s="333">
        <v>61</v>
      </c>
      <c r="I80" s="333">
        <v>62</v>
      </c>
      <c r="J80" s="333">
        <v>62</v>
      </c>
      <c r="K80" s="333">
        <v>65</v>
      </c>
      <c r="L80" s="333">
        <v>65</v>
      </c>
      <c r="M80" s="333">
        <v>74</v>
      </c>
      <c r="N80" s="350">
        <v>71</v>
      </c>
      <c r="O80" s="350">
        <v>73</v>
      </c>
      <c r="P80" s="350">
        <v>73</v>
      </c>
      <c r="Q80" s="350">
        <v>73</v>
      </c>
      <c r="R80" s="350">
        <v>73</v>
      </c>
      <c r="S80" s="350">
        <v>73</v>
      </c>
      <c r="T80" s="350">
        <v>72</v>
      </c>
      <c r="U80" s="350">
        <v>71</v>
      </c>
      <c r="V80" s="350">
        <v>71</v>
      </c>
      <c r="W80" s="435">
        <v>70</v>
      </c>
    </row>
    <row r="81" spans="1:23" ht="12.75" customHeight="1">
      <c r="A81" s="147"/>
      <c r="B81" s="9"/>
      <c r="C81" s="216" t="str">
        <f>VLOOKUP(83,Textbausteine!$AW$2:$BA$156,Hilfsgrössen!$D$2,FALSE)</f>
        <v>Engagement</v>
      </c>
      <c r="D81" s="217" t="str">
        <f>VLOOKUP(14,Textbausteine!$AW$2:$BA$156,Hilfsgrössen!$D$2,FALSE)</f>
        <v>Indice</v>
      </c>
      <c r="E81" s="11" t="s">
        <v>77</v>
      </c>
      <c r="F81" s="11">
        <v>401</v>
      </c>
      <c r="G81" s="49"/>
      <c r="H81" s="333" t="s">
        <v>1470</v>
      </c>
      <c r="I81" s="333" t="s">
        <v>1470</v>
      </c>
      <c r="J81" s="333">
        <v>65</v>
      </c>
      <c r="K81" s="333">
        <v>68</v>
      </c>
      <c r="L81" s="333">
        <v>69</v>
      </c>
      <c r="M81" s="333">
        <v>84</v>
      </c>
      <c r="N81" s="350">
        <v>81</v>
      </c>
      <c r="O81" s="350">
        <v>82</v>
      </c>
      <c r="P81" s="350">
        <v>83</v>
      </c>
      <c r="Q81" s="350">
        <v>82</v>
      </c>
      <c r="R81" s="350">
        <v>82</v>
      </c>
      <c r="S81" s="350">
        <v>82</v>
      </c>
      <c r="T81" s="350">
        <v>81</v>
      </c>
      <c r="U81" s="350">
        <v>80</v>
      </c>
      <c r="V81" s="350">
        <v>81</v>
      </c>
      <c r="W81" s="435">
        <v>80</v>
      </c>
    </row>
    <row r="82" spans="1:23" ht="12.75" customHeight="1">
      <c r="A82" s="147"/>
      <c r="B82" s="9"/>
      <c r="C82" s="15" t="str">
        <f>VLOOKUP(84,Textbausteine!$AW$2:$BA$156,Hilfsgrössen!$D$2,FALSE)</f>
        <v>Compétitivité de l'unité</v>
      </c>
      <c r="D82" s="9" t="str">
        <f>VLOOKUP(14,Textbausteine!$AW$2:$BA$156,Hilfsgrössen!$D$2,FALSE)</f>
        <v>Indice</v>
      </c>
      <c r="E82" s="11" t="s">
        <v>77</v>
      </c>
      <c r="F82" s="11">
        <v>401</v>
      </c>
      <c r="G82" s="49"/>
      <c r="H82" s="333" t="s">
        <v>1470</v>
      </c>
      <c r="I82" s="333" t="s">
        <v>1470</v>
      </c>
      <c r="J82" s="333" t="s">
        <v>1470</v>
      </c>
      <c r="K82" s="333" t="s">
        <v>1470</v>
      </c>
      <c r="L82" s="333" t="s">
        <v>1470</v>
      </c>
      <c r="M82" s="333" t="s">
        <v>1470</v>
      </c>
      <c r="N82" s="333" t="s">
        <v>1470</v>
      </c>
      <c r="O82" s="333" t="s">
        <v>1470</v>
      </c>
      <c r="P82" s="333" t="s">
        <v>1470</v>
      </c>
      <c r="Q82" s="333" t="s">
        <v>1470</v>
      </c>
      <c r="R82" s="333" t="s">
        <v>1470</v>
      </c>
      <c r="S82" s="333" t="s">
        <v>1470</v>
      </c>
      <c r="T82" s="333" t="s">
        <v>1470</v>
      </c>
      <c r="U82" s="333">
        <v>70</v>
      </c>
      <c r="V82" s="333">
        <v>70</v>
      </c>
      <c r="W82" s="435">
        <v>70</v>
      </c>
    </row>
    <row r="83" spans="1:23" ht="12.75" customHeight="1">
      <c r="A83" s="147"/>
      <c r="B83" s="26"/>
      <c r="C83" s="15" t="str">
        <f>VLOOKUP(85,Textbausteine!$AW$2:$BA$156,Hilfsgrössen!$D$2,FALSE)</f>
        <v>Situation professionnelle</v>
      </c>
      <c r="D83" s="9" t="str">
        <f>VLOOKUP(14,Textbausteine!$AW$2:$BA$156,Hilfsgrössen!$D$2,FALSE)</f>
        <v>Indice</v>
      </c>
      <c r="E83" s="11" t="s">
        <v>77</v>
      </c>
      <c r="F83" s="11">
        <v>401</v>
      </c>
      <c r="G83" s="49"/>
      <c r="H83" s="333" t="s">
        <v>1470</v>
      </c>
      <c r="I83" s="333" t="s">
        <v>1470</v>
      </c>
      <c r="J83" s="333" t="s">
        <v>1470</v>
      </c>
      <c r="K83" s="333" t="s">
        <v>1470</v>
      </c>
      <c r="L83" s="333" t="s">
        <v>1470</v>
      </c>
      <c r="M83" s="333" t="s">
        <v>1470</v>
      </c>
      <c r="N83" s="333" t="s">
        <v>1470</v>
      </c>
      <c r="O83" s="333" t="s">
        <v>1470</v>
      </c>
      <c r="P83" s="333" t="s">
        <v>1470</v>
      </c>
      <c r="Q83" s="333" t="s">
        <v>1470</v>
      </c>
      <c r="R83" s="333" t="s">
        <v>1470</v>
      </c>
      <c r="S83" s="333" t="s">
        <v>1470</v>
      </c>
      <c r="T83" s="333" t="s">
        <v>1470</v>
      </c>
      <c r="U83" s="333">
        <v>73</v>
      </c>
      <c r="V83" s="333">
        <v>73</v>
      </c>
      <c r="W83" s="435">
        <v>73</v>
      </c>
    </row>
    <row r="84" spans="1:23" ht="12.75" customHeight="1">
      <c r="A84" s="147"/>
      <c r="B84" s="9"/>
      <c r="C84" s="15"/>
      <c r="D84" s="9"/>
      <c r="E84" s="11"/>
      <c r="F84" s="11"/>
      <c r="G84" s="49"/>
      <c r="H84" s="162"/>
      <c r="I84" s="162"/>
      <c r="J84" s="162"/>
      <c r="K84" s="162"/>
      <c r="L84" s="162"/>
      <c r="M84" s="162"/>
      <c r="T84" s="107"/>
      <c r="U84" s="107"/>
      <c r="V84" s="107"/>
      <c r="W84" s="248"/>
    </row>
    <row r="85" spans="1:23" ht="12.75" customHeight="1">
      <c r="A85" s="147"/>
      <c r="B85" s="9"/>
      <c r="C85" s="8" t="str">
        <f>VLOOKUP(46,Textbausteine!$A$2:$E$67,Hilfsgrössen!$D$2,FALSE)</f>
        <v>Swiss Post Solutions</v>
      </c>
      <c r="D85" s="217"/>
      <c r="E85" s="11"/>
      <c r="F85" s="11"/>
      <c r="G85" s="49"/>
      <c r="H85" s="162"/>
      <c r="I85" s="162"/>
      <c r="J85" s="162"/>
      <c r="K85" s="162"/>
      <c r="L85" s="162"/>
      <c r="M85" s="162"/>
      <c r="T85" s="107"/>
      <c r="U85" s="107"/>
      <c r="V85" s="107"/>
      <c r="W85" s="248"/>
    </row>
    <row r="86" spans="1:23" ht="12.75" customHeight="1">
      <c r="A86" s="147"/>
      <c r="B86" s="9"/>
      <c r="C86" s="15" t="str">
        <f>VLOOKUP(82,Textbausteine!$AW$2:$BA$156,Hilfsgrössen!$D$2,FALSE)</f>
        <v>Satisfaction du personnel</v>
      </c>
      <c r="D86" s="9" t="str">
        <f>VLOOKUP(14,Textbausteine!$AW$2:$BA$156,Hilfsgrössen!$D$2,FALSE)</f>
        <v>Indice</v>
      </c>
      <c r="E86" s="11" t="s">
        <v>716</v>
      </c>
      <c r="F86" s="11">
        <v>401</v>
      </c>
      <c r="G86" s="49"/>
      <c r="H86" s="162" t="s">
        <v>1470</v>
      </c>
      <c r="I86" s="162" t="s">
        <v>1470</v>
      </c>
      <c r="J86" s="162" t="s">
        <v>1470</v>
      </c>
      <c r="K86" s="162" t="s">
        <v>1470</v>
      </c>
      <c r="L86" s="162">
        <v>62</v>
      </c>
      <c r="M86" s="162">
        <v>68</v>
      </c>
      <c r="N86" s="107">
        <v>67</v>
      </c>
      <c r="O86" s="107">
        <v>66</v>
      </c>
      <c r="P86" s="107">
        <v>67</v>
      </c>
      <c r="Q86" s="107">
        <v>66</v>
      </c>
      <c r="R86" s="107">
        <v>67</v>
      </c>
      <c r="S86" s="107">
        <v>67</v>
      </c>
      <c r="T86" s="107">
        <v>68</v>
      </c>
      <c r="U86" s="107">
        <v>69</v>
      </c>
      <c r="V86" s="107">
        <v>70</v>
      </c>
      <c r="W86" s="248">
        <v>70</v>
      </c>
    </row>
    <row r="87" spans="1:23" ht="12.75" customHeight="1">
      <c r="A87" s="147"/>
      <c r="B87" s="9"/>
      <c r="C87" s="216" t="str">
        <f>VLOOKUP(83,Textbausteine!$AW$2:$BA$156,Hilfsgrössen!$D$2,FALSE)</f>
        <v>Engagement</v>
      </c>
      <c r="D87" s="217" t="str">
        <f>VLOOKUP(14,Textbausteine!$AW$2:$BA$156,Hilfsgrössen!$D$2,FALSE)</f>
        <v>Indice</v>
      </c>
      <c r="E87" s="11" t="s">
        <v>1612</v>
      </c>
      <c r="F87" s="11">
        <v>401</v>
      </c>
      <c r="G87" s="49"/>
      <c r="H87" s="162" t="s">
        <v>1470</v>
      </c>
      <c r="I87" s="162" t="s">
        <v>1470</v>
      </c>
      <c r="J87" s="162" t="s">
        <v>1470</v>
      </c>
      <c r="K87" s="162" t="s">
        <v>1470</v>
      </c>
      <c r="L87" s="162">
        <v>63</v>
      </c>
      <c r="M87" s="162">
        <v>81</v>
      </c>
      <c r="N87" s="107">
        <v>80</v>
      </c>
      <c r="O87" s="107">
        <v>79</v>
      </c>
      <c r="P87" s="107">
        <v>79</v>
      </c>
      <c r="Q87" s="107">
        <v>77</v>
      </c>
      <c r="R87" s="107">
        <v>78</v>
      </c>
      <c r="S87" s="107">
        <v>77</v>
      </c>
      <c r="T87" s="107">
        <v>78</v>
      </c>
      <c r="U87" s="107">
        <v>79</v>
      </c>
      <c r="V87" s="107">
        <v>80</v>
      </c>
      <c r="W87" s="248">
        <v>80</v>
      </c>
    </row>
    <row r="88" spans="1:23" ht="12.75" customHeight="1">
      <c r="A88" s="147"/>
      <c r="B88" s="9"/>
      <c r="C88" s="15" t="str">
        <f>VLOOKUP(84,Textbausteine!$AW$2:$BA$156,Hilfsgrössen!$D$2,FALSE)</f>
        <v>Compétitivité de l'unité</v>
      </c>
      <c r="D88" s="9" t="str">
        <f>VLOOKUP(14,Textbausteine!$AW$2:$BA$156,Hilfsgrössen!$D$2,FALSE)</f>
        <v>Indice</v>
      </c>
      <c r="E88" s="11" t="s">
        <v>1612</v>
      </c>
      <c r="F88" s="11">
        <v>401</v>
      </c>
      <c r="G88" s="49"/>
      <c r="H88" s="162" t="s">
        <v>1470</v>
      </c>
      <c r="I88" s="162" t="s">
        <v>1470</v>
      </c>
      <c r="J88" s="162" t="s">
        <v>1470</v>
      </c>
      <c r="K88" s="162" t="s">
        <v>1470</v>
      </c>
      <c r="L88" s="162" t="s">
        <v>1470</v>
      </c>
      <c r="M88" s="162" t="s">
        <v>1470</v>
      </c>
      <c r="N88" s="162" t="s">
        <v>1470</v>
      </c>
      <c r="O88" s="162" t="s">
        <v>1470</v>
      </c>
      <c r="P88" s="162" t="s">
        <v>1470</v>
      </c>
      <c r="Q88" s="162" t="s">
        <v>1470</v>
      </c>
      <c r="R88" s="162" t="s">
        <v>1470</v>
      </c>
      <c r="S88" s="162" t="s">
        <v>1470</v>
      </c>
      <c r="T88" s="162" t="s">
        <v>1470</v>
      </c>
      <c r="U88" s="162">
        <v>74</v>
      </c>
      <c r="V88" s="162">
        <v>75</v>
      </c>
      <c r="W88" s="248">
        <v>75</v>
      </c>
    </row>
    <row r="89" spans="1:23" ht="12.75" customHeight="1">
      <c r="A89" s="147"/>
      <c r="B89" s="26"/>
      <c r="C89" s="15" t="str">
        <f>VLOOKUP(85,Textbausteine!$AW$2:$BA$156,Hilfsgrössen!$D$2,FALSE)</f>
        <v>Situation professionnelle</v>
      </c>
      <c r="D89" s="9" t="str">
        <f>VLOOKUP(14,Textbausteine!$AW$2:$BA$156,Hilfsgrössen!$D$2,FALSE)</f>
        <v>Indice</v>
      </c>
      <c r="E89" s="11" t="s">
        <v>1612</v>
      </c>
      <c r="F89" s="11">
        <v>401</v>
      </c>
      <c r="G89" s="49"/>
      <c r="H89" s="162" t="s">
        <v>1470</v>
      </c>
      <c r="I89" s="162" t="s">
        <v>1470</v>
      </c>
      <c r="J89" s="162" t="s">
        <v>1470</v>
      </c>
      <c r="K89" s="162" t="s">
        <v>1470</v>
      </c>
      <c r="L89" s="162" t="s">
        <v>1470</v>
      </c>
      <c r="M89" s="162" t="s">
        <v>1470</v>
      </c>
      <c r="N89" s="162" t="s">
        <v>1470</v>
      </c>
      <c r="O89" s="162" t="s">
        <v>1470</v>
      </c>
      <c r="P89" s="162" t="s">
        <v>1470</v>
      </c>
      <c r="Q89" s="162" t="s">
        <v>1470</v>
      </c>
      <c r="R89" s="162" t="s">
        <v>1470</v>
      </c>
      <c r="S89" s="162" t="s">
        <v>1470</v>
      </c>
      <c r="T89" s="162" t="s">
        <v>1470</v>
      </c>
      <c r="U89" s="162">
        <v>74</v>
      </c>
      <c r="V89" s="162">
        <v>75</v>
      </c>
      <c r="W89" s="248">
        <v>75</v>
      </c>
    </row>
    <row r="90" spans="1:23" ht="12.75" customHeight="1">
      <c r="A90" s="147"/>
      <c r="B90" s="9"/>
      <c r="C90" s="15"/>
      <c r="D90" s="9"/>
      <c r="E90" s="13"/>
      <c r="F90" s="11"/>
      <c r="G90" s="51"/>
      <c r="H90" s="162"/>
      <c r="I90" s="162"/>
      <c r="J90" s="162"/>
      <c r="K90" s="162"/>
      <c r="L90" s="162"/>
      <c r="M90" s="162"/>
      <c r="T90" s="107"/>
      <c r="U90" s="107"/>
      <c r="V90" s="107"/>
      <c r="W90" s="248"/>
    </row>
    <row r="91" spans="1:23" ht="12.75" customHeight="1">
      <c r="A91" s="147"/>
      <c r="B91" s="9"/>
      <c r="C91" s="8" t="str">
        <f>VLOOKUP(47,Textbausteine!$A$2:$E$67,Hilfsgrössen!$D$2,FALSE)</f>
        <v>RéseauPostal</v>
      </c>
      <c r="D91" s="217"/>
      <c r="E91" s="11"/>
      <c r="F91" s="11"/>
      <c r="G91" s="49"/>
      <c r="H91" s="162"/>
      <c r="I91" s="162"/>
      <c r="J91" s="162"/>
      <c r="K91" s="162"/>
      <c r="L91" s="162"/>
      <c r="M91" s="162"/>
      <c r="T91" s="107"/>
      <c r="U91" s="107"/>
      <c r="V91" s="107"/>
      <c r="W91" s="248"/>
    </row>
    <row r="92" spans="1:23" ht="12.75" customHeight="1">
      <c r="A92" s="147"/>
      <c r="B92" s="9"/>
      <c r="C92" s="15" t="str">
        <f>VLOOKUP(82,Textbausteine!$AW$2:$BA$156,Hilfsgrössen!$D$2,FALSE)</f>
        <v>Satisfaction du personnel</v>
      </c>
      <c r="D92" s="9" t="str">
        <f>VLOOKUP(14,Textbausteine!$AW$2:$BA$156,Hilfsgrössen!$D$2,FALSE)</f>
        <v>Indice</v>
      </c>
      <c r="E92" s="11">
        <v>1</v>
      </c>
      <c r="F92" s="11">
        <v>401</v>
      </c>
      <c r="G92" s="49"/>
      <c r="H92" s="162">
        <v>67</v>
      </c>
      <c r="I92" s="162">
        <v>69</v>
      </c>
      <c r="J92" s="162">
        <v>69</v>
      </c>
      <c r="K92" s="162">
        <v>69</v>
      </c>
      <c r="L92" s="162">
        <v>64</v>
      </c>
      <c r="M92" s="162">
        <v>75</v>
      </c>
      <c r="N92" s="107">
        <v>75</v>
      </c>
      <c r="O92" s="107">
        <v>76</v>
      </c>
      <c r="P92" s="107">
        <v>75</v>
      </c>
      <c r="Q92" s="107">
        <v>74</v>
      </c>
      <c r="R92" s="107">
        <v>73</v>
      </c>
      <c r="S92" s="107">
        <v>74</v>
      </c>
      <c r="T92" s="107">
        <v>72</v>
      </c>
      <c r="U92" s="107">
        <v>69</v>
      </c>
      <c r="V92" s="107">
        <v>71</v>
      </c>
      <c r="W92" s="248">
        <v>72</v>
      </c>
    </row>
    <row r="93" spans="1:23" ht="12.75" customHeight="1">
      <c r="A93" s="147"/>
      <c r="B93" s="9"/>
      <c r="C93" s="216" t="str">
        <f>VLOOKUP(83,Textbausteine!$AW$2:$BA$156,Hilfsgrössen!$D$2,FALSE)</f>
        <v>Engagement</v>
      </c>
      <c r="D93" s="217" t="str">
        <f>VLOOKUP(14,Textbausteine!$AW$2:$BA$156,Hilfsgrössen!$D$2,FALSE)</f>
        <v>Indice</v>
      </c>
      <c r="E93" s="11" t="s">
        <v>77</v>
      </c>
      <c r="F93" s="11">
        <v>401</v>
      </c>
      <c r="G93" s="49"/>
      <c r="H93" s="162" t="s">
        <v>1470</v>
      </c>
      <c r="I93" s="162" t="s">
        <v>1470</v>
      </c>
      <c r="J93" s="162">
        <v>73</v>
      </c>
      <c r="K93" s="162">
        <v>72</v>
      </c>
      <c r="L93" s="162">
        <v>70</v>
      </c>
      <c r="M93" s="162">
        <v>80</v>
      </c>
      <c r="N93" s="107">
        <v>80</v>
      </c>
      <c r="O93" s="107">
        <v>81</v>
      </c>
      <c r="P93" s="107">
        <v>80</v>
      </c>
      <c r="Q93" s="107">
        <v>79</v>
      </c>
      <c r="R93" s="107">
        <v>78</v>
      </c>
      <c r="S93" s="107">
        <v>78</v>
      </c>
      <c r="T93" s="107">
        <v>77</v>
      </c>
      <c r="U93" s="107">
        <v>75</v>
      </c>
      <c r="V93" s="107">
        <v>76</v>
      </c>
      <c r="W93" s="248">
        <v>77</v>
      </c>
    </row>
    <row r="94" spans="1:23" ht="12.75" customHeight="1">
      <c r="A94" s="147"/>
      <c r="B94" s="9"/>
      <c r="C94" s="15" t="str">
        <f>VLOOKUP(84,Textbausteine!$AW$2:$BA$156,Hilfsgrössen!$D$2,FALSE)</f>
        <v>Compétitivité de l'unité</v>
      </c>
      <c r="D94" s="9" t="str">
        <f>VLOOKUP(14,Textbausteine!$AW$2:$BA$156,Hilfsgrössen!$D$2,FALSE)</f>
        <v>Indice</v>
      </c>
      <c r="E94" s="11" t="s">
        <v>77</v>
      </c>
      <c r="F94" s="11">
        <v>401</v>
      </c>
      <c r="G94" s="49"/>
      <c r="H94" s="162" t="s">
        <v>1470</v>
      </c>
      <c r="I94" s="162" t="s">
        <v>1470</v>
      </c>
      <c r="J94" s="162" t="s">
        <v>1470</v>
      </c>
      <c r="K94" s="162" t="s">
        <v>1470</v>
      </c>
      <c r="L94" s="162" t="s">
        <v>1470</v>
      </c>
      <c r="M94" s="162" t="s">
        <v>1470</v>
      </c>
      <c r="N94" s="162" t="s">
        <v>1470</v>
      </c>
      <c r="O94" s="162" t="s">
        <v>1470</v>
      </c>
      <c r="P94" s="162" t="s">
        <v>1470</v>
      </c>
      <c r="Q94" s="162" t="s">
        <v>1470</v>
      </c>
      <c r="R94" s="162" t="s">
        <v>1470</v>
      </c>
      <c r="S94" s="162" t="s">
        <v>1470</v>
      </c>
      <c r="T94" s="162" t="s">
        <v>1470</v>
      </c>
      <c r="U94" s="162">
        <v>65</v>
      </c>
      <c r="V94" s="162">
        <v>68</v>
      </c>
      <c r="W94" s="248">
        <v>71</v>
      </c>
    </row>
    <row r="95" spans="1:23" ht="12.75" customHeight="1">
      <c r="A95" s="147"/>
      <c r="B95" s="26"/>
      <c r="C95" s="15" t="str">
        <f>VLOOKUP(85,Textbausteine!$AW$2:$BA$156,Hilfsgrössen!$D$2,FALSE)</f>
        <v>Situation professionnelle</v>
      </c>
      <c r="D95" s="9" t="str">
        <f>VLOOKUP(14,Textbausteine!$AW$2:$BA$156,Hilfsgrössen!$D$2,FALSE)</f>
        <v>Indice</v>
      </c>
      <c r="E95" s="11" t="s">
        <v>77</v>
      </c>
      <c r="F95" s="11">
        <v>401</v>
      </c>
      <c r="G95" s="49"/>
      <c r="H95" s="162" t="s">
        <v>1470</v>
      </c>
      <c r="I95" s="162" t="s">
        <v>1470</v>
      </c>
      <c r="J95" s="162" t="s">
        <v>1470</v>
      </c>
      <c r="K95" s="162" t="s">
        <v>1470</v>
      </c>
      <c r="L95" s="162" t="s">
        <v>1470</v>
      </c>
      <c r="M95" s="162" t="s">
        <v>1470</v>
      </c>
      <c r="N95" s="162" t="s">
        <v>1470</v>
      </c>
      <c r="O95" s="162" t="s">
        <v>1470</v>
      </c>
      <c r="P95" s="162" t="s">
        <v>1470</v>
      </c>
      <c r="Q95" s="162" t="s">
        <v>1470</v>
      </c>
      <c r="R95" s="162" t="s">
        <v>1470</v>
      </c>
      <c r="S95" s="162" t="s">
        <v>1470</v>
      </c>
      <c r="T95" s="162" t="s">
        <v>1470</v>
      </c>
      <c r="U95" s="162">
        <v>75</v>
      </c>
      <c r="V95" s="162">
        <v>76</v>
      </c>
      <c r="W95" s="248">
        <v>77</v>
      </c>
    </row>
    <row r="96" spans="1:23" ht="12.75" customHeight="1">
      <c r="A96" s="147"/>
      <c r="B96" s="9"/>
      <c r="C96" s="15"/>
      <c r="D96" s="9"/>
      <c r="E96" s="13"/>
      <c r="F96" s="11"/>
      <c r="G96" s="51"/>
      <c r="H96" s="162"/>
      <c r="I96" s="162"/>
      <c r="J96" s="162"/>
      <c r="K96" s="162"/>
      <c r="L96" s="162"/>
      <c r="M96" s="162"/>
      <c r="T96" s="107"/>
      <c r="U96" s="107"/>
      <c r="V96" s="107"/>
      <c r="W96" s="248"/>
    </row>
    <row r="97" spans="1:23" ht="12.75" customHeight="1">
      <c r="A97" s="147"/>
      <c r="B97" s="9"/>
      <c r="C97" s="8" t="str">
        <f>VLOOKUP(49,Textbausteine!$A$2:$E$67,Hilfsgrössen!$D$2,FALSE)</f>
        <v>PostFinance</v>
      </c>
      <c r="D97" s="217"/>
      <c r="E97" s="11"/>
      <c r="F97" s="11"/>
      <c r="G97" s="49"/>
      <c r="H97" s="162"/>
      <c r="I97" s="162"/>
      <c r="J97" s="162"/>
      <c r="K97" s="162"/>
      <c r="L97" s="162"/>
      <c r="M97" s="162"/>
      <c r="T97" s="107"/>
      <c r="U97" s="107"/>
      <c r="V97" s="107"/>
      <c r="W97" s="248"/>
    </row>
    <row r="98" spans="1:23" ht="12.75" customHeight="1">
      <c r="A98" s="147"/>
      <c r="B98" s="9"/>
      <c r="C98" s="15" t="str">
        <f>VLOOKUP(82,Textbausteine!$AW$2:$BA$156,Hilfsgrössen!$D$2,FALSE)</f>
        <v>Satisfaction du personnel</v>
      </c>
      <c r="D98" s="9" t="str">
        <f>VLOOKUP(14,Textbausteine!$AW$2:$BA$156,Hilfsgrössen!$D$2,FALSE)</f>
        <v>Indice</v>
      </c>
      <c r="E98" s="11">
        <v>1</v>
      </c>
      <c r="F98" s="11">
        <v>401</v>
      </c>
      <c r="G98" s="49"/>
      <c r="H98" s="162">
        <v>68</v>
      </c>
      <c r="I98" s="162">
        <v>69</v>
      </c>
      <c r="J98" s="162">
        <v>70</v>
      </c>
      <c r="K98" s="162">
        <v>69</v>
      </c>
      <c r="L98" s="162">
        <v>70</v>
      </c>
      <c r="M98" s="162">
        <v>79</v>
      </c>
      <c r="N98" s="107">
        <v>80</v>
      </c>
      <c r="O98" s="107">
        <v>80</v>
      </c>
      <c r="P98" s="107">
        <v>79</v>
      </c>
      <c r="Q98" s="107">
        <v>78</v>
      </c>
      <c r="R98" s="107">
        <v>76</v>
      </c>
      <c r="S98" s="107">
        <v>78</v>
      </c>
      <c r="T98" s="107">
        <v>79</v>
      </c>
      <c r="U98" s="107">
        <v>78</v>
      </c>
      <c r="V98" s="107">
        <v>75</v>
      </c>
      <c r="W98" s="248">
        <v>77</v>
      </c>
    </row>
    <row r="99" spans="1:23" ht="12.75" customHeight="1">
      <c r="A99" s="147"/>
      <c r="B99" s="9"/>
      <c r="C99" s="216" t="str">
        <f>VLOOKUP(83,Textbausteine!$AW$2:$BA$156,Hilfsgrössen!$D$2,FALSE)</f>
        <v>Engagement</v>
      </c>
      <c r="D99" s="217" t="str">
        <f>VLOOKUP(14,Textbausteine!$AW$2:$BA$156,Hilfsgrössen!$D$2,FALSE)</f>
        <v>Indice</v>
      </c>
      <c r="E99" s="11" t="s">
        <v>77</v>
      </c>
      <c r="F99" s="11">
        <v>401</v>
      </c>
      <c r="G99" s="49"/>
      <c r="H99" s="162" t="s">
        <v>1470</v>
      </c>
      <c r="I99" s="162" t="s">
        <v>1470</v>
      </c>
      <c r="J99" s="162">
        <v>73</v>
      </c>
      <c r="K99" s="162">
        <v>73</v>
      </c>
      <c r="L99" s="162">
        <v>76</v>
      </c>
      <c r="M99" s="162">
        <v>87</v>
      </c>
      <c r="N99" s="107">
        <v>88</v>
      </c>
      <c r="O99" s="107">
        <v>88</v>
      </c>
      <c r="P99" s="107">
        <v>87</v>
      </c>
      <c r="Q99" s="107">
        <v>86</v>
      </c>
      <c r="R99" s="107">
        <v>86</v>
      </c>
      <c r="S99" s="107">
        <v>87</v>
      </c>
      <c r="T99" s="107">
        <v>88</v>
      </c>
      <c r="U99" s="107">
        <v>86</v>
      </c>
      <c r="V99" s="107">
        <v>84</v>
      </c>
      <c r="W99" s="248">
        <v>84</v>
      </c>
    </row>
    <row r="100" spans="1:23" ht="12.75" customHeight="1">
      <c r="A100" s="147"/>
      <c r="B100" s="9"/>
      <c r="C100" s="15" t="str">
        <f>VLOOKUP(84,Textbausteine!$AW$2:$BA$156,Hilfsgrössen!$D$2,FALSE)</f>
        <v>Compétitivité de l'unité</v>
      </c>
      <c r="D100" s="9" t="str">
        <f>VLOOKUP(14,Textbausteine!$AW$2:$BA$156,Hilfsgrössen!$D$2,FALSE)</f>
        <v>Indice</v>
      </c>
      <c r="E100" s="11" t="s">
        <v>77</v>
      </c>
      <c r="F100" s="11">
        <v>401</v>
      </c>
      <c r="G100" s="49"/>
      <c r="H100" s="162" t="s">
        <v>1470</v>
      </c>
      <c r="I100" s="162" t="s">
        <v>1470</v>
      </c>
      <c r="J100" s="162" t="s">
        <v>1470</v>
      </c>
      <c r="K100" s="162" t="s">
        <v>1470</v>
      </c>
      <c r="L100" s="162" t="s">
        <v>1470</v>
      </c>
      <c r="M100" s="162" t="s">
        <v>1470</v>
      </c>
      <c r="N100" s="162" t="s">
        <v>1470</v>
      </c>
      <c r="O100" s="162" t="s">
        <v>1470</v>
      </c>
      <c r="P100" s="162" t="s">
        <v>1470</v>
      </c>
      <c r="Q100" s="162" t="s">
        <v>1470</v>
      </c>
      <c r="R100" s="162" t="s">
        <v>1470</v>
      </c>
      <c r="S100" s="162" t="s">
        <v>1470</v>
      </c>
      <c r="T100" s="162" t="s">
        <v>1470</v>
      </c>
      <c r="U100" s="162">
        <v>74</v>
      </c>
      <c r="V100" s="162">
        <v>71</v>
      </c>
      <c r="W100" s="248">
        <v>72</v>
      </c>
    </row>
    <row r="101" spans="1:23" ht="12.75" customHeight="1">
      <c r="A101" s="147"/>
      <c r="B101" s="26"/>
      <c r="C101" s="15" t="str">
        <f>VLOOKUP(85,Textbausteine!$AW$2:$BA$156,Hilfsgrössen!$D$2,FALSE)</f>
        <v>Situation professionnelle</v>
      </c>
      <c r="D101" s="9" t="str">
        <f>VLOOKUP(14,Textbausteine!$AW$2:$BA$156,Hilfsgrössen!$D$2,FALSE)</f>
        <v>Indice</v>
      </c>
      <c r="E101" s="11" t="s">
        <v>77</v>
      </c>
      <c r="F101" s="11">
        <v>401</v>
      </c>
      <c r="G101" s="49"/>
      <c r="H101" s="162" t="s">
        <v>1470</v>
      </c>
      <c r="I101" s="162" t="s">
        <v>1470</v>
      </c>
      <c r="J101" s="162" t="s">
        <v>1470</v>
      </c>
      <c r="K101" s="162" t="s">
        <v>1470</v>
      </c>
      <c r="L101" s="162" t="s">
        <v>1470</v>
      </c>
      <c r="M101" s="162" t="s">
        <v>1470</v>
      </c>
      <c r="N101" s="162" t="s">
        <v>1470</v>
      </c>
      <c r="O101" s="162" t="s">
        <v>1470</v>
      </c>
      <c r="P101" s="162" t="s">
        <v>1470</v>
      </c>
      <c r="Q101" s="162" t="s">
        <v>1470</v>
      </c>
      <c r="R101" s="162" t="s">
        <v>1470</v>
      </c>
      <c r="S101" s="162" t="s">
        <v>1470</v>
      </c>
      <c r="T101" s="162" t="s">
        <v>1470</v>
      </c>
      <c r="U101" s="162">
        <v>78</v>
      </c>
      <c r="V101" s="162">
        <v>77</v>
      </c>
      <c r="W101" s="248">
        <v>78</v>
      </c>
    </row>
    <row r="102" spans="1:23" ht="12.75" customHeight="1">
      <c r="A102" s="147"/>
      <c r="B102" s="9"/>
      <c r="C102" s="15"/>
      <c r="D102" s="9"/>
      <c r="E102" s="13"/>
      <c r="F102" s="11"/>
      <c r="G102" s="51"/>
      <c r="H102" s="162"/>
      <c r="I102" s="162"/>
      <c r="J102" s="162"/>
      <c r="K102" s="162"/>
      <c r="L102" s="162"/>
      <c r="M102" s="162"/>
      <c r="T102" s="107"/>
      <c r="U102" s="107"/>
      <c r="V102" s="107"/>
      <c r="W102" s="248"/>
    </row>
    <row r="103" spans="1:23" ht="12.75" customHeight="1">
      <c r="A103" s="147"/>
      <c r="B103" s="9"/>
      <c r="C103" s="8" t="str">
        <f>VLOOKUP(50,Textbausteine!$A$2:$E$67,Hilfsgrössen!$D$2,FALSE)</f>
        <v>CarPostal</v>
      </c>
      <c r="D103" s="217"/>
      <c r="E103" s="11"/>
      <c r="F103" s="11"/>
      <c r="G103" s="49"/>
      <c r="H103" s="162"/>
      <c r="I103" s="162"/>
      <c r="J103" s="162"/>
      <c r="K103" s="162"/>
      <c r="L103" s="162"/>
      <c r="M103" s="162"/>
      <c r="T103" s="107"/>
      <c r="U103" s="107"/>
      <c r="V103" s="107"/>
      <c r="W103" s="248"/>
    </row>
    <row r="104" spans="1:23" ht="12.75" customHeight="1">
      <c r="A104" s="147"/>
      <c r="B104" s="9"/>
      <c r="C104" s="15" t="str">
        <f>VLOOKUP(82,Textbausteine!$AW$2:$BA$156,Hilfsgrössen!$D$2,FALSE)</f>
        <v>Satisfaction du personnel</v>
      </c>
      <c r="D104" s="9" t="str">
        <f>VLOOKUP(14,Textbausteine!$AW$2:$BA$156,Hilfsgrössen!$D$2,FALSE)</f>
        <v>Indice</v>
      </c>
      <c r="E104" s="11">
        <v>1</v>
      </c>
      <c r="F104" s="11">
        <v>401</v>
      </c>
      <c r="G104" s="49"/>
      <c r="H104" s="162">
        <v>67</v>
      </c>
      <c r="I104" s="162">
        <v>67</v>
      </c>
      <c r="J104" s="162">
        <v>68</v>
      </c>
      <c r="K104" s="162">
        <v>68</v>
      </c>
      <c r="L104" s="162">
        <v>67</v>
      </c>
      <c r="M104" s="162">
        <v>74</v>
      </c>
      <c r="N104" s="107">
        <v>75</v>
      </c>
      <c r="O104" s="107">
        <v>75</v>
      </c>
      <c r="P104" s="107">
        <v>76</v>
      </c>
      <c r="Q104" s="107">
        <v>76</v>
      </c>
      <c r="R104" s="107">
        <v>76</v>
      </c>
      <c r="S104" s="107">
        <v>76</v>
      </c>
      <c r="T104" s="107">
        <v>75</v>
      </c>
      <c r="U104" s="107">
        <v>74</v>
      </c>
      <c r="V104" s="107">
        <v>72</v>
      </c>
      <c r="W104" s="248">
        <v>72</v>
      </c>
    </row>
    <row r="105" spans="1:23" ht="12.75" customHeight="1">
      <c r="A105" s="147"/>
      <c r="B105" s="9"/>
      <c r="C105" s="216" t="str">
        <f>VLOOKUP(83,Textbausteine!$AW$2:$BA$156,Hilfsgrössen!$D$2,FALSE)</f>
        <v>Engagement</v>
      </c>
      <c r="D105" s="217" t="str">
        <f>VLOOKUP(14,Textbausteine!$AW$2:$BA$156,Hilfsgrössen!$D$2,FALSE)</f>
        <v>Indice</v>
      </c>
      <c r="E105" s="11" t="s">
        <v>77</v>
      </c>
      <c r="F105" s="11">
        <v>401</v>
      </c>
      <c r="G105" s="49"/>
      <c r="H105" s="162" t="s">
        <v>1470</v>
      </c>
      <c r="I105" s="162" t="s">
        <v>1470</v>
      </c>
      <c r="J105" s="162">
        <v>72</v>
      </c>
      <c r="K105" s="162">
        <v>70</v>
      </c>
      <c r="L105" s="162">
        <v>70</v>
      </c>
      <c r="M105" s="162">
        <v>84</v>
      </c>
      <c r="N105" s="107">
        <v>85</v>
      </c>
      <c r="O105" s="107">
        <v>85</v>
      </c>
      <c r="P105" s="107">
        <v>86</v>
      </c>
      <c r="Q105" s="107">
        <v>86</v>
      </c>
      <c r="R105" s="107">
        <v>86</v>
      </c>
      <c r="S105" s="107">
        <v>86</v>
      </c>
      <c r="T105" s="107">
        <v>85</v>
      </c>
      <c r="U105" s="107">
        <v>83</v>
      </c>
      <c r="V105" s="107">
        <v>80</v>
      </c>
      <c r="W105" s="248">
        <v>82</v>
      </c>
    </row>
    <row r="106" spans="1:23" ht="12.75" customHeight="1">
      <c r="A106" s="147"/>
      <c r="B106" s="9"/>
      <c r="C106" s="15" t="str">
        <f>VLOOKUP(84,Textbausteine!$AW$2:$BA$156,Hilfsgrössen!$D$2,FALSE)</f>
        <v>Compétitivité de l'unité</v>
      </c>
      <c r="D106" s="9" t="str">
        <f>VLOOKUP(14,Textbausteine!$AW$2:$BA$156,Hilfsgrössen!$D$2,FALSE)</f>
        <v>Indice</v>
      </c>
      <c r="E106" s="11" t="s">
        <v>77</v>
      </c>
      <c r="F106" s="11">
        <v>401</v>
      </c>
      <c r="G106" s="49"/>
      <c r="H106" s="162" t="s">
        <v>1470</v>
      </c>
      <c r="I106" s="162" t="s">
        <v>1470</v>
      </c>
      <c r="J106" s="162" t="s">
        <v>1470</v>
      </c>
      <c r="K106" s="162" t="s">
        <v>1470</v>
      </c>
      <c r="L106" s="162" t="s">
        <v>1470</v>
      </c>
      <c r="M106" s="162" t="s">
        <v>1470</v>
      </c>
      <c r="N106" s="162" t="s">
        <v>1470</v>
      </c>
      <c r="O106" s="162" t="s">
        <v>1470</v>
      </c>
      <c r="P106" s="162" t="s">
        <v>1470</v>
      </c>
      <c r="Q106" s="162" t="s">
        <v>1470</v>
      </c>
      <c r="R106" s="162" t="s">
        <v>1470</v>
      </c>
      <c r="S106" s="162" t="s">
        <v>1470</v>
      </c>
      <c r="T106" s="162" t="s">
        <v>1470</v>
      </c>
      <c r="U106" s="162">
        <v>70</v>
      </c>
      <c r="V106" s="162">
        <v>66</v>
      </c>
      <c r="W106" s="248">
        <v>68</v>
      </c>
    </row>
    <row r="107" spans="1:23" ht="12.75" customHeight="1">
      <c r="A107" s="147"/>
      <c r="B107" s="26"/>
      <c r="C107" s="15" t="str">
        <f>VLOOKUP(85,Textbausteine!$AW$2:$BA$156,Hilfsgrössen!$D$2,FALSE)</f>
        <v>Situation professionnelle</v>
      </c>
      <c r="D107" s="9" t="str">
        <f>VLOOKUP(14,Textbausteine!$AW$2:$BA$156,Hilfsgrössen!$D$2,FALSE)</f>
        <v>Indice</v>
      </c>
      <c r="E107" s="11" t="s">
        <v>77</v>
      </c>
      <c r="F107" s="11">
        <v>401</v>
      </c>
      <c r="G107" s="49"/>
      <c r="H107" s="162" t="s">
        <v>1470</v>
      </c>
      <c r="I107" s="162" t="s">
        <v>1470</v>
      </c>
      <c r="J107" s="162" t="s">
        <v>1470</v>
      </c>
      <c r="K107" s="162" t="s">
        <v>1470</v>
      </c>
      <c r="L107" s="162" t="s">
        <v>1470</v>
      </c>
      <c r="M107" s="162" t="s">
        <v>1470</v>
      </c>
      <c r="N107" s="162" t="s">
        <v>1470</v>
      </c>
      <c r="O107" s="162" t="s">
        <v>1470</v>
      </c>
      <c r="P107" s="162" t="s">
        <v>1470</v>
      </c>
      <c r="Q107" s="162" t="s">
        <v>1470</v>
      </c>
      <c r="R107" s="162" t="s">
        <v>1470</v>
      </c>
      <c r="S107" s="162" t="s">
        <v>1470</v>
      </c>
      <c r="T107" s="162" t="s">
        <v>1470</v>
      </c>
      <c r="U107" s="162">
        <v>73</v>
      </c>
      <c r="V107" s="162">
        <v>72</v>
      </c>
      <c r="W107" s="248">
        <v>73</v>
      </c>
    </row>
    <row r="108" spans="7:23" ht="12.75" customHeight="1">
      <c r="G108" s="49"/>
      <c r="T108" s="107"/>
      <c r="U108" s="107"/>
      <c r="V108" s="107"/>
      <c r="W108" s="107"/>
    </row>
    <row r="109" spans="1:87" ht="12" customHeight="1">
      <c r="A109" s="81"/>
      <c r="B109" s="26" t="str">
        <f>VLOOKUP(151,Textbausteine!$AW$2:$BA$156,Hilfsgrössen!$D$2,FALSE)</f>
        <v>1) L'enquête auprès du personnel a été remaniée en 2009. Les résultats ne peuvent donc pas être comparés avec ceux des années précédentes.</v>
      </c>
      <c r="C109" s="68"/>
      <c r="E109" s="11"/>
      <c r="F109" s="11"/>
      <c r="G109" s="49"/>
      <c r="H109" s="175"/>
      <c r="I109" s="175"/>
      <c r="J109" s="175"/>
      <c r="K109" s="175"/>
      <c r="L109" s="175"/>
      <c r="M109" s="175"/>
      <c r="N109" s="162"/>
      <c r="O109" s="162"/>
      <c r="P109" s="162"/>
      <c r="Q109" s="162"/>
      <c r="R109" s="162"/>
      <c r="S109" s="162"/>
      <c r="T109" s="163"/>
      <c r="U109" s="163"/>
      <c r="V109" s="163"/>
      <c r="W109" s="163"/>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row>
    <row r="110" spans="1:87" ht="12" customHeight="1">
      <c r="A110" s="81"/>
      <c r="B110" s="26" t="str">
        <f>VLOOKUP(152,Textbausteine!$AW$2:$BA$156,Hilfsgrössen!$D$2,FALSE)</f>
        <v>2) Cette dimension a été relevée pour la première fois dans l'enquête auprès du personnel 2006.</v>
      </c>
      <c r="C110" s="15"/>
      <c r="D110" s="9"/>
      <c r="E110" s="44"/>
      <c r="F110" s="44"/>
      <c r="G110" s="49"/>
      <c r="H110" s="162"/>
      <c r="I110" s="162"/>
      <c r="J110" s="162"/>
      <c r="K110" s="162"/>
      <c r="L110" s="162"/>
      <c r="M110" s="162"/>
      <c r="N110" s="20"/>
      <c r="O110" s="20"/>
      <c r="Q110" s="163"/>
      <c r="R110" s="162"/>
      <c r="S110" s="162"/>
      <c r="T110" s="163"/>
      <c r="U110" s="163"/>
      <c r="V110" s="163"/>
      <c r="W110" s="163"/>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row>
    <row r="111" spans="2:23" ht="12.75" customHeight="1">
      <c r="B111" s="26" t="str">
        <f>VLOOKUP(153,Textbausteine!$AW$2:$BA$156,Hilfsgrössen!$D$2,FALSE)</f>
        <v>3) L'unité du groupe Swiss Post Solutions n'existant que depuis le 1er octobre 2007, aucune valeur ne peut être présentée pour les années précédentes.</v>
      </c>
      <c r="T111" s="107"/>
      <c r="U111" s="107"/>
      <c r="V111" s="107"/>
      <c r="W111" s="107"/>
    </row>
    <row r="112" spans="20:23" ht="12.75" customHeight="1">
      <c r="T112" s="107"/>
      <c r="U112" s="107"/>
      <c r="V112" s="107"/>
      <c r="W112" s="107"/>
    </row>
    <row r="113" spans="20:23" ht="12.75" customHeight="1">
      <c r="T113" s="107"/>
      <c r="U113" s="107"/>
      <c r="V113" s="107"/>
      <c r="W113" s="107"/>
    </row>
    <row r="114" spans="20:23" ht="12.75" customHeight="1">
      <c r="T114" s="107"/>
      <c r="U114" s="107"/>
      <c r="V114" s="107"/>
      <c r="W114" s="107"/>
    </row>
    <row r="115" spans="7:23" ht="12.75" customHeight="1">
      <c r="G115" s="48"/>
      <c r="T115" s="107"/>
      <c r="U115" s="107"/>
      <c r="V115" s="107"/>
      <c r="W115" s="107"/>
    </row>
    <row r="116" spans="7:23" ht="12.75" customHeight="1">
      <c r="G116" s="48"/>
      <c r="T116" s="107"/>
      <c r="U116" s="107"/>
      <c r="V116" s="107"/>
      <c r="W116" s="107"/>
    </row>
    <row r="117" spans="7:23" ht="12.75" customHeight="1">
      <c r="G117" s="49"/>
      <c r="T117" s="107"/>
      <c r="U117" s="107"/>
      <c r="V117" s="107"/>
      <c r="W117" s="107"/>
    </row>
    <row r="118" spans="7:23" ht="12.75" customHeight="1">
      <c r="G118" s="46"/>
      <c r="T118" s="107"/>
      <c r="U118" s="107"/>
      <c r="V118" s="107"/>
      <c r="W118" s="107"/>
    </row>
    <row r="119" ht="12.75" customHeight="1">
      <c r="G119" s="49"/>
    </row>
    <row r="120" ht="12.75" customHeight="1">
      <c r="G120" s="49"/>
    </row>
    <row r="121" ht="12.75" customHeight="1">
      <c r="G121" s="49"/>
    </row>
    <row r="122" ht="12.75" customHeight="1">
      <c r="G122" s="49"/>
    </row>
    <row r="123" spans="7:13" ht="12.75" customHeight="1">
      <c r="G123" s="54"/>
      <c r="H123" s="160"/>
      <c r="I123" s="160"/>
      <c r="J123" s="160"/>
      <c r="K123" s="160"/>
      <c r="L123" s="160"/>
      <c r="M123" s="160"/>
    </row>
    <row r="124" spans="7:13" ht="12.75" customHeight="1">
      <c r="G124" s="54"/>
      <c r="H124" s="160"/>
      <c r="I124" s="160"/>
      <c r="J124" s="160"/>
      <c r="K124" s="160"/>
      <c r="L124" s="160"/>
      <c r="M124" s="160"/>
    </row>
    <row r="125" spans="7:23" ht="12.75" customHeight="1">
      <c r="G125" s="54"/>
      <c r="T125" s="119"/>
      <c r="U125" s="119"/>
      <c r="V125" s="119"/>
      <c r="W125" s="119"/>
    </row>
    <row r="126" spans="8:23" ht="12.75" customHeight="1">
      <c r="H126" s="117"/>
      <c r="I126" s="117"/>
      <c r="J126" s="117"/>
      <c r="K126" s="117"/>
      <c r="L126" s="117"/>
      <c r="M126" s="117"/>
      <c r="T126" s="119"/>
      <c r="U126" s="119"/>
      <c r="V126" s="119"/>
      <c r="W126" s="119"/>
    </row>
    <row r="130" spans="20:23" ht="12.75" customHeight="1">
      <c r="T130" s="140"/>
      <c r="U130" s="140"/>
      <c r="V130" s="140"/>
      <c r="W130" s="140"/>
    </row>
    <row r="131" spans="20:23" ht="12.75" customHeight="1">
      <c r="T131" s="140"/>
      <c r="U131" s="140"/>
      <c r="V131" s="140"/>
      <c r="W131" s="140"/>
    </row>
    <row r="132" spans="20:23" ht="12.75" customHeight="1">
      <c r="T132" s="140"/>
      <c r="U132" s="140"/>
      <c r="V132" s="140"/>
      <c r="W132" s="140"/>
    </row>
    <row r="133" spans="20:23" ht="12.75" customHeight="1">
      <c r="T133" s="140"/>
      <c r="U133" s="140"/>
      <c r="V133" s="140"/>
      <c r="W133" s="140"/>
    </row>
    <row r="134" spans="20:23" ht="12.75" customHeight="1">
      <c r="T134" s="140"/>
      <c r="U134" s="140"/>
      <c r="V134" s="140"/>
      <c r="W134" s="140"/>
    </row>
    <row r="135" spans="20:23" ht="12.75" customHeight="1">
      <c r="T135" s="140"/>
      <c r="U135" s="140"/>
      <c r="V135" s="140"/>
      <c r="W135" s="140"/>
    </row>
    <row r="136" spans="20:23" ht="12.75" customHeight="1">
      <c r="T136" s="140"/>
      <c r="U136" s="140"/>
      <c r="V136" s="140"/>
      <c r="W136" s="140"/>
    </row>
    <row r="137" spans="20:23" ht="12.75" customHeight="1">
      <c r="T137" s="140"/>
      <c r="U137" s="140"/>
      <c r="V137" s="140"/>
      <c r="W137" s="140"/>
    </row>
    <row r="145" spans="8:13" ht="12.75" customHeight="1">
      <c r="H145" s="160"/>
      <c r="I145" s="160"/>
      <c r="J145" s="160"/>
      <c r="K145" s="160"/>
      <c r="L145" s="160"/>
      <c r="M145" s="160"/>
    </row>
    <row r="146" spans="8:13" ht="12.75" customHeight="1">
      <c r="H146" s="161"/>
      <c r="I146" s="161"/>
      <c r="J146" s="161"/>
      <c r="K146" s="161"/>
      <c r="L146" s="161"/>
      <c r="M146" s="161"/>
    </row>
  </sheetData>
  <sheetProtection sheet="1" objects="1" scenarios="1"/>
  <mergeCells count="6">
    <mergeCell ref="D2:E2"/>
    <mergeCell ref="B63:C64"/>
    <mergeCell ref="B2:C2"/>
    <mergeCell ref="B3:C3"/>
    <mergeCell ref="B12:C13"/>
    <mergeCell ref="B53:C54"/>
  </mergeCells>
  <conditionalFormatting sqref="H12:U19 H25:U27 X24:CC24 H21:U23 X20:CC20 H29:U30 H28:T28 H43:U43 X42:CC42 H34:U41 X33:CC33 H32:U32 X31:CC31 H46:U67 X44:CC45 H72:U73 X68:CC71 H78:U79 X74:CC77 H84:U85 X80:CC83 H108:U10000 X104:CC107 H102:U103 X98:CC101 H96:U97 X92:CC95 H90:U91 H86:J89 X86:CC89 W90:CC91 W96:CC97 W102:CC103 W108:CC10000 W84:CC85 W78:CC79 W72:CC73 W46:CC67 W32:CC32 W34:CC41 W43:CC43 W21:CC23 W12:CC19 W25:CC30">
    <cfRule type="expression" priority="13" dxfId="0">
      <formula>AND($D12&lt;&gt;"",H$12&lt;&gt;"",H12="")</formula>
    </cfRule>
    <cfRule type="expression" priority="14" dxfId="1">
      <formula>AND($A12="",ABS(H12)=0)</formula>
    </cfRule>
    <cfRule type="expression" priority="15" dxfId="1">
      <formula>AND($A12="",ABS(H12)&lt;10)</formula>
    </cfRule>
    <cfRule type="expression" priority="16" dxfId="35">
      <formula>AND($A12="",ABS(H12)&lt;100)</formula>
    </cfRule>
    <cfRule type="expression" priority="17" dxfId="1">
      <formula>AND($A12="",ABS(H12)&gt;=100)</formula>
    </cfRule>
  </conditionalFormatting>
  <conditionalFormatting sqref="V12:V19 V25:V27 V21:V23 V29:V30 V43 V34:V41 V32 V46:V67 V72:V73 V78:V79 V84:V85 V108:V10000 V102:V103 V96:V97 V90:V91">
    <cfRule type="expression" priority="1" dxfId="0">
      <formula>AND($D12&lt;&gt;"",V$12&lt;&gt;"",V12="")</formula>
    </cfRule>
    <cfRule type="expression" priority="2" dxfId="1">
      <formula>AND($A12="",ABS(V12)=0)</formula>
    </cfRule>
    <cfRule type="expression" priority="3" dxfId="1">
      <formula>AND($A12="",ABS(V12)&lt;10)</formula>
    </cfRule>
    <cfRule type="expression" priority="4" dxfId="35">
      <formula>AND($A12="",ABS(V12)&lt;100)</formula>
    </cfRule>
    <cfRule type="expression" priority="5" dxfId="1">
      <formula>AND($A12="",ABS(V12)&gt;=100)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A12" location="GRI_401" display="Ó"/>
    <hyperlink ref="A53" location="GRI_401" display="Ó"/>
    <hyperlink ref="C7" location="GRI_401_1" display="GRI_401_1"/>
    <hyperlink ref="C8" location="GRI_401_3" display="GRI_401_3"/>
    <hyperlink ref="D2" location="Home" display="Home"/>
    <hyperlink ref="A63" location="GRI_401" display="Ó"/>
    <hyperlink ref="C9" location="GRI_401_a" display="Personalumfrage"/>
  </hyperlinks>
  <printOptions/>
  <pageMargins left="0.7" right="0.7" top="0.787401575" bottom="0.787401575" header="0.3" footer="0.3"/>
  <pageSetup horizontalDpi="600" verticalDpi="600" orientation="portrait" paperSize="9"/>
  <ignoredErrors>
    <ignoredError sqref="E44 E16:E24 E87:E89" twoDigitTextYear="1"/>
  </ignoredErrors>
</worksheet>
</file>

<file path=xl/worksheets/sheet9.xml><?xml version="1.0" encoding="utf-8"?>
<worksheet xmlns="http://schemas.openxmlformats.org/spreadsheetml/2006/main" xmlns:r="http://schemas.openxmlformats.org/officeDocument/2006/relationships">
  <sheetPr>
    <tabColor rgb="FF9E2A2F"/>
  </sheetPr>
  <dimension ref="A2:CI146"/>
  <sheetViews>
    <sheetView showGridLines="0" showRowColHeaders="0" zoomScale="90" zoomScaleNormal="90" zoomScalePageLayoutView="0" workbookViewId="0" topLeftCell="A1">
      <pane xSplit="7" topLeftCell="H1" activePane="topRight" state="frozen"/>
      <selection pane="topLeft" activeCell="B73" sqref="B73"/>
      <selection pane="topRight" activeCell="B3" sqref="B3:C3"/>
    </sheetView>
  </sheetViews>
  <sheetFormatPr defaultColWidth="10.75390625" defaultRowHeight="12.75" customHeight="1"/>
  <cols>
    <col min="1" max="1" width="2.50390625" style="91" customWidth="1"/>
    <col min="2" max="2" width="2.50390625" style="1" customWidth="1"/>
    <col min="3" max="3" width="66.125" style="9" customWidth="1"/>
    <col min="4" max="4" width="30.625" style="1" customWidth="1"/>
    <col min="5" max="5" width="9.50390625" style="37" customWidth="1"/>
    <col min="6" max="6" width="14.125" style="37" customWidth="1"/>
    <col min="7" max="7" width="2.50390625" style="47" customWidth="1"/>
    <col min="8" max="13" width="12.00390625" style="37" customWidth="1"/>
    <col min="14" max="19" width="11.625" style="107" customWidth="1"/>
    <col min="20" max="23" width="11.625" style="20" customWidth="1"/>
    <col min="24" max="87" width="11.625" style="11" customWidth="1"/>
    <col min="88" max="16384" width="10.75390625" style="1" customWidth="1"/>
  </cols>
  <sheetData>
    <row r="2" spans="1:87" s="153" customFormat="1" ht="25.5" customHeight="1">
      <c r="A2" s="88"/>
      <c r="B2" s="491" t="str">
        <f>UPPER(RIGHT(Inhaltsverzeichnis!$C$29,LEN(Inhaltsverzeichnis!$C$29)-FIND(" – ",Inhaltsverzeichnis!$C$29,1)-2))</f>
        <v>SANTÉ ET SÉCURITÉ AU TRAVAIL</v>
      </c>
      <c r="C2" s="491"/>
      <c r="D2" s="481" t="str">
        <f>VLOOKUP(35,Textbausteine!$A$2:$E$67,Hilfsgrössen!$D$2,FALSE)</f>
        <v>retour à la table des matières</v>
      </c>
      <c r="E2" s="482"/>
      <c r="F2" s="145" t="s">
        <v>86</v>
      </c>
      <c r="G2" s="171"/>
      <c r="H2" s="92"/>
      <c r="I2" s="92"/>
      <c r="J2" s="92"/>
      <c r="K2" s="92"/>
      <c r="L2" s="92"/>
      <c r="M2" s="92"/>
      <c r="N2" s="136"/>
      <c r="O2" s="136"/>
      <c r="P2" s="136"/>
      <c r="Q2" s="136"/>
      <c r="R2" s="136"/>
      <c r="S2" s="136"/>
      <c r="T2" s="116"/>
      <c r="U2" s="116"/>
      <c r="V2" s="116"/>
      <c r="W2" s="116"/>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row>
    <row r="3" spans="1:87" s="154" customFormat="1" ht="25.5" customHeight="1">
      <c r="A3" s="89"/>
      <c r="B3" s="486" t="str">
        <f>UPPER("GRI "&amp;LEFT(Inhaltsverzeichnis!$C$29,3))</f>
        <v>GRI 403</v>
      </c>
      <c r="C3" s="486"/>
      <c r="E3" s="38"/>
      <c r="F3" s="38"/>
      <c r="G3" s="45"/>
      <c r="H3" s="38"/>
      <c r="I3" s="38"/>
      <c r="J3" s="38"/>
      <c r="K3" s="38"/>
      <c r="L3" s="38"/>
      <c r="M3" s="38"/>
      <c r="N3" s="136"/>
      <c r="O3" s="136"/>
      <c r="P3" s="136"/>
      <c r="Q3" s="136"/>
      <c r="R3" s="136"/>
      <c r="S3" s="136"/>
      <c r="T3" s="116"/>
      <c r="U3" s="116"/>
      <c r="V3" s="116"/>
      <c r="W3" s="116"/>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row>
    <row r="6" spans="1:87" s="31" customFormat="1" ht="12.75" customHeight="1">
      <c r="A6" s="90"/>
      <c r="B6" s="31" t="str">
        <f>VLOOKUP(31,Textbausteine!$A$2:$E$67,Hilfsgrössen!$D$2,FALSE)</f>
        <v>Divulgations</v>
      </c>
      <c r="C6" s="6"/>
      <c r="E6" s="39"/>
      <c r="F6" s="39"/>
      <c r="G6" s="46"/>
      <c r="H6" s="39"/>
      <c r="I6" s="39"/>
      <c r="J6" s="39"/>
      <c r="K6" s="39"/>
      <c r="L6" s="39"/>
      <c r="M6" s="39"/>
      <c r="N6" s="107"/>
      <c r="O6" s="107"/>
      <c r="P6" s="107"/>
      <c r="Q6" s="107"/>
      <c r="R6" s="107"/>
      <c r="S6" s="107"/>
      <c r="T6" s="20"/>
      <c r="U6" s="20"/>
      <c r="V6" s="20"/>
      <c r="W6" s="20"/>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row>
    <row r="7" spans="2:4" ht="12.75" customHeight="1">
      <c r="B7" s="2"/>
      <c r="C7" s="148" t="str">
        <f>VLOOKUP(1,Textbausteine!$BC$2:$BG$151,Hilfsgrössen!$D$2,FALSE)</f>
        <v>Gestion de la santé</v>
      </c>
      <c r="D7" s="4"/>
    </row>
    <row r="8" ht="12.75" customHeight="1">
      <c r="B8" s="2"/>
    </row>
    <row r="9" ht="12.75" customHeight="1">
      <c r="B9" s="2"/>
    </row>
    <row r="10" spans="1:87" s="31" customFormat="1" ht="12.75" customHeight="1">
      <c r="A10" s="56" t="s">
        <v>807</v>
      </c>
      <c r="B10" s="480" t="str">
        <f>$C$7</f>
        <v>Gestion de la santé</v>
      </c>
      <c r="C10" s="480"/>
      <c r="D10" s="6" t="str">
        <f>VLOOKUP(32,Textbausteine!$A$2:$E$67,Hilfsgrössen!$D$2,FALSE)</f>
        <v>Unité</v>
      </c>
      <c r="E10" s="39" t="str">
        <f>VLOOKUP(33,Textbausteine!$A$2:$E$67,Hilfsgrössen!$D$2,FALSE)</f>
        <v>Notes</v>
      </c>
      <c r="F10" s="39" t="str">
        <f>VLOOKUP(34,Textbausteine!$A$2:$E$67,Hilfsgrössen!$D$2,FALSE)</f>
        <v>GRI</v>
      </c>
      <c r="G10" s="47"/>
      <c r="H10" s="113">
        <v>2004</v>
      </c>
      <c r="I10" s="113">
        <v>2005</v>
      </c>
      <c r="J10" s="113">
        <v>2006</v>
      </c>
      <c r="K10" s="113">
        <v>2007</v>
      </c>
      <c r="L10" s="113">
        <v>2008</v>
      </c>
      <c r="M10" s="113">
        <v>2009</v>
      </c>
      <c r="N10" s="117">
        <v>2010</v>
      </c>
      <c r="O10" s="117">
        <v>2011</v>
      </c>
      <c r="P10" s="117">
        <v>2012</v>
      </c>
      <c r="Q10" s="117">
        <v>2013</v>
      </c>
      <c r="R10" s="117">
        <v>2014</v>
      </c>
      <c r="S10" s="117">
        <v>2015</v>
      </c>
      <c r="T10" s="117">
        <v>2016</v>
      </c>
      <c r="U10" s="117">
        <v>2017</v>
      </c>
      <c r="V10" s="117">
        <v>2018</v>
      </c>
      <c r="W10" s="245">
        <v>2019</v>
      </c>
      <c r="X10" s="7"/>
      <c r="Y10" s="7"/>
      <c r="Z10" s="7"/>
      <c r="AA10" s="7"/>
      <c r="AB10" s="7"/>
      <c r="AC10" s="7"/>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row>
    <row r="11" spans="1:87" s="31" customFormat="1" ht="12.75" customHeight="1">
      <c r="A11" s="90"/>
      <c r="B11" s="480"/>
      <c r="C11" s="480"/>
      <c r="D11" s="6"/>
      <c r="E11" s="40"/>
      <c r="F11" s="40"/>
      <c r="G11" s="47"/>
      <c r="H11" s="114"/>
      <c r="I11" s="114"/>
      <c r="J11" s="114"/>
      <c r="K11" s="114"/>
      <c r="L11" s="114"/>
      <c r="M11" s="114"/>
      <c r="N11" s="143"/>
      <c r="O11" s="143"/>
      <c r="P11" s="143"/>
      <c r="Q11" s="143"/>
      <c r="R11" s="143"/>
      <c r="S11" s="143"/>
      <c r="T11" s="119"/>
      <c r="U11" s="119"/>
      <c r="V11" s="119"/>
      <c r="W11" s="246"/>
      <c r="X11" s="129"/>
      <c r="Y11" s="122"/>
      <c r="Z11" s="122"/>
      <c r="AA11" s="122"/>
      <c r="AB11" s="122"/>
      <c r="AC11" s="122"/>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row>
    <row r="12" spans="2:29" ht="12.75" customHeight="1">
      <c r="B12" s="8"/>
      <c r="D12" s="9"/>
      <c r="E12" s="40"/>
      <c r="F12" s="40"/>
      <c r="G12" s="48"/>
      <c r="W12" s="247"/>
      <c r="X12" s="12"/>
      <c r="Y12" s="13"/>
      <c r="Z12" s="13"/>
      <c r="AA12" s="13"/>
      <c r="AB12" s="13"/>
      <c r="AC12" s="13"/>
    </row>
    <row r="13" spans="2:23" ht="12.75" customHeight="1">
      <c r="B13" s="8" t="str">
        <f>VLOOKUP(37,Textbausteine!$A$2:$E$67,Hilfsgrössen!$D$2,FALSE)</f>
        <v>Groupe Suisse</v>
      </c>
      <c r="C13" s="8"/>
      <c r="D13" s="67"/>
      <c r="E13" s="12"/>
      <c r="F13" s="11"/>
      <c r="G13" s="48"/>
      <c r="W13" s="247"/>
    </row>
    <row r="14" spans="3:29" ht="12.75" customHeight="1">
      <c r="C14" s="8" t="str">
        <f>VLOOKUP(31,Textbausteine!$BC$2:$BG$151,Hilfsgrössen!$D$2,FALSE)</f>
        <v>Accidents</v>
      </c>
      <c r="D14" s="236"/>
      <c r="E14" s="11"/>
      <c r="F14" s="11"/>
      <c r="G14" s="49"/>
      <c r="H14" s="115"/>
      <c r="I14" s="115"/>
      <c r="J14" s="115"/>
      <c r="K14" s="115"/>
      <c r="L14" s="115"/>
      <c r="M14" s="115"/>
      <c r="N14" s="20"/>
      <c r="O14" s="20"/>
      <c r="R14" s="137"/>
      <c r="S14" s="137"/>
      <c r="W14" s="247"/>
      <c r="X14" s="14"/>
      <c r="Y14" s="17"/>
      <c r="Z14" s="17"/>
      <c r="AA14" s="17"/>
      <c r="AB14" s="17"/>
      <c r="AC14" s="17"/>
    </row>
    <row r="15" spans="3:29" ht="12.75" customHeight="1">
      <c r="C15" s="19" t="str">
        <f>VLOOKUP(32,Textbausteine!$BC$2:$BG$151,Hilfsgrössen!$D$2,FALSE)</f>
        <v>Accidents professionnels</v>
      </c>
      <c r="D15" s="67" t="str">
        <f>VLOOKUP(11,Textbausteine!$BC$2:$BG$151,Hilfsgrössen!$D$2,FALSE)</f>
        <v>Nombre pour 100 unités de personnel</v>
      </c>
      <c r="E15" s="11" t="s">
        <v>1612</v>
      </c>
      <c r="F15" s="11" t="s">
        <v>766</v>
      </c>
      <c r="G15" s="49"/>
      <c r="H15" s="436">
        <v>6.4</v>
      </c>
      <c r="I15" s="436">
        <v>6.12</v>
      </c>
      <c r="J15" s="436">
        <v>5.93</v>
      </c>
      <c r="K15" s="436">
        <v>5.48</v>
      </c>
      <c r="L15" s="437">
        <v>6.28</v>
      </c>
      <c r="M15" s="437">
        <v>6.49</v>
      </c>
      <c r="N15" s="354">
        <v>7.49</v>
      </c>
      <c r="O15" s="354">
        <v>6.92</v>
      </c>
      <c r="P15" s="351">
        <v>7.23</v>
      </c>
      <c r="Q15" s="351">
        <v>6.61</v>
      </c>
      <c r="R15" s="438">
        <v>5.92</v>
      </c>
      <c r="S15" s="438">
        <v>6.06</v>
      </c>
      <c r="T15" s="354">
        <v>5.91</v>
      </c>
      <c r="U15" s="354">
        <v>6.4690065933095084</v>
      </c>
      <c r="V15" s="354">
        <v>6.03</v>
      </c>
      <c r="W15" s="439">
        <v>6.4</v>
      </c>
      <c r="X15" s="14"/>
      <c r="Y15" s="17"/>
      <c r="Z15" s="17"/>
      <c r="AA15" s="17"/>
      <c r="AB15" s="17"/>
      <c r="AC15" s="17"/>
    </row>
    <row r="16" spans="3:28" ht="12.75" customHeight="1">
      <c r="C16" s="220" t="str">
        <f>VLOOKUP(33,Textbausteine!$BC$2:$BG$151,Hilfsgrössen!$D$2,FALSE)</f>
        <v>Accidents professionnels PostMail</v>
      </c>
      <c r="D16" s="67" t="str">
        <f>VLOOKUP(11,Textbausteine!$BC$2:$BG$151,Hilfsgrössen!$D$2,FALSE)</f>
        <v>Nombre pour 100 unités de personnel</v>
      </c>
      <c r="E16" s="11" t="s">
        <v>1612</v>
      </c>
      <c r="F16" s="11" t="s">
        <v>766</v>
      </c>
      <c r="G16" s="49"/>
      <c r="H16" s="436">
        <v>7.2</v>
      </c>
      <c r="I16" s="436">
        <v>7.14</v>
      </c>
      <c r="J16" s="436">
        <v>6.94</v>
      </c>
      <c r="K16" s="436">
        <v>6.48</v>
      </c>
      <c r="L16" s="437">
        <v>7.96</v>
      </c>
      <c r="M16" s="437">
        <v>8.77</v>
      </c>
      <c r="N16" s="354">
        <v>11.04</v>
      </c>
      <c r="O16" s="354">
        <v>9.4</v>
      </c>
      <c r="P16" s="351">
        <v>10.54</v>
      </c>
      <c r="Q16" s="351">
        <v>9.66</v>
      </c>
      <c r="R16" s="438">
        <v>8.15</v>
      </c>
      <c r="S16" s="438">
        <v>8.42</v>
      </c>
      <c r="T16" s="352">
        <v>8.17</v>
      </c>
      <c r="U16" s="352">
        <v>8.712398223778765</v>
      </c>
      <c r="V16" s="352">
        <v>8.27</v>
      </c>
      <c r="W16" s="440">
        <v>9.43</v>
      </c>
      <c r="X16" s="14"/>
      <c r="Y16" s="14"/>
      <c r="Z16" s="14"/>
      <c r="AA16" s="14"/>
      <c r="AB16" s="14"/>
    </row>
    <row r="17" spans="3:29" ht="12.75" customHeight="1">
      <c r="C17" s="220" t="str">
        <f>VLOOKUP(34,Textbausteine!$BC$2:$BG$151,Hilfsgrössen!$D$2,FALSE)</f>
        <v>Accidents professionnels PostLogistics </v>
      </c>
      <c r="D17" s="67" t="str">
        <f>VLOOKUP(11,Textbausteine!$BC$2:$BG$151,Hilfsgrössen!$D$2,FALSE)</f>
        <v>Nombre pour 100 unités de personnel</v>
      </c>
      <c r="E17" s="11" t="s">
        <v>1612</v>
      </c>
      <c r="F17" s="11" t="s">
        <v>766</v>
      </c>
      <c r="G17" s="49"/>
      <c r="H17" s="436">
        <v>11.38</v>
      </c>
      <c r="I17" s="436">
        <v>10.73</v>
      </c>
      <c r="J17" s="436">
        <v>10.18</v>
      </c>
      <c r="K17" s="436">
        <v>9.96</v>
      </c>
      <c r="L17" s="437">
        <v>11.02</v>
      </c>
      <c r="M17" s="437">
        <v>11.01</v>
      </c>
      <c r="N17" s="354">
        <v>11.69</v>
      </c>
      <c r="O17" s="354">
        <v>11.71</v>
      </c>
      <c r="P17" s="351">
        <v>10.79</v>
      </c>
      <c r="Q17" s="351">
        <v>9.91</v>
      </c>
      <c r="R17" s="438">
        <v>10.29</v>
      </c>
      <c r="S17" s="438">
        <v>10.3</v>
      </c>
      <c r="T17" s="352">
        <v>10.41</v>
      </c>
      <c r="U17" s="352">
        <v>11.389516143432617</v>
      </c>
      <c r="V17" s="352">
        <v>11.42</v>
      </c>
      <c r="W17" s="440">
        <v>10.32</v>
      </c>
      <c r="X17" s="14"/>
      <c r="Y17" s="17"/>
      <c r="Z17" s="17"/>
      <c r="AA17" s="17"/>
      <c r="AB17" s="17"/>
      <c r="AC17" s="17"/>
    </row>
    <row r="18" spans="3:28" ht="12.75" customHeight="1">
      <c r="C18" s="220" t="str">
        <f>VLOOKUP(35,Textbausteine!$BC$2:$BG$151,Hilfsgrössen!$D$2,FALSE)</f>
        <v>Accidents professionnels RéseauPostal</v>
      </c>
      <c r="D18" s="67" t="str">
        <f>VLOOKUP(11,Textbausteine!$BC$2:$BG$151,Hilfsgrössen!$D$2,FALSE)</f>
        <v>Nombre pour 100 unités de personnel</v>
      </c>
      <c r="E18" s="11" t="s">
        <v>716</v>
      </c>
      <c r="F18" s="11" t="s">
        <v>766</v>
      </c>
      <c r="G18" s="49"/>
      <c r="H18" s="436">
        <v>5.2</v>
      </c>
      <c r="I18" s="436">
        <v>5.04</v>
      </c>
      <c r="J18" s="436">
        <v>5.09</v>
      </c>
      <c r="K18" s="436">
        <v>4.6</v>
      </c>
      <c r="L18" s="437">
        <v>2.57</v>
      </c>
      <c r="M18" s="437">
        <v>2.38</v>
      </c>
      <c r="N18" s="354">
        <v>2.15</v>
      </c>
      <c r="O18" s="354">
        <v>2.77</v>
      </c>
      <c r="P18" s="443">
        <v>2.19</v>
      </c>
      <c r="Q18" s="351">
        <v>2.03</v>
      </c>
      <c r="R18" s="438">
        <v>2.17</v>
      </c>
      <c r="S18" s="438">
        <v>2.35</v>
      </c>
      <c r="T18" s="354">
        <v>2.43</v>
      </c>
      <c r="U18" s="354">
        <v>2.575703885061422</v>
      </c>
      <c r="V18" s="354">
        <v>2.48</v>
      </c>
      <c r="W18" s="439">
        <v>2.23</v>
      </c>
      <c r="X18" s="14"/>
      <c r="Y18" s="17"/>
      <c r="Z18" s="17"/>
      <c r="AA18" s="17"/>
      <c r="AB18" s="17"/>
    </row>
    <row r="19" spans="3:29" ht="12.75" customHeight="1">
      <c r="C19" s="220" t="str">
        <f>VLOOKUP(36,Textbausteine!$BC$2:$BG$151,Hilfsgrössen!$D$2,FALSE)</f>
        <v>Accidents professionnels PostFinance</v>
      </c>
      <c r="D19" s="67" t="str">
        <f>VLOOKUP(11,Textbausteine!$BC$2:$BG$151,Hilfsgrössen!$D$2,FALSE)</f>
        <v>Nombre pour 100 unités de personnel</v>
      </c>
      <c r="E19" s="11" t="s">
        <v>716</v>
      </c>
      <c r="F19" s="11" t="s">
        <v>766</v>
      </c>
      <c r="G19" s="49"/>
      <c r="H19" s="436">
        <v>1.29</v>
      </c>
      <c r="I19" s="436">
        <v>1.38</v>
      </c>
      <c r="J19" s="436">
        <v>0.83</v>
      </c>
      <c r="K19" s="436">
        <v>0.7</v>
      </c>
      <c r="L19" s="437">
        <v>0.87</v>
      </c>
      <c r="M19" s="437">
        <v>0.85</v>
      </c>
      <c r="N19" s="354">
        <v>0.77</v>
      </c>
      <c r="O19" s="354">
        <v>0.88</v>
      </c>
      <c r="P19" s="351">
        <v>0.92</v>
      </c>
      <c r="Q19" s="351">
        <v>0.64</v>
      </c>
      <c r="R19" s="438">
        <v>0.43</v>
      </c>
      <c r="S19" s="438">
        <v>1.09</v>
      </c>
      <c r="T19" s="351">
        <v>0.83</v>
      </c>
      <c r="U19" s="351">
        <v>0.8058826942279828</v>
      </c>
      <c r="V19" s="351">
        <v>0.6</v>
      </c>
      <c r="W19" s="442">
        <v>0.49</v>
      </c>
      <c r="X19" s="14"/>
      <c r="Y19" s="17"/>
      <c r="Z19" s="17"/>
      <c r="AA19" s="17"/>
      <c r="AB19" s="17"/>
      <c r="AC19" s="17"/>
    </row>
    <row r="20" spans="3:29" ht="12.75" customHeight="1">
      <c r="C20" s="220" t="str">
        <f>VLOOKUP(37,Textbausteine!$BC$2:$BG$151,Hilfsgrössen!$D$2,FALSE)</f>
        <v>Accidents professionnels CarPostal</v>
      </c>
      <c r="D20" s="67" t="str">
        <f>VLOOKUP(11,Textbausteine!$BC$2:$BG$151,Hilfsgrössen!$D$2,FALSE)</f>
        <v>Nombre pour 100 unités de personnel</v>
      </c>
      <c r="E20" s="11" t="s">
        <v>1612</v>
      </c>
      <c r="F20" s="11" t="s">
        <v>766</v>
      </c>
      <c r="G20" s="49"/>
      <c r="H20" s="436">
        <v>3.57</v>
      </c>
      <c r="I20" s="436">
        <v>3.37</v>
      </c>
      <c r="J20" s="436">
        <v>4.56</v>
      </c>
      <c r="K20" s="436">
        <v>2.99</v>
      </c>
      <c r="L20" s="437">
        <v>3.83</v>
      </c>
      <c r="M20" s="437">
        <v>4.44</v>
      </c>
      <c r="N20" s="354">
        <v>4.71</v>
      </c>
      <c r="O20" s="354">
        <v>4.61</v>
      </c>
      <c r="P20" s="351">
        <v>4.24</v>
      </c>
      <c r="Q20" s="351">
        <v>4.04</v>
      </c>
      <c r="R20" s="351">
        <v>3.27</v>
      </c>
      <c r="S20" s="438">
        <v>3.08</v>
      </c>
      <c r="T20" s="351">
        <v>3.14</v>
      </c>
      <c r="U20" s="351">
        <v>4.056526309362996</v>
      </c>
      <c r="V20" s="351">
        <v>2.33</v>
      </c>
      <c r="W20" s="442">
        <v>3.47</v>
      </c>
      <c r="X20" s="13"/>
      <c r="AC20" s="17"/>
    </row>
    <row r="21" spans="3:23" ht="12.75" customHeight="1">
      <c r="C21" s="220" t="str">
        <f>VLOOKUP(38,Textbausteine!$BC$2:$BG$151,Hilfsgrössen!$D$2,FALSE)</f>
        <v>Accidents professionnels Swiss Post International</v>
      </c>
      <c r="D21" s="67" t="str">
        <f>VLOOKUP(11,Textbausteine!$BC$2:$BG$151,Hilfsgrössen!$D$2,FALSE)</f>
        <v>Nombre pour 100 unités de personnel</v>
      </c>
      <c r="E21" s="11" t="s">
        <v>1586</v>
      </c>
      <c r="F21" s="11" t="s">
        <v>766</v>
      </c>
      <c r="G21" s="49"/>
      <c r="H21" s="436">
        <v>4.33</v>
      </c>
      <c r="I21" s="436">
        <v>4.16</v>
      </c>
      <c r="J21" s="436">
        <v>3.63</v>
      </c>
      <c r="K21" s="436">
        <v>4.67</v>
      </c>
      <c r="L21" s="444">
        <v>5.19</v>
      </c>
      <c r="M21" s="444">
        <v>6.8</v>
      </c>
      <c r="N21" s="351">
        <v>6.12</v>
      </c>
      <c r="O21" s="351">
        <v>4.45</v>
      </c>
      <c r="P21" s="351" t="s">
        <v>1470</v>
      </c>
      <c r="Q21" s="351" t="s">
        <v>1470</v>
      </c>
      <c r="R21" s="351" t="s">
        <v>1470</v>
      </c>
      <c r="S21" s="351" t="s">
        <v>1470</v>
      </c>
      <c r="T21" s="351" t="s">
        <v>1470</v>
      </c>
      <c r="U21" s="351" t="s">
        <v>1470</v>
      </c>
      <c r="V21" s="351" t="s">
        <v>1470</v>
      </c>
      <c r="W21" s="442" t="s">
        <v>1470</v>
      </c>
    </row>
    <row r="22" spans="3:23" ht="12.75" customHeight="1">
      <c r="C22" s="220" t="str">
        <f>VLOOKUP(39,Textbausteine!$BC$2:$BG$151,Hilfsgrössen!$D$2,FALSE)</f>
        <v>Accidents professionnels Swiss Post Solutions</v>
      </c>
      <c r="D22" s="67" t="str">
        <f>VLOOKUP(11,Textbausteine!$BC$2:$BG$151,Hilfsgrössen!$D$2,FALSE)</f>
        <v>Nombre pour 100 unités de personnel</v>
      </c>
      <c r="E22" s="11" t="s">
        <v>2620</v>
      </c>
      <c r="F22" s="11" t="s">
        <v>766</v>
      </c>
      <c r="G22" s="49"/>
      <c r="H22" s="444" t="s">
        <v>1470</v>
      </c>
      <c r="I22" s="444" t="s">
        <v>1470</v>
      </c>
      <c r="J22" s="444" t="s">
        <v>1470</v>
      </c>
      <c r="K22" s="444" t="s">
        <v>1470</v>
      </c>
      <c r="L22" s="444">
        <v>2.07</v>
      </c>
      <c r="M22" s="444">
        <v>3.2</v>
      </c>
      <c r="N22" s="351">
        <v>3.37</v>
      </c>
      <c r="O22" s="351">
        <v>2.31</v>
      </c>
      <c r="P22" s="351">
        <v>2.06</v>
      </c>
      <c r="Q22" s="351">
        <v>3.03</v>
      </c>
      <c r="R22" s="351">
        <v>2.15</v>
      </c>
      <c r="S22" s="351">
        <v>2.45</v>
      </c>
      <c r="T22" s="351">
        <v>2.47</v>
      </c>
      <c r="U22" s="351">
        <v>2.891692596732618</v>
      </c>
      <c r="V22" s="351">
        <v>2.18</v>
      </c>
      <c r="W22" s="442">
        <v>1.96</v>
      </c>
    </row>
    <row r="23" spans="3:23" ht="12.75" customHeight="1">
      <c r="C23" s="220" t="str">
        <f>VLOOKUP(40,Textbausteine!$BC$2:$BG$151,Hilfsgrössen!$D$2,FALSE)</f>
        <v>Accidents professionnels mortels</v>
      </c>
      <c r="D23" s="18" t="str">
        <f>VLOOKUP(12,Textbausteine!$BC$2:$BG$151,Hilfsgrössen!$D$2,FALSE)</f>
        <v>Nombre</v>
      </c>
      <c r="E23" s="11">
        <v>2</v>
      </c>
      <c r="F23" s="11" t="s">
        <v>766</v>
      </c>
      <c r="G23" s="49"/>
      <c r="H23" s="240" t="s">
        <v>1470</v>
      </c>
      <c r="I23" s="441" t="s">
        <v>1470</v>
      </c>
      <c r="J23" s="441" t="s">
        <v>1470</v>
      </c>
      <c r="K23" s="243">
        <v>0</v>
      </c>
      <c r="L23" s="244">
        <v>0</v>
      </c>
      <c r="M23" s="244">
        <v>0</v>
      </c>
      <c r="N23" s="17">
        <v>1</v>
      </c>
      <c r="O23" s="17">
        <v>1</v>
      </c>
      <c r="P23" s="17">
        <v>0</v>
      </c>
      <c r="Q23" s="17">
        <v>0</v>
      </c>
      <c r="R23" s="17">
        <v>0</v>
      </c>
      <c r="S23" s="17">
        <v>0</v>
      </c>
      <c r="T23" s="17">
        <v>0</v>
      </c>
      <c r="U23" s="17">
        <v>1</v>
      </c>
      <c r="V23" s="17">
        <v>0</v>
      </c>
      <c r="W23" s="364">
        <v>0</v>
      </c>
    </row>
    <row r="24" spans="3:23" ht="12.75" customHeight="1">
      <c r="C24" s="19" t="str">
        <f>VLOOKUP(41,Textbausteine!$BC$2:$BG$151,Hilfsgrössen!$D$2,FALSE)</f>
        <v>Accidents non professionnels   </v>
      </c>
      <c r="D24" s="67" t="str">
        <f>VLOOKUP(11,Textbausteine!$BC$2:$BG$151,Hilfsgrössen!$D$2,FALSE)</f>
        <v>Nombre pour 100 unités de personnel</v>
      </c>
      <c r="E24" s="11" t="s">
        <v>1612</v>
      </c>
      <c r="F24" s="11" t="s">
        <v>766</v>
      </c>
      <c r="G24" s="49"/>
      <c r="H24" s="436">
        <v>16.25</v>
      </c>
      <c r="I24" s="436">
        <v>15.09</v>
      </c>
      <c r="J24" s="436">
        <v>15.97</v>
      </c>
      <c r="K24" s="436">
        <v>14.75</v>
      </c>
      <c r="L24" s="437">
        <v>15.61</v>
      </c>
      <c r="M24" s="437">
        <v>15.26</v>
      </c>
      <c r="N24" s="351">
        <v>16.24</v>
      </c>
      <c r="O24" s="351">
        <v>16.74</v>
      </c>
      <c r="P24" s="351">
        <v>16.01</v>
      </c>
      <c r="Q24" s="351">
        <v>15.74</v>
      </c>
      <c r="R24" s="351">
        <v>15.53</v>
      </c>
      <c r="S24" s="351">
        <v>15.99</v>
      </c>
      <c r="T24" s="351">
        <v>15.55</v>
      </c>
      <c r="U24" s="351">
        <v>16.12658446211193</v>
      </c>
      <c r="V24" s="351">
        <v>15.95</v>
      </c>
      <c r="W24" s="442">
        <v>15.41</v>
      </c>
    </row>
    <row r="25" spans="3:23" ht="12.75" customHeight="1">
      <c r="C25" s="67"/>
      <c r="D25" s="236"/>
      <c r="E25" s="11"/>
      <c r="F25" s="11"/>
      <c r="G25" s="49"/>
      <c r="H25" s="69"/>
      <c r="I25" s="69"/>
      <c r="J25" s="69"/>
      <c r="K25" s="69"/>
      <c r="L25" s="69"/>
      <c r="M25" s="69"/>
      <c r="T25" s="107"/>
      <c r="U25" s="107"/>
      <c r="V25" s="107"/>
      <c r="W25" s="248"/>
    </row>
    <row r="26" spans="3:23" ht="12.75" customHeight="1">
      <c r="C26" s="8" t="str">
        <f>VLOOKUP(42,Textbausteine!$BC$2:$BG$151,Hilfsgrössen!$D$2,FALSE)</f>
        <v>Coûts occasionnés par les accidents</v>
      </c>
      <c r="D26" s="236"/>
      <c r="E26" s="11"/>
      <c r="F26" s="11"/>
      <c r="G26" s="49"/>
      <c r="H26" s="69"/>
      <c r="I26" s="69"/>
      <c r="J26" s="69"/>
      <c r="K26" s="69"/>
      <c r="L26" s="69"/>
      <c r="M26" s="69"/>
      <c r="T26" s="107"/>
      <c r="U26" s="107"/>
      <c r="V26" s="107"/>
      <c r="W26" s="248"/>
    </row>
    <row r="27" spans="3:23" ht="12.75" customHeight="1">
      <c r="C27" s="15" t="str">
        <f>VLOOKUP(43,Textbausteine!$BC$2:$BG$151,Hilfsgrössen!$D$2,FALSE)</f>
        <v>Accidents professionnels</v>
      </c>
      <c r="D27" s="67" t="str">
        <f>VLOOKUP(13,Textbausteine!$BC$2:$BG$151,Hilfsgrössen!$D$2,FALSE)</f>
        <v>Millions de CHF</v>
      </c>
      <c r="E27" s="11" t="s">
        <v>2621</v>
      </c>
      <c r="F27" s="11" t="s">
        <v>766</v>
      </c>
      <c r="G27" s="49"/>
      <c r="H27" s="241">
        <v>47.376</v>
      </c>
      <c r="I27" s="241">
        <v>43.7621616</v>
      </c>
      <c r="J27" s="241">
        <v>41.41405259999999</v>
      </c>
      <c r="K27" s="238">
        <v>37.4</v>
      </c>
      <c r="L27" s="242">
        <v>42.8</v>
      </c>
      <c r="M27" s="179">
        <v>44.2</v>
      </c>
      <c r="N27" s="107">
        <v>51.1</v>
      </c>
      <c r="O27" s="107">
        <v>47</v>
      </c>
      <c r="P27" s="107">
        <v>49.4</v>
      </c>
      <c r="Q27" s="107">
        <v>45.47</v>
      </c>
      <c r="R27" s="107">
        <v>39.4</v>
      </c>
      <c r="S27" s="107">
        <v>38.34</v>
      </c>
      <c r="T27" s="107">
        <v>16.7</v>
      </c>
      <c r="U27" s="107">
        <v>17.8</v>
      </c>
      <c r="V27" s="107">
        <v>16.14</v>
      </c>
      <c r="W27" s="248">
        <v>16.6</v>
      </c>
    </row>
    <row r="28" spans="3:23" ht="12.75" customHeight="1">
      <c r="C28" s="15" t="str">
        <f>VLOOKUP(44,Textbausteine!$BC$2:$BG$151,Hilfsgrössen!$D$2,FALSE)</f>
        <v>Accidents non professionnels</v>
      </c>
      <c r="D28" s="67" t="str">
        <f>VLOOKUP(13,Textbausteine!$BC$2:$BG$151,Hilfsgrössen!$D$2,FALSE)</f>
        <v>Millions de CHF</v>
      </c>
      <c r="E28" s="11" t="s">
        <v>2621</v>
      </c>
      <c r="F28" s="11" t="s">
        <v>766</v>
      </c>
      <c r="G28" s="49"/>
      <c r="H28" s="241">
        <v>47.376</v>
      </c>
      <c r="I28" s="241">
        <v>43.7621616</v>
      </c>
      <c r="J28" s="241">
        <v>41.41405259999999</v>
      </c>
      <c r="K28" s="241">
        <v>37.4</v>
      </c>
      <c r="L28" s="242">
        <v>37.3</v>
      </c>
      <c r="M28" s="179">
        <v>36.4</v>
      </c>
      <c r="N28" s="107">
        <v>38.7</v>
      </c>
      <c r="O28" s="107">
        <v>39.6</v>
      </c>
      <c r="P28" s="107">
        <v>38.3</v>
      </c>
      <c r="Q28" s="107">
        <v>37.29</v>
      </c>
      <c r="R28" s="107">
        <v>36.2</v>
      </c>
      <c r="S28" s="107">
        <v>35.4249</v>
      </c>
      <c r="T28" s="107">
        <v>40</v>
      </c>
      <c r="U28" s="107">
        <v>40.4</v>
      </c>
      <c r="V28" s="107">
        <v>38.87</v>
      </c>
      <c r="W28" s="248">
        <v>36.5</v>
      </c>
    </row>
    <row r="29" spans="3:23" ht="12.75" customHeight="1">
      <c r="C29" s="15" t="str">
        <f>VLOOKUP(45,Textbausteine!$BC$2:$BG$151,Hilfsgrössen!$D$2,FALSE)</f>
        <v>Accidents professionnels et non professionnels</v>
      </c>
      <c r="D29" s="67" t="str">
        <f>VLOOKUP(13,Textbausteine!$BC$2:$BG$151,Hilfsgrössen!$D$2,FALSE)</f>
        <v>Millions de CHF</v>
      </c>
      <c r="E29" s="11" t="s">
        <v>2621</v>
      </c>
      <c r="F29" s="11" t="s">
        <v>766</v>
      </c>
      <c r="G29" s="49"/>
      <c r="H29" s="241">
        <v>94.752</v>
      </c>
      <c r="I29" s="241">
        <v>87.5243232</v>
      </c>
      <c r="J29" s="241">
        <v>82.82810519999998</v>
      </c>
      <c r="K29" s="241">
        <v>74.8</v>
      </c>
      <c r="L29" s="242">
        <v>80.1</v>
      </c>
      <c r="M29" s="242">
        <v>80.6</v>
      </c>
      <c r="N29" s="107">
        <v>89.80000000000001</v>
      </c>
      <c r="O29" s="107">
        <v>86.6</v>
      </c>
      <c r="P29" s="107">
        <v>87.69999999999999</v>
      </c>
      <c r="Q29" s="107">
        <v>82.75999999999999</v>
      </c>
      <c r="R29" s="107">
        <v>75.6</v>
      </c>
      <c r="S29" s="107">
        <v>73.76490000000001</v>
      </c>
      <c r="T29" s="107">
        <v>56.7</v>
      </c>
      <c r="U29" s="107">
        <v>58.2</v>
      </c>
      <c r="V29" s="107">
        <v>55.01</v>
      </c>
      <c r="W29" s="248">
        <v>53.1</v>
      </c>
    </row>
    <row r="30" spans="3:23" ht="12.75" customHeight="1">
      <c r="C30" s="67"/>
      <c r="D30" s="236"/>
      <c r="E30" s="11"/>
      <c r="F30" s="13"/>
      <c r="G30" s="49"/>
      <c r="H30" s="69"/>
      <c r="I30" s="69"/>
      <c r="J30" s="69"/>
      <c r="K30" s="69"/>
      <c r="L30" s="69"/>
      <c r="M30" s="69"/>
      <c r="T30" s="107"/>
      <c r="U30" s="107"/>
      <c r="V30" s="107"/>
      <c r="W30" s="248"/>
    </row>
    <row r="31" spans="3:23" ht="12.75" customHeight="1">
      <c r="C31" s="8" t="str">
        <f>VLOOKUP(46,Textbausteine!$BC$2:$BG$151,Hilfsgrössen!$D$2,FALSE)</f>
        <v>Absences par suite de maladie ou d'accident</v>
      </c>
      <c r="D31" s="236"/>
      <c r="E31" s="11"/>
      <c r="F31" s="11"/>
      <c r="G31" s="50"/>
      <c r="H31" s="71"/>
      <c r="I31" s="71"/>
      <c r="J31" s="71"/>
      <c r="K31" s="71"/>
      <c r="L31" s="71"/>
      <c r="M31" s="71"/>
      <c r="T31" s="107"/>
      <c r="U31" s="107"/>
      <c r="V31" s="107"/>
      <c r="W31" s="248"/>
    </row>
    <row r="32" spans="3:23" ht="12.75" customHeight="1">
      <c r="C32" s="77" t="str">
        <f>VLOOKUP(47,Textbausteine!$BC$2:$BG$151,Hilfsgrössen!$D$2,FALSE)</f>
        <v>Absences pour raisons médicales</v>
      </c>
      <c r="D32" s="67" t="str">
        <f>VLOOKUP(14,Textbausteine!$BC$2:$BG$151,Hilfsgrössen!$D$2,FALSE)</f>
        <v>Jours d'absence par personne</v>
      </c>
      <c r="E32" s="11" t="s">
        <v>2622</v>
      </c>
      <c r="F32" s="11" t="s">
        <v>766</v>
      </c>
      <c r="G32" s="49"/>
      <c r="H32" s="237">
        <v>12.46</v>
      </c>
      <c r="I32" s="237">
        <v>11.9</v>
      </c>
      <c r="J32" s="237">
        <v>11.41</v>
      </c>
      <c r="K32" s="237">
        <v>10.95</v>
      </c>
      <c r="L32" s="239">
        <v>10.69</v>
      </c>
      <c r="M32" s="239">
        <v>10.36</v>
      </c>
      <c r="N32" s="445">
        <v>10.54</v>
      </c>
      <c r="O32" s="445">
        <v>10.83</v>
      </c>
      <c r="P32" s="445">
        <v>11.01</v>
      </c>
      <c r="Q32" s="445">
        <v>11.59</v>
      </c>
      <c r="R32" s="445">
        <v>11.82</v>
      </c>
      <c r="S32" s="445">
        <v>12.36</v>
      </c>
      <c r="T32" s="445">
        <v>12.53</v>
      </c>
      <c r="U32" s="445">
        <v>12.85</v>
      </c>
      <c r="V32" s="445">
        <v>13.18</v>
      </c>
      <c r="W32" s="446">
        <v>13.26</v>
      </c>
    </row>
    <row r="33" spans="3:23" ht="12.75" customHeight="1">
      <c r="C33" s="220" t="str">
        <f>VLOOKUP(48,Textbausteine!$BC$2:$BG$151,Hilfsgrössen!$D$2,FALSE)</f>
        <v>Absences de courte durée</v>
      </c>
      <c r="D33" s="67" t="str">
        <f>VLOOKUP(14,Textbausteine!$BC$2:$BG$151,Hilfsgrössen!$D$2,FALSE)</f>
        <v>Jours d'absence par personne</v>
      </c>
      <c r="E33" s="11" t="s">
        <v>2622</v>
      </c>
      <c r="F33" s="11" t="s">
        <v>766</v>
      </c>
      <c r="G33" s="49"/>
      <c r="H33" s="237">
        <v>1.27</v>
      </c>
      <c r="I33" s="237">
        <v>1.38</v>
      </c>
      <c r="J33" s="237">
        <v>1.34</v>
      </c>
      <c r="K33" s="237">
        <v>1.46</v>
      </c>
      <c r="L33" s="239">
        <v>1.54</v>
      </c>
      <c r="M33" s="239">
        <v>1.69</v>
      </c>
      <c r="N33" s="445">
        <v>1.54</v>
      </c>
      <c r="O33" s="445">
        <v>1.58</v>
      </c>
      <c r="P33" s="445">
        <v>1.58</v>
      </c>
      <c r="Q33" s="445">
        <v>1.7027223666216518</v>
      </c>
      <c r="R33" s="445">
        <v>1.56</v>
      </c>
      <c r="S33" s="445">
        <v>1.7</v>
      </c>
      <c r="T33" s="445">
        <v>1.7</v>
      </c>
      <c r="U33" s="445">
        <v>1.66</v>
      </c>
      <c r="V33" s="445">
        <v>1.74</v>
      </c>
      <c r="W33" s="446">
        <v>1.8</v>
      </c>
    </row>
    <row r="34" spans="3:23" ht="12.75" customHeight="1">
      <c r="C34" s="220" t="str">
        <f>VLOOKUP(49,Textbausteine!$BC$2:$BG$151,Hilfsgrössen!$D$2,FALSE)</f>
        <v>Maladie</v>
      </c>
      <c r="D34" s="67" t="str">
        <f>VLOOKUP(14,Textbausteine!$BC$2:$BG$151,Hilfsgrössen!$D$2,FALSE)</f>
        <v>Jours d'absence par personne</v>
      </c>
      <c r="E34" s="11" t="s">
        <v>2622</v>
      </c>
      <c r="F34" s="13" t="s">
        <v>766</v>
      </c>
      <c r="G34" s="49"/>
      <c r="H34" s="237">
        <v>8.23</v>
      </c>
      <c r="I34" s="237">
        <v>7.71</v>
      </c>
      <c r="J34" s="237">
        <v>7.34</v>
      </c>
      <c r="K34" s="237">
        <v>7.03</v>
      </c>
      <c r="L34" s="239">
        <v>6.87</v>
      </c>
      <c r="M34" s="239">
        <v>6.31</v>
      </c>
      <c r="N34" s="445">
        <v>6.56</v>
      </c>
      <c r="O34" s="445">
        <v>6.87</v>
      </c>
      <c r="P34" s="445">
        <v>7.02</v>
      </c>
      <c r="Q34" s="445">
        <v>7.3864796161702015</v>
      </c>
      <c r="R34" s="445">
        <v>7.88</v>
      </c>
      <c r="S34" s="445">
        <v>8.1</v>
      </c>
      <c r="T34" s="445">
        <v>8.37</v>
      </c>
      <c r="U34" s="445">
        <v>8.75</v>
      </c>
      <c r="V34" s="445">
        <v>8.9</v>
      </c>
      <c r="W34" s="446">
        <v>8.94</v>
      </c>
    </row>
    <row r="35" spans="3:23" ht="12.75" customHeight="1">
      <c r="C35" s="220" t="str">
        <f>VLOOKUP(50,Textbausteine!$BC$2:$BG$151,Hilfsgrössen!$D$2,FALSE)</f>
        <v>Accidents professionnels</v>
      </c>
      <c r="D35" s="67" t="str">
        <f>VLOOKUP(14,Textbausteine!$BC$2:$BG$151,Hilfsgrössen!$D$2,FALSE)</f>
        <v>Jours d'absence par personne</v>
      </c>
      <c r="E35" s="11" t="s">
        <v>2622</v>
      </c>
      <c r="F35" s="13" t="s">
        <v>766</v>
      </c>
      <c r="G35" s="50"/>
      <c r="H35" s="237">
        <v>0.89</v>
      </c>
      <c r="I35" s="237">
        <v>0.85</v>
      </c>
      <c r="J35" s="237">
        <v>0.86</v>
      </c>
      <c r="K35" s="237">
        <v>0.69</v>
      </c>
      <c r="L35" s="239">
        <v>0.71</v>
      </c>
      <c r="M35" s="239">
        <v>0.78</v>
      </c>
      <c r="N35" s="445">
        <v>0.89</v>
      </c>
      <c r="O35" s="445">
        <v>0.8</v>
      </c>
      <c r="P35" s="445">
        <v>0.82</v>
      </c>
      <c r="Q35" s="445">
        <v>0.8057135500712916</v>
      </c>
      <c r="R35" s="445">
        <v>0.66</v>
      </c>
      <c r="S35" s="445">
        <v>0.8</v>
      </c>
      <c r="T35" s="445">
        <v>0.82</v>
      </c>
      <c r="U35" s="445">
        <v>0.84</v>
      </c>
      <c r="V35" s="445">
        <v>0.86</v>
      </c>
      <c r="W35" s="446">
        <v>0.85</v>
      </c>
    </row>
    <row r="36" spans="3:23" ht="12.75" customHeight="1">
      <c r="C36" s="220" t="str">
        <f>VLOOKUP(51,Textbausteine!$BC$2:$BG$151,Hilfsgrössen!$D$2,FALSE)</f>
        <v>Accidents non professionnels</v>
      </c>
      <c r="D36" s="67" t="str">
        <f>VLOOKUP(14,Textbausteine!$BC$2:$BG$151,Hilfsgrössen!$D$2,FALSE)</f>
        <v>Jours d'absence par personne</v>
      </c>
      <c r="E36" s="11" t="s">
        <v>2622</v>
      </c>
      <c r="F36" s="11" t="s">
        <v>766</v>
      </c>
      <c r="G36" s="50"/>
      <c r="H36" s="237">
        <v>2.07</v>
      </c>
      <c r="I36" s="237">
        <v>1.96</v>
      </c>
      <c r="J36" s="237">
        <v>1.87</v>
      </c>
      <c r="K36" s="238">
        <v>1.77</v>
      </c>
      <c r="L36" s="179">
        <v>1.57</v>
      </c>
      <c r="M36" s="179">
        <v>1.58</v>
      </c>
      <c r="N36" s="107">
        <v>1.55</v>
      </c>
      <c r="O36" s="107">
        <v>1.6</v>
      </c>
      <c r="P36" s="107">
        <v>1.6</v>
      </c>
      <c r="Q36" s="107">
        <v>1.6920094658812532</v>
      </c>
      <c r="R36" s="107">
        <v>1.71</v>
      </c>
      <c r="S36" s="107">
        <v>1.75</v>
      </c>
      <c r="T36" s="107">
        <v>1.65</v>
      </c>
      <c r="U36" s="107">
        <v>1.6</v>
      </c>
      <c r="V36" s="107">
        <v>1.68</v>
      </c>
      <c r="W36" s="248">
        <v>1.67</v>
      </c>
    </row>
    <row r="37" spans="3:23" ht="12.75" customHeight="1">
      <c r="C37" s="77" t="str">
        <f>VLOOKUP(52,Textbausteine!$BC$2:$BG$151,Hilfsgrössen!$D$2,FALSE)</f>
        <v>Absences</v>
      </c>
      <c r="D37" s="67" t="str">
        <f>VLOOKUP(15,Textbausteine!$BC$2:$BG$151,Hilfsgrössen!$D$2,FALSE)</f>
        <v>Jours par an</v>
      </c>
      <c r="E37" s="11" t="s">
        <v>2622</v>
      </c>
      <c r="F37" s="11" t="s">
        <v>766</v>
      </c>
      <c r="G37" s="49"/>
      <c r="H37" s="243">
        <v>480097</v>
      </c>
      <c r="I37" s="243">
        <v>439975</v>
      </c>
      <c r="J37" s="243">
        <v>411575</v>
      </c>
      <c r="K37" s="243">
        <v>380052</v>
      </c>
      <c r="L37" s="244">
        <v>373709</v>
      </c>
      <c r="M37" s="244">
        <v>361782</v>
      </c>
      <c r="N37" s="107">
        <v>365273</v>
      </c>
      <c r="O37" s="107">
        <v>376546</v>
      </c>
      <c r="P37" s="107">
        <v>379940</v>
      </c>
      <c r="Q37" s="107">
        <v>391090.99119047617</v>
      </c>
      <c r="R37" s="107">
        <v>394906</v>
      </c>
      <c r="S37" s="107">
        <v>409737</v>
      </c>
      <c r="T37" s="107">
        <v>417145</v>
      </c>
      <c r="U37" s="107">
        <v>416269</v>
      </c>
      <c r="V37" s="107">
        <v>415111</v>
      </c>
      <c r="W37" s="248">
        <v>412579</v>
      </c>
    </row>
    <row r="38" spans="3:23" ht="12.75" customHeight="1">
      <c r="C38" s="220" t="str">
        <f>VLOOKUP(53,Textbausteine!$BC$2:$BG$151,Hilfsgrössen!$D$2,FALSE)</f>
        <v>Coûts salariaux occasionnés par les absences</v>
      </c>
      <c r="D38" s="67" t="str">
        <f>VLOOKUP(13,Textbausteine!$BC$2:$BG$151,Hilfsgrössen!$D$2,FALSE)</f>
        <v>Millions de CHF</v>
      </c>
      <c r="E38" s="11" t="s">
        <v>2622</v>
      </c>
      <c r="F38" s="13" t="s">
        <v>766</v>
      </c>
      <c r="G38" s="49"/>
      <c r="H38" s="238">
        <v>129.7</v>
      </c>
      <c r="I38" s="238">
        <v>126.3</v>
      </c>
      <c r="J38" s="238">
        <v>121.4</v>
      </c>
      <c r="K38" s="241">
        <v>115</v>
      </c>
      <c r="L38" s="179">
        <v>118.5</v>
      </c>
      <c r="M38" s="179">
        <v>117.6</v>
      </c>
      <c r="N38" s="107">
        <v>121.3</v>
      </c>
      <c r="O38" s="107">
        <v>124.2</v>
      </c>
      <c r="P38" s="107">
        <v>127.3</v>
      </c>
      <c r="Q38" s="107">
        <v>132.273136892904</v>
      </c>
      <c r="R38" s="107">
        <v>134</v>
      </c>
      <c r="S38" s="107">
        <v>139.3</v>
      </c>
      <c r="T38" s="107">
        <v>138.3</v>
      </c>
      <c r="U38" s="107">
        <v>139.4</v>
      </c>
      <c r="V38" s="107">
        <v>139.4</v>
      </c>
      <c r="W38" s="248">
        <v>138</v>
      </c>
    </row>
    <row r="39" spans="3:23" ht="12.75" customHeight="1">
      <c r="C39" s="67"/>
      <c r="D39" s="236"/>
      <c r="E39" s="13"/>
      <c r="F39" s="13"/>
      <c r="G39" s="50"/>
      <c r="H39" s="69"/>
      <c r="I39" s="69"/>
      <c r="J39" s="69"/>
      <c r="K39" s="69"/>
      <c r="L39" s="69"/>
      <c r="M39" s="69"/>
      <c r="T39" s="107"/>
      <c r="U39" s="107"/>
      <c r="V39" s="107"/>
      <c r="W39" s="248"/>
    </row>
    <row r="40" spans="3:23" ht="12.75" customHeight="1">
      <c r="C40" s="228" t="str">
        <f>VLOOKUP(54,Textbausteine!$BC$2:$BG$151,Hilfsgrössen!$D$2,FALSE)</f>
        <v>Représentation au sein de la commission du personnel pour la surveillance de la protection de la santé / sécurité au travail</v>
      </c>
      <c r="D40" s="67"/>
      <c r="E40" s="13"/>
      <c r="F40" s="11"/>
      <c r="G40" s="50"/>
      <c r="H40" s="69"/>
      <c r="I40" s="69"/>
      <c r="J40" s="69"/>
      <c r="K40" s="69"/>
      <c r="L40" s="69"/>
      <c r="M40" s="69"/>
      <c r="T40" s="107"/>
      <c r="U40" s="107"/>
      <c r="V40" s="107"/>
      <c r="W40" s="248"/>
    </row>
    <row r="41" spans="3:23" ht="12.75" customHeight="1">
      <c r="C41" s="19" t="str">
        <f>VLOOKUP(55,Textbausteine!$BC$2:$BG$151,Hilfsgrössen!$D$2,FALSE)</f>
        <v>Représentations au sein de la commission du personnel</v>
      </c>
      <c r="D41" s="18" t="str">
        <f>VLOOKUP(11,Textbausteine!$BC$2:$BG$151,Hilfsgrössen!$D$2,FALSE)</f>
        <v>Nombre pour 100 unités de personnel</v>
      </c>
      <c r="E41" s="13" t="s">
        <v>2619</v>
      </c>
      <c r="F41" s="11" t="s">
        <v>765</v>
      </c>
      <c r="G41" s="49"/>
      <c r="H41" s="69" t="s">
        <v>1470</v>
      </c>
      <c r="I41" s="69" t="s">
        <v>1470</v>
      </c>
      <c r="J41" s="69" t="s">
        <v>1470</v>
      </c>
      <c r="K41" s="69" t="s">
        <v>1470</v>
      </c>
      <c r="L41" s="69" t="s">
        <v>1470</v>
      </c>
      <c r="M41" s="69" t="s">
        <v>1470</v>
      </c>
      <c r="N41" s="69" t="s">
        <v>1470</v>
      </c>
      <c r="O41" s="69" t="s">
        <v>1470</v>
      </c>
      <c r="P41" s="107">
        <v>0.23</v>
      </c>
      <c r="Q41" s="107">
        <v>0.24</v>
      </c>
      <c r="R41" s="107">
        <v>0.24</v>
      </c>
      <c r="S41" s="107">
        <v>0.24</v>
      </c>
      <c r="T41" s="107" t="s">
        <v>1470</v>
      </c>
      <c r="U41" s="107" t="s">
        <v>1470</v>
      </c>
      <c r="V41" s="107" t="s">
        <v>1470</v>
      </c>
      <c r="W41" s="248" t="s">
        <v>1470</v>
      </c>
    </row>
    <row r="42" spans="5:23" ht="12.75" customHeight="1">
      <c r="E42" s="13"/>
      <c r="F42" s="11"/>
      <c r="G42" s="49"/>
      <c r="H42" s="69"/>
      <c r="I42" s="69"/>
      <c r="J42" s="69"/>
      <c r="K42" s="69"/>
      <c r="L42" s="69"/>
      <c r="M42" s="69"/>
      <c r="T42" s="107"/>
      <c r="U42" s="107"/>
      <c r="V42" s="107"/>
      <c r="W42" s="107"/>
    </row>
    <row r="43" spans="2:23" ht="12.75" customHeight="1">
      <c r="B43" s="26" t="str">
        <f>VLOOKUP(131,Textbausteine!$BC$2:$BG$151,Hilfsgrössen!$D$2,FALSE)</f>
        <v>1) Une unité de personnel correspond à un poste à plein temps.</v>
      </c>
      <c r="E43" s="13"/>
      <c r="F43" s="11"/>
      <c r="G43" s="49"/>
      <c r="H43" s="69"/>
      <c r="I43" s="69"/>
      <c r="J43" s="69"/>
      <c r="K43" s="69"/>
      <c r="L43" s="69"/>
      <c r="M43" s="69"/>
      <c r="T43" s="107"/>
      <c r="U43" s="107"/>
      <c r="V43" s="107"/>
      <c r="W43" s="107"/>
    </row>
    <row r="44" spans="2:23" ht="12.75" customHeight="1">
      <c r="B44" s="26" t="str">
        <f>VLOOKUP(132,Textbausteine!$BC$2:$BG$151,Hilfsgrössen!$D$2,FALSE)</f>
        <v>2) Groupe Suisse: données provenant du système du personnel; actuellement sans les données de 1000 unités de personnel ou 6113 personnes des sociétés du groupe Botec Boncourt S.A., Bluesped Logistics Sàrl, Epsilon SA, Direct Mail Company AG, Direct Mail Logistik AG, Direct Mail Biel/Bienne AG, PubliBike AG, Destinas AG, Eden-Trans GmbH, Relatra AG, BPS Speditions-Service AG, Arlesheim, BPS Speditions-Service AG, Pfungen, Walli-Trans AG, Asmiq AG, notime AG et notime Schweiz AG.</v>
      </c>
      <c r="E44" s="11"/>
      <c r="F44" s="11"/>
      <c r="G44" s="49"/>
      <c r="H44" s="69"/>
      <c r="I44" s="69"/>
      <c r="J44" s="69"/>
      <c r="K44" s="69"/>
      <c r="L44" s="69"/>
      <c r="M44" s="69"/>
      <c r="T44" s="107"/>
      <c r="U44" s="107"/>
      <c r="V44" s="107"/>
      <c r="W44" s="107"/>
    </row>
    <row r="45" spans="2:23" ht="12.75" customHeight="1">
      <c r="B45" s="26" t="str">
        <f>VLOOKUP(133,Textbausteine!$BC$2:$BG$151,Hilfsgrössen!$D$2,FALSE)</f>
        <v>3) Sans les apprentis</v>
      </c>
      <c r="E45" s="11"/>
      <c r="F45" s="13"/>
      <c r="G45" s="49"/>
      <c r="H45" s="69"/>
      <c r="I45" s="69"/>
      <c r="J45" s="69"/>
      <c r="K45" s="69"/>
      <c r="L45" s="69"/>
      <c r="M45" s="69"/>
      <c r="T45" s="107"/>
      <c r="U45" s="107"/>
      <c r="V45" s="107"/>
      <c r="W45" s="107"/>
    </row>
    <row r="46" spans="2:23" ht="12.75" customHeight="1">
      <c r="B46" s="26" t="str">
        <f>VLOOKUP(134,Textbausteine!$BC$2:$BG$151,Hilfsgrössen!$D$2,FALSE)</f>
        <v>4) Depuis 2012, Swiss Post International ne constitue plus un segment autonome. Les valeurs la concernant ont été répercutées sur les unités d'affaires PostMail et PostLogistics à partir du 1er janvier 2012.</v>
      </c>
      <c r="E46" s="11"/>
      <c r="F46" s="11"/>
      <c r="G46" s="50"/>
      <c r="H46" s="69"/>
      <c r="I46" s="69"/>
      <c r="J46" s="69"/>
      <c r="K46" s="69"/>
      <c r="L46" s="69"/>
      <c r="M46" s="69"/>
      <c r="T46" s="107"/>
      <c r="U46" s="107"/>
      <c r="V46" s="107"/>
      <c r="W46" s="107"/>
    </row>
    <row r="47" spans="2:23" ht="12.75" customHeight="1">
      <c r="B47" s="26" t="str">
        <f>VLOOKUP(135,Textbausteine!$BC$2:$BG$151,Hilfsgrössen!$D$2,FALSE)</f>
        <v>5) L'unité du groupe Swiss Post Solutions n'existant que depuis le 1er octobre 2007, aucune valeur ne peut être présentée pour les années précédentes.</v>
      </c>
      <c r="E47" s="11"/>
      <c r="F47" s="11"/>
      <c r="G47" s="49"/>
      <c r="H47" s="69"/>
      <c r="I47" s="69"/>
      <c r="J47" s="69"/>
      <c r="K47" s="69"/>
      <c r="L47" s="69"/>
      <c r="M47" s="69"/>
      <c r="T47" s="107"/>
      <c r="U47" s="107"/>
      <c r="V47" s="107"/>
      <c r="W47" s="107"/>
    </row>
    <row r="48" spans="2:23" ht="12.75" customHeight="1">
      <c r="B48" s="26" t="str">
        <f>VLOOKUP(136,Textbausteine!$BC$2:$BG$151,Hilfsgrössen!$D$2,FALSE)</f>
        <v>6) Les coûts sont calculés à l'aide des coûts moyens par cas. Nombre d'accidents professionnels et nombre d'accidents-bagatelle, multipliés par les coûts moyens liés aux accidents selon calculs de la SUVA.</v>
      </c>
      <c r="E48" s="11"/>
      <c r="F48" s="13"/>
      <c r="G48" s="49"/>
      <c r="H48" s="69"/>
      <c r="I48" s="69"/>
      <c r="J48" s="69"/>
      <c r="K48" s="69"/>
      <c r="L48" s="69"/>
      <c r="M48" s="69"/>
      <c r="T48" s="107"/>
      <c r="U48" s="107"/>
      <c r="V48" s="107"/>
      <c r="W48" s="107"/>
    </row>
    <row r="49" spans="2:23" ht="12.75" customHeight="1">
      <c r="B49" s="26" t="str">
        <f>VLOOKUP(137,Textbausteine!$BC$2:$BG$151,Hilfsgrössen!$D$2,FALSE)</f>
        <v>7) Selon la CCT, les rapports de travail sont maintenus durant 2 ans en cas de maladie ou d'accident. Pour les contrats de travail relevant du Code des obligations, les rapports de travail peuvent être résiliés après 6 mois. Ces chiffres ne peuvent donc pas être comparés avec ceux d'autres entreprises.</v>
      </c>
      <c r="E49" s="11"/>
      <c r="F49" s="11"/>
      <c r="G49" s="50"/>
      <c r="H49" s="69"/>
      <c r="I49" s="69"/>
      <c r="J49" s="69"/>
      <c r="K49" s="69"/>
      <c r="L49" s="69"/>
      <c r="M49" s="69"/>
      <c r="T49" s="107"/>
      <c r="U49" s="107"/>
      <c r="V49" s="107"/>
      <c r="W49" s="107"/>
    </row>
    <row r="50" spans="2:23" ht="12.75" customHeight="1">
      <c r="B50" s="26" t="str">
        <f>VLOOKUP(138,Textbausteine!$BC$2:$BG$151,Hilfsgrössen!$D$2,FALSE)</f>
        <v>8) La commission du personnel a été supprimée avec effet au 1er janvier 2016.</v>
      </c>
      <c r="E50" s="11"/>
      <c r="F50" s="11"/>
      <c r="G50" s="49"/>
      <c r="H50" s="69"/>
      <c r="I50" s="69"/>
      <c r="J50" s="69"/>
      <c r="K50" s="69"/>
      <c r="L50" s="69"/>
      <c r="M50" s="69"/>
      <c r="T50" s="107"/>
      <c r="U50" s="107"/>
      <c r="V50" s="107"/>
      <c r="W50" s="107"/>
    </row>
    <row r="51" spans="2:23" ht="12.75" customHeight="1">
      <c r="B51" s="26"/>
      <c r="E51" s="11"/>
      <c r="F51" s="11"/>
      <c r="G51" s="49"/>
      <c r="T51" s="107"/>
      <c r="U51" s="107"/>
      <c r="V51" s="107"/>
      <c r="W51" s="107"/>
    </row>
    <row r="52" spans="5:23" ht="12.75" customHeight="1">
      <c r="E52" s="11"/>
      <c r="F52" s="11"/>
      <c r="G52" s="49"/>
      <c r="H52" s="113"/>
      <c r="I52" s="113"/>
      <c r="J52" s="113"/>
      <c r="K52" s="113"/>
      <c r="L52" s="113"/>
      <c r="M52" s="113"/>
      <c r="T52" s="107"/>
      <c r="U52" s="107"/>
      <c r="V52" s="107"/>
      <c r="W52" s="107"/>
    </row>
    <row r="53" spans="5:23" ht="12.75" customHeight="1">
      <c r="E53" s="11"/>
      <c r="F53" s="11"/>
      <c r="G53" s="49"/>
      <c r="H53" s="69"/>
      <c r="I53" s="69"/>
      <c r="J53" s="69"/>
      <c r="K53" s="69"/>
      <c r="L53" s="69"/>
      <c r="M53" s="69"/>
      <c r="T53" s="107"/>
      <c r="U53" s="107"/>
      <c r="V53" s="107"/>
      <c r="W53" s="107"/>
    </row>
    <row r="54" spans="5:23" ht="12.75" customHeight="1">
      <c r="E54" s="11"/>
      <c r="F54" s="11"/>
      <c r="G54" s="49"/>
      <c r="H54" s="69"/>
      <c r="I54" s="69"/>
      <c r="J54" s="69"/>
      <c r="K54" s="69"/>
      <c r="L54" s="69"/>
      <c r="M54" s="69"/>
      <c r="T54" s="107"/>
      <c r="U54" s="107"/>
      <c r="V54" s="107"/>
      <c r="W54" s="107"/>
    </row>
    <row r="55" spans="5:23" ht="12.75" customHeight="1">
      <c r="E55" s="11"/>
      <c r="F55" s="11"/>
      <c r="G55" s="49"/>
      <c r="H55" s="69"/>
      <c r="I55" s="69"/>
      <c r="J55" s="69"/>
      <c r="K55" s="69"/>
      <c r="L55" s="69"/>
      <c r="M55" s="69"/>
      <c r="T55" s="107"/>
      <c r="U55" s="107"/>
      <c r="V55" s="107"/>
      <c r="W55" s="107"/>
    </row>
    <row r="56" spans="5:23" ht="12.75" customHeight="1">
      <c r="E56" s="11"/>
      <c r="F56" s="11"/>
      <c r="G56" s="49"/>
      <c r="H56" s="69"/>
      <c r="I56" s="69"/>
      <c r="J56" s="69"/>
      <c r="K56" s="69"/>
      <c r="L56" s="69"/>
      <c r="M56" s="69"/>
      <c r="T56" s="107"/>
      <c r="U56" s="107"/>
      <c r="V56" s="107"/>
      <c r="W56" s="107"/>
    </row>
    <row r="57" spans="5:23" ht="12.75" customHeight="1">
      <c r="E57" s="11"/>
      <c r="F57" s="11"/>
      <c r="G57" s="49"/>
      <c r="H57" s="69"/>
      <c r="I57" s="69"/>
      <c r="J57" s="69"/>
      <c r="K57" s="69"/>
      <c r="L57" s="69"/>
      <c r="M57" s="69"/>
      <c r="T57" s="107"/>
      <c r="U57" s="107"/>
      <c r="V57" s="107"/>
      <c r="W57" s="107"/>
    </row>
    <row r="58" spans="5:23" ht="12.75" customHeight="1">
      <c r="E58" s="13"/>
      <c r="F58" s="11"/>
      <c r="G58" s="49"/>
      <c r="H58" s="69"/>
      <c r="I58" s="69"/>
      <c r="J58" s="69"/>
      <c r="K58" s="69"/>
      <c r="L58" s="69"/>
      <c r="M58" s="69"/>
      <c r="T58" s="107"/>
      <c r="U58" s="107"/>
      <c r="V58" s="107"/>
      <c r="W58" s="107"/>
    </row>
    <row r="59" spans="5:23" ht="12.75" customHeight="1">
      <c r="E59" s="13"/>
      <c r="F59" s="11"/>
      <c r="G59" s="49"/>
      <c r="H59" s="69"/>
      <c r="I59" s="69"/>
      <c r="J59" s="69"/>
      <c r="K59" s="69"/>
      <c r="L59" s="69"/>
      <c r="M59" s="69"/>
      <c r="T59" s="107"/>
      <c r="U59" s="107"/>
      <c r="V59" s="107"/>
      <c r="W59" s="107"/>
    </row>
    <row r="60" spans="5:23" ht="12.75" customHeight="1">
      <c r="E60" s="13"/>
      <c r="F60" s="11"/>
      <c r="G60" s="49"/>
      <c r="H60" s="69"/>
      <c r="I60" s="69"/>
      <c r="J60" s="69"/>
      <c r="K60" s="69"/>
      <c r="L60" s="69"/>
      <c r="M60" s="69"/>
      <c r="T60" s="107"/>
      <c r="U60" s="107"/>
      <c r="V60" s="107"/>
      <c r="W60" s="107"/>
    </row>
    <row r="61" spans="5:23" ht="12.75" customHeight="1">
      <c r="E61" s="11"/>
      <c r="F61" s="11"/>
      <c r="G61" s="49"/>
      <c r="H61" s="69"/>
      <c r="I61" s="69"/>
      <c r="J61" s="69"/>
      <c r="K61" s="69"/>
      <c r="L61" s="69"/>
      <c r="M61" s="69"/>
      <c r="T61" s="107"/>
      <c r="U61" s="107"/>
      <c r="V61" s="107"/>
      <c r="W61" s="107"/>
    </row>
    <row r="62" spans="5:23" ht="12.75" customHeight="1">
      <c r="E62" s="11"/>
      <c r="F62" s="11"/>
      <c r="G62" s="49"/>
      <c r="H62" s="69"/>
      <c r="I62" s="69"/>
      <c r="J62" s="69"/>
      <c r="K62" s="69"/>
      <c r="L62" s="69"/>
      <c r="M62" s="69"/>
      <c r="T62" s="107"/>
      <c r="U62" s="107"/>
      <c r="V62" s="107"/>
      <c r="W62" s="107"/>
    </row>
    <row r="63" spans="5:23" ht="12.75" customHeight="1">
      <c r="E63" s="41"/>
      <c r="F63" s="41"/>
      <c r="G63" s="49"/>
      <c r="H63" s="69"/>
      <c r="I63" s="69"/>
      <c r="J63" s="69"/>
      <c r="K63" s="69"/>
      <c r="L63" s="69"/>
      <c r="M63" s="69"/>
      <c r="T63" s="107"/>
      <c r="U63" s="107"/>
      <c r="V63" s="107"/>
      <c r="W63" s="107"/>
    </row>
    <row r="64" spans="5:23" ht="12.75" customHeight="1">
      <c r="E64" s="41"/>
      <c r="F64" s="41"/>
      <c r="G64" s="51"/>
      <c r="H64" s="69"/>
      <c r="I64" s="69"/>
      <c r="J64" s="69"/>
      <c r="K64" s="69"/>
      <c r="L64" s="69"/>
      <c r="M64" s="69"/>
      <c r="T64" s="107"/>
      <c r="U64" s="107"/>
      <c r="V64" s="107"/>
      <c r="W64" s="107"/>
    </row>
    <row r="65" spans="5:23" ht="12.75" customHeight="1">
      <c r="E65" s="41"/>
      <c r="F65" s="41"/>
      <c r="G65" s="51"/>
      <c r="H65" s="69"/>
      <c r="I65" s="69"/>
      <c r="J65" s="69"/>
      <c r="K65" s="69"/>
      <c r="L65" s="69"/>
      <c r="M65" s="69"/>
      <c r="T65" s="107"/>
      <c r="U65" s="107"/>
      <c r="V65" s="107"/>
      <c r="W65" s="107"/>
    </row>
    <row r="66" spans="5:13" ht="12.75" customHeight="1">
      <c r="E66" s="42"/>
      <c r="F66" s="42"/>
      <c r="G66" s="51"/>
      <c r="H66" s="69"/>
      <c r="I66" s="69"/>
      <c r="J66" s="69"/>
      <c r="K66" s="69"/>
      <c r="L66" s="69"/>
      <c r="M66" s="69"/>
    </row>
    <row r="67" spans="5:13" ht="12.75" customHeight="1">
      <c r="E67" s="42"/>
      <c r="F67" s="42"/>
      <c r="G67" s="52"/>
      <c r="H67" s="69"/>
      <c r="I67" s="69"/>
      <c r="J67" s="69"/>
      <c r="K67" s="69"/>
      <c r="L67" s="69"/>
      <c r="M67" s="69"/>
    </row>
    <row r="68" spans="5:13" ht="12.75" customHeight="1">
      <c r="E68" s="43"/>
      <c r="F68" s="43"/>
      <c r="G68" s="52"/>
      <c r="H68" s="69"/>
      <c r="I68" s="69"/>
      <c r="J68" s="69"/>
      <c r="K68" s="69"/>
      <c r="L68" s="69"/>
      <c r="M68" s="69"/>
    </row>
    <row r="69" spans="7:13" ht="12.75" customHeight="1">
      <c r="G69" s="53"/>
      <c r="H69" s="69"/>
      <c r="I69" s="69"/>
      <c r="J69" s="69"/>
      <c r="K69" s="69"/>
      <c r="L69" s="69"/>
      <c r="M69" s="69"/>
    </row>
    <row r="72" spans="5:6" ht="12.75" customHeight="1">
      <c r="E72" s="40"/>
      <c r="F72" s="40"/>
    </row>
    <row r="73" spans="5:7" ht="12.75" customHeight="1">
      <c r="E73" s="40"/>
      <c r="F73" s="40"/>
      <c r="G73" s="48"/>
    </row>
    <row r="74" spans="5:23" ht="12.75" customHeight="1">
      <c r="E74" s="13"/>
      <c r="F74" s="11"/>
      <c r="G74" s="48"/>
      <c r="T74" s="119"/>
      <c r="U74" s="119"/>
      <c r="V74" s="119"/>
      <c r="W74" s="119"/>
    </row>
    <row r="75" spans="5:23" ht="12.75" customHeight="1">
      <c r="E75" s="39"/>
      <c r="F75" s="39"/>
      <c r="G75" s="49"/>
      <c r="H75" s="71"/>
      <c r="I75" s="71"/>
      <c r="J75" s="71"/>
      <c r="K75" s="71"/>
      <c r="L75" s="71"/>
      <c r="M75" s="71"/>
      <c r="T75" s="119"/>
      <c r="U75" s="119"/>
      <c r="V75" s="119"/>
      <c r="W75" s="119"/>
    </row>
    <row r="76" spans="5:13" ht="12.75" customHeight="1">
      <c r="E76" s="13"/>
      <c r="F76" s="11"/>
      <c r="G76" s="46"/>
      <c r="H76" s="71"/>
      <c r="I76" s="71"/>
      <c r="J76" s="71"/>
      <c r="K76" s="71"/>
      <c r="L76" s="71"/>
      <c r="M76" s="71"/>
    </row>
    <row r="77" spans="5:23" ht="12.75" customHeight="1">
      <c r="E77" s="13"/>
      <c r="F77" s="11"/>
      <c r="H77" s="71"/>
      <c r="I77" s="71"/>
      <c r="J77" s="71"/>
      <c r="K77" s="71"/>
      <c r="L77" s="71"/>
      <c r="M77" s="71"/>
      <c r="T77" s="107"/>
      <c r="U77" s="107"/>
      <c r="V77" s="107"/>
      <c r="W77" s="107"/>
    </row>
    <row r="78" spans="5:23" ht="12.75" customHeight="1">
      <c r="E78" s="13"/>
      <c r="F78" s="11"/>
      <c r="H78" s="113"/>
      <c r="I78" s="113"/>
      <c r="J78" s="113"/>
      <c r="K78" s="113"/>
      <c r="L78" s="113"/>
      <c r="M78" s="113"/>
      <c r="T78" s="107"/>
      <c r="U78" s="107"/>
      <c r="V78" s="107"/>
      <c r="W78" s="107"/>
    </row>
    <row r="79" spans="5:23" ht="12.75" customHeight="1">
      <c r="E79" s="13"/>
      <c r="F79" s="11"/>
      <c r="H79" s="114"/>
      <c r="I79" s="114"/>
      <c r="J79" s="114"/>
      <c r="K79" s="114"/>
      <c r="L79" s="114"/>
      <c r="M79" s="114"/>
      <c r="T79" s="107"/>
      <c r="U79" s="107"/>
      <c r="V79" s="107"/>
      <c r="W79" s="107"/>
    </row>
    <row r="80" spans="5:23" ht="12.75" customHeight="1">
      <c r="E80" s="44"/>
      <c r="F80" s="44"/>
      <c r="T80" s="107"/>
      <c r="U80" s="107"/>
      <c r="V80" s="107"/>
      <c r="W80" s="107"/>
    </row>
    <row r="81" spans="5:23" ht="12.75" customHeight="1">
      <c r="E81" s="44"/>
      <c r="F81" s="44"/>
      <c r="T81" s="107"/>
      <c r="U81" s="107"/>
      <c r="V81" s="107"/>
      <c r="W81" s="107"/>
    </row>
    <row r="82" spans="5:23" ht="12.75" customHeight="1">
      <c r="E82" s="44"/>
      <c r="F82" s="44"/>
      <c r="H82" s="115"/>
      <c r="I82" s="115"/>
      <c r="J82" s="115"/>
      <c r="K82" s="115"/>
      <c r="L82" s="115"/>
      <c r="M82" s="115"/>
      <c r="T82" s="107"/>
      <c r="U82" s="107"/>
      <c r="V82" s="107"/>
      <c r="W82" s="107"/>
    </row>
    <row r="83" spans="8:23" ht="12.75" customHeight="1">
      <c r="H83" s="115"/>
      <c r="I83" s="115"/>
      <c r="J83" s="115"/>
      <c r="K83" s="115"/>
      <c r="L83" s="115"/>
      <c r="M83" s="115"/>
      <c r="T83" s="107"/>
      <c r="U83" s="107"/>
      <c r="V83" s="107"/>
      <c r="W83" s="107"/>
    </row>
    <row r="84" spans="8:23" ht="12.75" customHeight="1">
      <c r="H84" s="115"/>
      <c r="I84" s="115"/>
      <c r="J84" s="115"/>
      <c r="K84" s="115"/>
      <c r="L84" s="115"/>
      <c r="M84" s="115"/>
      <c r="T84" s="107"/>
      <c r="U84" s="107"/>
      <c r="V84" s="107"/>
      <c r="W84" s="107"/>
    </row>
    <row r="85" spans="8:23" ht="12.75" customHeight="1">
      <c r="H85" s="115"/>
      <c r="I85" s="115"/>
      <c r="J85" s="115"/>
      <c r="K85" s="115"/>
      <c r="L85" s="115"/>
      <c r="M85" s="115"/>
      <c r="T85" s="119"/>
      <c r="U85" s="119"/>
      <c r="V85" s="119"/>
      <c r="W85" s="119"/>
    </row>
    <row r="86" spans="8:23" ht="12.75" customHeight="1">
      <c r="H86" s="71"/>
      <c r="I86" s="71"/>
      <c r="J86" s="71"/>
      <c r="K86" s="71"/>
      <c r="L86" s="71"/>
      <c r="M86" s="71"/>
      <c r="T86" s="119"/>
      <c r="U86" s="119"/>
      <c r="V86" s="119"/>
      <c r="W86" s="119"/>
    </row>
    <row r="87" spans="8:13" ht="12.75" customHeight="1">
      <c r="H87" s="71"/>
      <c r="I87" s="71"/>
      <c r="J87" s="71"/>
      <c r="K87" s="71"/>
      <c r="L87" s="71"/>
      <c r="M87" s="71"/>
    </row>
    <row r="88" spans="8:13" ht="12.75" customHeight="1">
      <c r="H88" s="71"/>
      <c r="I88" s="71"/>
      <c r="J88" s="71"/>
      <c r="K88" s="71"/>
      <c r="L88" s="71"/>
      <c r="M88" s="71"/>
    </row>
    <row r="89" spans="8:13" ht="12.75" customHeight="1">
      <c r="H89" s="113"/>
      <c r="I89" s="113"/>
      <c r="J89" s="113"/>
      <c r="K89" s="113"/>
      <c r="L89" s="113"/>
      <c r="M89" s="113"/>
    </row>
    <row r="90" spans="8:23" ht="12.75" customHeight="1">
      <c r="H90" s="113"/>
      <c r="I90" s="113"/>
      <c r="J90" s="113"/>
      <c r="K90" s="113"/>
      <c r="L90" s="113"/>
      <c r="M90" s="113"/>
      <c r="T90" s="107"/>
      <c r="U90" s="107"/>
      <c r="V90" s="107"/>
      <c r="W90" s="107"/>
    </row>
    <row r="91" spans="20:23" ht="12.75" customHeight="1">
      <c r="T91" s="107"/>
      <c r="U91" s="107"/>
      <c r="V91" s="107"/>
      <c r="W91" s="107"/>
    </row>
    <row r="92" spans="20:23" ht="12.75" customHeight="1">
      <c r="T92" s="107"/>
      <c r="U92" s="107"/>
      <c r="V92" s="107"/>
      <c r="W92" s="107"/>
    </row>
    <row r="93" spans="20:23" ht="12.75" customHeight="1">
      <c r="T93" s="107"/>
      <c r="U93" s="107"/>
      <c r="V93" s="107"/>
      <c r="W93" s="107"/>
    </row>
    <row r="94" spans="8:23" ht="12.75" customHeight="1">
      <c r="H94" s="115"/>
      <c r="I94" s="115"/>
      <c r="J94" s="115"/>
      <c r="K94" s="115"/>
      <c r="L94" s="115"/>
      <c r="M94" s="115"/>
      <c r="T94" s="107"/>
      <c r="U94" s="107"/>
      <c r="V94" s="107"/>
      <c r="W94" s="107"/>
    </row>
    <row r="95" spans="8:23" ht="12.75" customHeight="1">
      <c r="H95" s="115"/>
      <c r="I95" s="115"/>
      <c r="J95" s="115"/>
      <c r="K95" s="115"/>
      <c r="L95" s="115"/>
      <c r="M95" s="115"/>
      <c r="T95" s="107"/>
      <c r="U95" s="107"/>
      <c r="V95" s="107"/>
      <c r="W95" s="107"/>
    </row>
    <row r="96" spans="8:23" ht="12.75" customHeight="1">
      <c r="H96" s="115"/>
      <c r="I96" s="115"/>
      <c r="J96" s="115"/>
      <c r="K96" s="115"/>
      <c r="L96" s="115"/>
      <c r="M96" s="115"/>
      <c r="T96" s="107"/>
      <c r="U96" s="107"/>
      <c r="V96" s="107"/>
      <c r="W96" s="107"/>
    </row>
    <row r="97" spans="8:23" ht="12.75" customHeight="1">
      <c r="H97" s="115"/>
      <c r="I97" s="115"/>
      <c r="J97" s="115"/>
      <c r="K97" s="115"/>
      <c r="L97" s="115"/>
      <c r="M97" s="115"/>
      <c r="T97" s="107"/>
      <c r="U97" s="107"/>
      <c r="V97" s="107"/>
      <c r="W97" s="107"/>
    </row>
    <row r="98" spans="8:23" ht="12.75" customHeight="1">
      <c r="H98" s="115"/>
      <c r="I98" s="115"/>
      <c r="J98" s="115"/>
      <c r="K98" s="115"/>
      <c r="L98" s="115"/>
      <c r="M98" s="115"/>
      <c r="T98" s="107"/>
      <c r="U98" s="107"/>
      <c r="V98" s="107"/>
      <c r="W98" s="107"/>
    </row>
    <row r="99" spans="7:23" ht="12.75" customHeight="1">
      <c r="G99" s="49"/>
      <c r="H99" s="115"/>
      <c r="I99" s="115"/>
      <c r="J99" s="115"/>
      <c r="K99" s="115"/>
      <c r="L99" s="115"/>
      <c r="M99" s="115"/>
      <c r="T99" s="107"/>
      <c r="U99" s="107"/>
      <c r="V99" s="107"/>
      <c r="W99" s="107"/>
    </row>
    <row r="100" spans="7:23" ht="12.75" customHeight="1">
      <c r="G100" s="49"/>
      <c r="H100" s="115"/>
      <c r="I100" s="115"/>
      <c r="J100" s="115"/>
      <c r="K100" s="115"/>
      <c r="L100" s="115"/>
      <c r="M100" s="115"/>
      <c r="T100" s="107"/>
      <c r="U100" s="107"/>
      <c r="V100" s="107"/>
      <c r="W100" s="107"/>
    </row>
    <row r="101" spans="7:23" ht="12.75" customHeight="1">
      <c r="G101" s="49"/>
      <c r="H101" s="115"/>
      <c r="I101" s="115"/>
      <c r="J101" s="115"/>
      <c r="K101" s="115"/>
      <c r="L101" s="115"/>
      <c r="M101" s="115"/>
      <c r="T101" s="107"/>
      <c r="U101" s="107"/>
      <c r="V101" s="107"/>
      <c r="W101" s="107"/>
    </row>
    <row r="102" spans="7:23" ht="12.75" customHeight="1">
      <c r="G102" s="49"/>
      <c r="H102" s="115"/>
      <c r="I102" s="115"/>
      <c r="J102" s="115"/>
      <c r="K102" s="115"/>
      <c r="L102" s="115"/>
      <c r="M102" s="115"/>
      <c r="T102" s="107"/>
      <c r="U102" s="107"/>
      <c r="V102" s="107"/>
      <c r="W102" s="107"/>
    </row>
    <row r="103" spans="7:23" ht="12.75" customHeight="1">
      <c r="G103" s="49"/>
      <c r="H103" s="115"/>
      <c r="I103" s="115"/>
      <c r="J103" s="115"/>
      <c r="K103" s="115"/>
      <c r="L103" s="115"/>
      <c r="M103" s="115"/>
      <c r="T103" s="107"/>
      <c r="U103" s="107"/>
      <c r="V103" s="107"/>
      <c r="W103" s="107"/>
    </row>
    <row r="104" spans="7:23" ht="12.75" customHeight="1">
      <c r="G104" s="49"/>
      <c r="H104" s="115"/>
      <c r="I104" s="115"/>
      <c r="J104" s="115"/>
      <c r="K104" s="115"/>
      <c r="L104" s="115"/>
      <c r="M104" s="115"/>
      <c r="T104" s="107"/>
      <c r="U104" s="107"/>
      <c r="V104" s="107"/>
      <c r="W104" s="107"/>
    </row>
    <row r="105" spans="7:23" ht="12.75" customHeight="1">
      <c r="G105" s="49"/>
      <c r="H105" s="115"/>
      <c r="I105" s="115"/>
      <c r="J105" s="115"/>
      <c r="K105" s="115"/>
      <c r="L105" s="115"/>
      <c r="M105" s="115"/>
      <c r="T105" s="107"/>
      <c r="U105" s="107"/>
      <c r="V105" s="107"/>
      <c r="W105" s="107"/>
    </row>
    <row r="106" spans="8:23" ht="12.75" customHeight="1">
      <c r="H106" s="115"/>
      <c r="I106" s="115"/>
      <c r="J106" s="115"/>
      <c r="K106" s="115"/>
      <c r="L106" s="115"/>
      <c r="M106" s="115"/>
      <c r="T106" s="107"/>
      <c r="U106" s="107"/>
      <c r="V106" s="107"/>
      <c r="W106" s="107"/>
    </row>
    <row r="107" spans="8:23" ht="12.75" customHeight="1">
      <c r="H107" s="115"/>
      <c r="I107" s="115"/>
      <c r="J107" s="115"/>
      <c r="K107" s="115"/>
      <c r="L107" s="115"/>
      <c r="M107" s="115"/>
      <c r="T107" s="107"/>
      <c r="U107" s="107"/>
      <c r="V107" s="107"/>
      <c r="W107" s="107"/>
    </row>
    <row r="108" spans="8:13" ht="12.75" customHeight="1">
      <c r="H108" s="115"/>
      <c r="I108" s="115"/>
      <c r="J108" s="115"/>
      <c r="K108" s="115"/>
      <c r="L108" s="115"/>
      <c r="M108" s="115"/>
    </row>
    <row r="109" spans="8:13" ht="12.75" customHeight="1">
      <c r="H109" s="115"/>
      <c r="I109" s="115"/>
      <c r="J109" s="115"/>
      <c r="K109" s="115"/>
      <c r="L109" s="115"/>
      <c r="M109" s="115"/>
    </row>
    <row r="110" spans="8:13" ht="12.75" customHeight="1">
      <c r="H110" s="115"/>
      <c r="I110" s="115"/>
      <c r="J110" s="115"/>
      <c r="K110" s="115"/>
      <c r="L110" s="115"/>
      <c r="M110" s="115"/>
    </row>
    <row r="111" spans="7:13" ht="12.75" customHeight="1">
      <c r="G111" s="48"/>
      <c r="H111" s="115"/>
      <c r="I111" s="115"/>
      <c r="J111" s="115"/>
      <c r="K111" s="115"/>
      <c r="L111" s="115"/>
      <c r="M111" s="115"/>
    </row>
    <row r="112" ht="12.75" customHeight="1">
      <c r="G112" s="48"/>
    </row>
    <row r="113" ht="12.75" customHeight="1">
      <c r="G113" s="49"/>
    </row>
    <row r="114" spans="7:23" ht="12.75" customHeight="1">
      <c r="G114" s="46"/>
      <c r="T114" s="119"/>
      <c r="U114" s="119"/>
      <c r="V114" s="119"/>
      <c r="W114" s="119"/>
    </row>
    <row r="115" spans="7:23" ht="12.75" customHeight="1">
      <c r="G115" s="49"/>
      <c r="T115" s="119"/>
      <c r="U115" s="119"/>
      <c r="V115" s="119"/>
      <c r="W115" s="119"/>
    </row>
    <row r="116" ht="12.75" customHeight="1">
      <c r="G116" s="49"/>
    </row>
    <row r="117" ht="12.75" customHeight="1">
      <c r="G117" s="49"/>
    </row>
    <row r="118" spans="7:13" ht="12.75" customHeight="1">
      <c r="G118" s="49"/>
      <c r="H118" s="113"/>
      <c r="I118" s="113"/>
      <c r="J118" s="113"/>
      <c r="K118" s="113"/>
      <c r="L118" s="113"/>
      <c r="M118" s="113"/>
    </row>
    <row r="119" spans="7:23" ht="12.75" customHeight="1">
      <c r="G119" s="54"/>
      <c r="H119" s="113"/>
      <c r="I119" s="113"/>
      <c r="J119" s="113"/>
      <c r="K119" s="113"/>
      <c r="L119" s="113"/>
      <c r="M119" s="113"/>
      <c r="T119" s="140"/>
      <c r="U119" s="140"/>
      <c r="V119" s="140"/>
      <c r="W119" s="140"/>
    </row>
    <row r="120" spans="7:23" ht="12.75" customHeight="1">
      <c r="G120" s="54"/>
      <c r="T120" s="140"/>
      <c r="U120" s="140"/>
      <c r="V120" s="140"/>
      <c r="W120" s="140"/>
    </row>
    <row r="121" spans="7:23" ht="12.75" customHeight="1">
      <c r="G121" s="54"/>
      <c r="H121" s="7"/>
      <c r="I121" s="7"/>
      <c r="J121" s="7"/>
      <c r="K121" s="7"/>
      <c r="L121" s="7"/>
      <c r="M121" s="7"/>
      <c r="T121" s="140"/>
      <c r="U121" s="140"/>
      <c r="V121" s="140"/>
      <c r="W121" s="140"/>
    </row>
    <row r="122" spans="20:23" ht="12.75" customHeight="1">
      <c r="T122" s="140"/>
      <c r="U122" s="140"/>
      <c r="V122" s="140"/>
      <c r="W122" s="140"/>
    </row>
    <row r="123" spans="20:23" ht="12.75" customHeight="1">
      <c r="T123" s="140"/>
      <c r="U123" s="140"/>
      <c r="V123" s="140"/>
      <c r="W123" s="140"/>
    </row>
    <row r="124" spans="20:23" ht="12.75" customHeight="1">
      <c r="T124" s="140"/>
      <c r="U124" s="140"/>
      <c r="V124" s="140"/>
      <c r="W124" s="140"/>
    </row>
    <row r="125" spans="20:23" ht="12.75" customHeight="1">
      <c r="T125" s="140"/>
      <c r="U125" s="140"/>
      <c r="V125" s="140"/>
      <c r="W125" s="140"/>
    </row>
    <row r="126" spans="20:23" ht="12.75" customHeight="1">
      <c r="T126" s="140"/>
      <c r="U126" s="140"/>
      <c r="V126" s="140"/>
      <c r="W126" s="140"/>
    </row>
    <row r="140" spans="8:13" ht="12.75" customHeight="1">
      <c r="H140" s="113"/>
      <c r="I140" s="113"/>
      <c r="J140" s="113"/>
      <c r="K140" s="113"/>
      <c r="L140" s="113"/>
      <c r="M140" s="113"/>
    </row>
    <row r="141" spans="8:13" ht="12.75" customHeight="1">
      <c r="H141" s="114"/>
      <c r="I141" s="114"/>
      <c r="J141" s="114"/>
      <c r="K141" s="114"/>
      <c r="L141" s="114"/>
      <c r="M141" s="114"/>
    </row>
    <row r="144" spans="8:13" ht="12.75" customHeight="1">
      <c r="H144" s="115"/>
      <c r="I144" s="115"/>
      <c r="J144" s="115"/>
      <c r="K144" s="115"/>
      <c r="L144" s="115"/>
      <c r="M144" s="115"/>
    </row>
    <row r="145" spans="8:13" ht="12.75" customHeight="1">
      <c r="H145" s="115"/>
      <c r="I145" s="115"/>
      <c r="J145" s="115"/>
      <c r="K145" s="115"/>
      <c r="L145" s="115"/>
      <c r="M145" s="115"/>
    </row>
    <row r="146" spans="8:13" ht="12.75" customHeight="1">
      <c r="H146" s="115"/>
      <c r="I146" s="115"/>
      <c r="J146" s="115"/>
      <c r="K146" s="115"/>
      <c r="L146" s="115"/>
      <c r="M146" s="115"/>
    </row>
  </sheetData>
  <sheetProtection sheet="1" objects="1" scenarios="1"/>
  <mergeCells count="4">
    <mergeCell ref="B2:C2"/>
    <mergeCell ref="B3:C3"/>
    <mergeCell ref="B10:C11"/>
    <mergeCell ref="D2:E2"/>
  </mergeCells>
  <conditionalFormatting sqref="H10:CC14 H25:CC31 H23 X15:CC24 H36:CC10000 X32:CC35">
    <cfRule type="expression" priority="6" dxfId="0">
      <formula>AND($D10&lt;&gt;"",H$10&lt;&gt;"",H10="")</formula>
    </cfRule>
    <cfRule type="expression" priority="7" dxfId="1">
      <formula>AND($A10="",ABS(H10)=0)</formula>
    </cfRule>
    <cfRule type="expression" priority="8" dxfId="1">
      <formula>AND($A10="",ABS(H10)&lt;10)</formula>
    </cfRule>
    <cfRule type="expression" priority="9" dxfId="35">
      <formula>AND($A10="",ABS(H10)&lt;100)</formula>
    </cfRule>
    <cfRule type="expression" priority="11" dxfId="1">
      <formula>AND($A10="",ABS(H10)&gt;=100)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A10" location="GRI_403" display="Ó"/>
    <hyperlink ref="C7" location="GRI_403_2a" display="GRI_403_2a"/>
    <hyperlink ref="D2" location="Home" display="Home"/>
  </hyperlinks>
  <printOptions/>
  <pageMargins left="0.7" right="0.7" top="0.787401575" bottom="0.7874015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POST CH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Saner Dominik, K CR2</dc:creator>
  <cp:keywords/>
  <dc:description/>
  <cp:lastModifiedBy>Haas Mark, F111</cp:lastModifiedBy>
  <dcterms:created xsi:type="dcterms:W3CDTF">2017-09-13T11:36:15Z</dcterms:created>
  <dcterms:modified xsi:type="dcterms:W3CDTF">2020-03-16T10:01:07Z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ogoMarke">
    <vt:lpwstr>P</vt:lpwstr>
  </property>
  <property fmtid="{D5CDD505-2E9C-101B-9397-08002B2CF9AE}" pid="3" name="LogoSprache">
    <vt:lpwstr>D</vt:lpwstr>
  </property>
</Properties>
</file>