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codeName="DieseArbeitsmappe"/>
  <mc:AlternateContent xmlns:mc="http://schemas.openxmlformats.org/markup-compatibility/2006">
    <mc:Choice Requires="x15">
      <x15ac:absPath xmlns:x15ac="http://schemas.microsoft.com/office/spreadsheetml/2010/11/ac" url="/Users/as/Downloads/"/>
    </mc:Choice>
  </mc:AlternateContent>
  <xr:revisionPtr revIDLastSave="0" documentId="13_ncr:1_{C83B291F-4EA3-DC4D-88AA-2B0F1816B5A5}" xr6:coauthVersionLast="46" xr6:coauthVersionMax="46" xr10:uidLastSave="{00000000-0000-0000-0000-000000000000}"/>
  <workbookProtection workbookAlgorithmName="SHA-512" workbookHashValue="LT8xNafmBraHfarEz8lhTD5zqGhyFRQodhDsVCLPuGm9FXUqTJ5iOcjk9ySDXYd4EuBQbUHbfbMYxb3bwS41kQ==" workbookSaltValue="NU+hEEqI31imqp47uFxJAQ==" workbookSpinCount="100000" lockStructure="1"/>
  <bookViews>
    <workbookView xWindow="0" yWindow="460" windowWidth="26320" windowHeight="20140" tabRatio="903" xr2:uid="{00000000-000D-0000-FFFF-FFFF00000000}"/>
  </bookViews>
  <sheets>
    <sheet name="Inhaltsverzeichni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Inhaltsverzeichnis!$E$6:$F$40</definedName>
    <definedName name="GRI_102">'102'!$B$3</definedName>
    <definedName name="GRI_102_43a">'102'!$B$340</definedName>
    <definedName name="GRI_102_6a">'102'!$B$20</definedName>
    <definedName name="GRI_102_7a">'102'!$B$47</definedName>
    <definedName name="GRI_102_7b">'102'!$B$59</definedName>
    <definedName name="GRI_102_7c">'102'!$B$74</definedName>
    <definedName name="GRI_102_7d">'102'!$B$173</definedName>
    <definedName name="GRI_102_7e">'102'!$B$340</definedName>
    <definedName name="GRI_102_8a">'102'!$B$194</definedName>
    <definedName name="GRI_102_8b">'102'!$B$253</definedName>
    <definedName name="GRI_102_8c">'102'!$B$267</definedName>
    <definedName name="GRI_102_8d">'102'!$B$297</definedName>
    <definedName name="GRI_102_9a">'102'!$B$328</definedName>
    <definedName name="GRI_201">'201'!$B$3</definedName>
    <definedName name="GRI_201_1a">'201'!$B$12</definedName>
    <definedName name="GRI_201_1b">'201'!$B$72</definedName>
    <definedName name="GRI_201_3">'201'!$B$109</definedName>
    <definedName name="GRI_202">'202'!$B$3</definedName>
    <definedName name="GRI_202_1">'202'!$B$10</definedName>
    <definedName name="GRI_203">'203'!$B$3</definedName>
    <definedName name="GRI_203_2">'203'!$B$16</definedName>
    <definedName name="GRI_203_2b">'203'!$B$39</definedName>
    <definedName name="GRI_203_2c">'203'!$B$58</definedName>
    <definedName name="GRI_203_2d">'203'!$B$139</definedName>
    <definedName name="GRI_203_2e">'203'!$B$216</definedName>
    <definedName name="GRI_203_2f">'203'!$B$231</definedName>
    <definedName name="GRI_203_2g">'203'!$B$242</definedName>
    <definedName name="GRI_302">'302'!$B$3</definedName>
    <definedName name="GRI_302_1">'302'!$B$11</definedName>
    <definedName name="GRI_302_2">'302'!$B$63</definedName>
    <definedName name="GRI_305">'305'!$B$3</definedName>
    <definedName name="GRI_305_1">'305'!$B$14</definedName>
    <definedName name="GRI_305_2">'305'!$B$70</definedName>
    <definedName name="GRI_305_3">'305'!$B$81</definedName>
    <definedName name="GRI_305_4">'305'!$B$91</definedName>
    <definedName name="GRI_305_6_7">'305'!$B$100</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'404'!$B$45</definedName>
    <definedName name="GRI_404_2c">'404'!$B$57:$C$58</definedName>
    <definedName name="GRI_405">'405'!$B$3</definedName>
    <definedName name="GRI_405_1">'405'!$B$13</definedName>
    <definedName name="GRI_405_1a">'405'!$B$13</definedName>
    <definedName name="GRI_405_1b">'405'!$B$29</definedName>
    <definedName name="GRI_405_1c">'405'!$B$44</definedName>
    <definedName name="GRI_405_1d">'405'!$B$64</definedName>
    <definedName name="Home">Inhaltsverzeichnis!$B$2</definedName>
    <definedName name="Passwort" hidden="1">"KCR2"</definedName>
    <definedName name="Sprache">Sprachen[Sprache]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4" i="6" l="1"/>
  <c r="M276" i="6" l="1"/>
  <c r="M277" i="6"/>
  <c r="M278" i="6"/>
  <c r="M279" i="6"/>
  <c r="M280" i="6"/>
  <c r="M281" i="6"/>
  <c r="M282" i="6"/>
  <c r="M283" i="6"/>
  <c r="M284" i="6"/>
  <c r="M285" i="6"/>
  <c r="M286" i="6"/>
  <c r="M287" i="6"/>
  <c r="M296" i="6" l="1"/>
  <c r="M297" i="6"/>
  <c r="M298" i="6"/>
  <c r="M299" i="6"/>
  <c r="M300" i="6"/>
  <c r="M301" i="6"/>
  <c r="M302" i="6"/>
  <c r="M303" i="6"/>
  <c r="M304" i="6"/>
  <c r="M305" i="6"/>
  <c r="M274" i="6" l="1"/>
  <c r="M275" i="6"/>
  <c r="M270" i="6" l="1"/>
  <c r="M268" i="6" l="1"/>
  <c r="M269" i="6"/>
  <c r="U127" i="4" l="1"/>
  <c r="U124" i="4"/>
  <c r="H54" i="11" l="1"/>
  <c r="X79" i="1" l="1"/>
  <c r="S160" i="6" l="1"/>
  <c r="X87" i="1" l="1"/>
  <c r="X88" i="1"/>
  <c r="M343" i="6" l="1"/>
  <c r="X96" i="1" l="1"/>
  <c r="X95" i="1"/>
  <c r="X94" i="1"/>
  <c r="X93" i="1"/>
  <c r="X92" i="1"/>
  <c r="X91" i="1"/>
  <c r="X90" i="1"/>
  <c r="X89" i="1"/>
  <c r="O54" i="11"/>
  <c r="O51" i="11"/>
  <c r="O50" i="11"/>
  <c r="O49" i="11"/>
  <c r="O47" i="11"/>
  <c r="O42" i="11"/>
  <c r="O38" i="11"/>
  <c r="O26" i="11"/>
  <c r="O24" i="11" s="1"/>
  <c r="O20" i="11"/>
  <c r="O55" i="10"/>
  <c r="O46" i="10"/>
  <c r="O17" i="10"/>
  <c r="O53" i="10" s="1"/>
  <c r="O52" i="10" s="1"/>
  <c r="O16" i="10" l="1"/>
  <c r="O37" i="11"/>
  <c r="N17" i="10"/>
  <c r="M17" i="10"/>
  <c r="L17" i="10"/>
  <c r="K17" i="10"/>
  <c r="J17" i="10" l="1"/>
  <c r="J16" i="10" s="1"/>
  <c r="I17" i="10"/>
  <c r="U96" i="1" l="1"/>
  <c r="U95" i="1"/>
  <c r="U94" i="1"/>
  <c r="U93" i="1"/>
  <c r="U92" i="1"/>
  <c r="U91" i="1"/>
  <c r="U90" i="1"/>
  <c r="U89" i="1"/>
  <c r="U88" i="1"/>
  <c r="U87" i="1"/>
  <c r="N54" i="11" l="1"/>
  <c r="M54" i="11"/>
  <c r="L54" i="11"/>
  <c r="K54" i="11"/>
  <c r="J54" i="11"/>
  <c r="I54" i="11"/>
  <c r="N51" i="11"/>
  <c r="M51" i="11"/>
  <c r="L51" i="11"/>
  <c r="K51" i="11"/>
  <c r="J51" i="11"/>
  <c r="I51" i="11"/>
  <c r="H51" i="11"/>
  <c r="N50" i="11"/>
  <c r="N49" i="11" s="1"/>
  <c r="M50" i="11"/>
  <c r="M49" i="11" s="1"/>
  <c r="L50" i="11"/>
  <c r="L49" i="11" s="1"/>
  <c r="K50" i="11"/>
  <c r="J50" i="11"/>
  <c r="I50" i="11"/>
  <c r="I49" i="11" s="1"/>
  <c r="H50" i="11"/>
  <c r="H49" i="11" s="1"/>
  <c r="K49" i="11"/>
  <c r="J49" i="11"/>
  <c r="N47" i="11"/>
  <c r="M47" i="11"/>
  <c r="L47" i="11"/>
  <c r="K47" i="11"/>
  <c r="J47" i="11"/>
  <c r="I47" i="11"/>
  <c r="H47" i="11"/>
  <c r="N42" i="11"/>
  <c r="M42" i="11"/>
  <c r="L42" i="11"/>
  <c r="K42" i="11"/>
  <c r="J42" i="11"/>
  <c r="I42" i="11"/>
  <c r="H42" i="11"/>
  <c r="N38" i="11"/>
  <c r="M38" i="11"/>
  <c r="L38" i="11"/>
  <c r="K38" i="11"/>
  <c r="J38" i="11"/>
  <c r="I38" i="11"/>
  <c r="H38" i="11"/>
  <c r="K37" i="11"/>
  <c r="N55" i="10"/>
  <c r="M55" i="10"/>
  <c r="L55" i="10"/>
  <c r="K55" i="10"/>
  <c r="J55" i="10"/>
  <c r="I55" i="10"/>
  <c r="H55" i="10"/>
  <c r="N53" i="10"/>
  <c r="N52" i="10" s="1"/>
  <c r="M53" i="10"/>
  <c r="L53" i="10"/>
  <c r="K53" i="10"/>
  <c r="J53" i="10"/>
  <c r="J52" i="10" s="1"/>
  <c r="I53" i="10"/>
  <c r="M52" i="10"/>
  <c r="I52" i="10"/>
  <c r="H17" i="10"/>
  <c r="H53" i="10" s="1"/>
  <c r="H52" i="10" s="1"/>
  <c r="N16" i="10"/>
  <c r="M16" i="10"/>
  <c r="L16" i="10"/>
  <c r="K16" i="10"/>
  <c r="I16" i="10"/>
  <c r="K52" i="10" l="1"/>
  <c r="L52" i="10"/>
  <c r="H16" i="10"/>
  <c r="L37" i="11"/>
  <c r="M37" i="11"/>
  <c r="N37" i="11"/>
  <c r="H37" i="11"/>
  <c r="I37" i="11"/>
  <c r="J37" i="11"/>
  <c r="T28" i="4"/>
  <c r="T29" i="4"/>
  <c r="AE247" i="6" l="1"/>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41" i="6" l="1"/>
  <c r="M342" i="6"/>
  <c r="M345" i="6"/>
  <c r="M335" i="6"/>
  <c r="M336" i="6"/>
  <c r="M337" i="6"/>
  <c r="M338" i="6"/>
  <c r="M339" i="6"/>
  <c r="M340" i="6"/>
  <c r="M322" i="6"/>
  <c r="M323" i="6"/>
  <c r="M324" i="6"/>
  <c r="M325" i="6"/>
  <c r="M326" i="6"/>
  <c r="M327" i="6"/>
  <c r="M328" i="6"/>
  <c r="M329" i="6"/>
  <c r="M330" i="6"/>
  <c r="M331" i="6"/>
  <c r="M332" i="6"/>
  <c r="M333" i="6"/>
  <c r="M334" i="6"/>
  <c r="M308" i="6"/>
  <c r="M309" i="6"/>
  <c r="M310" i="6"/>
  <c r="M311" i="6"/>
  <c r="M312" i="6"/>
  <c r="M313" i="6"/>
  <c r="M314" i="6"/>
  <c r="M315" i="6"/>
  <c r="M316" i="6"/>
  <c r="M317" i="6"/>
  <c r="M318" i="6"/>
  <c r="M319" i="6"/>
  <c r="M320" i="6"/>
  <c r="M321" i="6"/>
  <c r="M259" i="6"/>
  <c r="M260" i="6"/>
  <c r="M261" i="6"/>
  <c r="M262" i="6"/>
  <c r="M263" i="6"/>
  <c r="M264" i="6"/>
  <c r="M265" i="6"/>
  <c r="M266" i="6"/>
  <c r="M267" i="6"/>
  <c r="M271" i="6"/>
  <c r="M272" i="6"/>
  <c r="M273" i="6"/>
  <c r="M288" i="6"/>
  <c r="M289" i="6"/>
  <c r="M290" i="6"/>
  <c r="M291" i="6"/>
  <c r="M292" i="6"/>
  <c r="M293" i="6"/>
  <c r="M294" i="6"/>
  <c r="M295" i="6"/>
  <c r="M306" i="6"/>
  <c r="M307"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T127" i="4" l="1"/>
  <c r="S127" i="4"/>
  <c r="R127" i="4"/>
  <c r="Q127" i="4"/>
  <c r="P127" i="4"/>
  <c r="O127" i="4"/>
  <c r="N127" i="4"/>
  <c r="M127" i="4"/>
  <c r="L127" i="4"/>
  <c r="K127" i="4"/>
  <c r="J127" i="4"/>
  <c r="I127" i="4"/>
  <c r="H127" i="4"/>
  <c r="T124" i="4"/>
  <c r="S124" i="4"/>
  <c r="R124" i="4"/>
  <c r="Q124" i="4"/>
  <c r="P124" i="4"/>
  <c r="O124" i="4"/>
  <c r="N124" i="4"/>
  <c r="M124" i="4"/>
  <c r="L124" i="4"/>
  <c r="K124" i="4"/>
  <c r="J124" i="4"/>
  <c r="I124" i="4"/>
  <c r="H124"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B42" i="16" l="1"/>
  <c r="B41" i="16"/>
  <c r="B39" i="16"/>
  <c r="B54" i="16"/>
  <c r="B40" i="16"/>
  <c r="B38" i="16"/>
  <c r="D30" i="2"/>
  <c r="C61" i="16"/>
  <c r="C62" i="16"/>
  <c r="C9" i="16"/>
  <c r="B57" i="16" s="1"/>
  <c r="D63" i="16"/>
  <c r="C63" i="16"/>
  <c r="D62" i="16"/>
  <c r="D61" i="16"/>
  <c r="C8" i="16"/>
  <c r="B35" i="16"/>
  <c r="C49" i="16"/>
  <c r="B53" i="16"/>
  <c r="C51" i="16"/>
  <c r="B37" i="16"/>
  <c r="C50" i="16"/>
  <c r="B36" i="16"/>
  <c r="C7" i="16"/>
  <c r="D50" i="16"/>
  <c r="D29" i="16"/>
  <c r="D25" i="16"/>
  <c r="D21" i="16"/>
  <c r="D17" i="16"/>
  <c r="C32" i="16"/>
  <c r="C28" i="16"/>
  <c r="C23" i="16"/>
  <c r="C19" i="16"/>
  <c r="D26" i="16"/>
  <c r="D22" i="16"/>
  <c r="C29" i="16"/>
  <c r="C16" i="16"/>
  <c r="D49" i="16"/>
  <c r="D28" i="16"/>
  <c r="D24" i="16"/>
  <c r="D20" i="16"/>
  <c r="D16" i="16"/>
  <c r="C31" i="16"/>
  <c r="C27" i="16"/>
  <c r="C22" i="16"/>
  <c r="C18" i="16"/>
  <c r="D32" i="16"/>
  <c r="C33" i="16"/>
  <c r="C20" i="16"/>
  <c r="D31" i="16"/>
  <c r="D27" i="16"/>
  <c r="D23" i="16"/>
  <c r="D19" i="16"/>
  <c r="D33" i="16"/>
  <c r="C25" i="16"/>
  <c r="C26" i="16"/>
  <c r="C21" i="16"/>
  <c r="C17" i="16"/>
  <c r="D51" i="16"/>
  <c r="D18" i="16"/>
  <c r="C24" i="16"/>
  <c r="B45"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B250" i="13" l="1"/>
  <c r="C95" i="13"/>
  <c r="C94" i="13"/>
  <c r="B112" i="12"/>
  <c r="B113" i="12"/>
  <c r="D95" i="13"/>
  <c r="D94" i="13"/>
  <c r="B171" i="13"/>
  <c r="B72" i="13"/>
  <c r="B170" i="13"/>
  <c r="B169" i="13"/>
  <c r="B167" i="13"/>
  <c r="B168" i="13"/>
  <c r="C120" i="13"/>
  <c r="D120" i="13"/>
  <c r="B166" i="13"/>
  <c r="B364" i="13"/>
  <c r="B363" i="13"/>
  <c r="B359" i="13"/>
  <c r="B325" i="13"/>
  <c r="B321" i="13"/>
  <c r="B317" i="13"/>
  <c r="B291" i="13"/>
  <c r="B249" i="13"/>
  <c r="B245" i="13"/>
  <c r="B294" i="13"/>
  <c r="B248" i="13"/>
  <c r="B361" i="13"/>
  <c r="B323" i="13"/>
  <c r="B293" i="13"/>
  <c r="B263" i="13"/>
  <c r="B360" i="13"/>
  <c r="B336" i="13"/>
  <c r="B318" i="13"/>
  <c r="B292" i="13"/>
  <c r="B246" i="13"/>
  <c r="B362" i="13"/>
  <c r="B358" i="13"/>
  <c r="B324" i="13"/>
  <c r="B320" i="13"/>
  <c r="B264" i="13"/>
  <c r="B244" i="13"/>
  <c r="B337" i="13"/>
  <c r="B319" i="13"/>
  <c r="B247" i="13"/>
  <c r="B322" i="13"/>
  <c r="B262" i="13"/>
  <c r="B50" i="14"/>
  <c r="B60" i="12"/>
  <c r="B50" i="12"/>
  <c r="B49" i="12"/>
  <c r="B79" i="15"/>
  <c r="B60" i="15"/>
  <c r="B39" i="15"/>
  <c r="B41" i="15"/>
  <c r="B61" i="15"/>
  <c r="B78" i="15"/>
  <c r="B59" i="15"/>
  <c r="B26" i="15"/>
  <c r="B77" i="15"/>
  <c r="B40" i="15"/>
  <c r="B164" i="13"/>
  <c r="B165" i="13"/>
  <c r="B163" i="13"/>
  <c r="B162" i="13"/>
  <c r="B161" i="13"/>
  <c r="B160" i="13"/>
  <c r="B159" i="13"/>
  <c r="B158" i="13"/>
  <c r="B157" i="13"/>
  <c r="B37" i="13"/>
  <c r="B36" i="13"/>
  <c r="B56" i="13"/>
  <c r="B71" i="13"/>
  <c r="C315" i="13"/>
  <c r="C314" i="13"/>
  <c r="C313" i="13"/>
  <c r="C312" i="13"/>
  <c r="D314" i="13"/>
  <c r="D313" i="13"/>
  <c r="D309" i="13"/>
  <c r="D312" i="13"/>
  <c r="D315" i="13"/>
  <c r="D260" i="13"/>
  <c r="D258" i="13"/>
  <c r="D257" i="13"/>
  <c r="D259" i="13"/>
  <c r="C119" i="13"/>
  <c r="C114" i="13"/>
  <c r="C121" i="13"/>
  <c r="C115" i="13"/>
  <c r="C117" i="13"/>
  <c r="B43" i="13"/>
  <c r="C116" i="13"/>
  <c r="C113" i="13"/>
  <c r="C112" i="13"/>
  <c r="C118" i="13"/>
  <c r="C52" i="13"/>
  <c r="C24" i="13"/>
  <c r="C307" i="13"/>
  <c r="C346" i="13"/>
  <c r="D332" i="13"/>
  <c r="B155" i="13"/>
  <c r="D307" i="13"/>
  <c r="B154" i="13"/>
  <c r="D356" i="13"/>
  <c r="C333" i="13"/>
  <c r="B38" i="13"/>
  <c r="C345" i="13"/>
  <c r="D345" i="13"/>
  <c r="D333" i="13"/>
  <c r="B152" i="13"/>
  <c r="D354" i="13"/>
  <c r="B352" i="13"/>
  <c r="D302" i="13"/>
  <c r="B40" i="13"/>
  <c r="D350" i="13"/>
  <c r="D305" i="13"/>
  <c r="D353" i="13"/>
  <c r="B343" i="13"/>
  <c r="C350" i="13"/>
  <c r="B153" i="13"/>
  <c r="B42" i="13"/>
  <c r="D355" i="13"/>
  <c r="C349" i="13"/>
  <c r="C332" i="13"/>
  <c r="D308" i="13"/>
  <c r="D347" i="13"/>
  <c r="B41" i="13"/>
  <c r="C306" i="13"/>
  <c r="D306" i="13"/>
  <c r="C304" i="13"/>
  <c r="D346" i="13"/>
  <c r="C334" i="13"/>
  <c r="B39" i="13"/>
  <c r="C303" i="13"/>
  <c r="D349" i="13"/>
  <c r="D304" i="13"/>
  <c r="C302" i="13"/>
  <c r="C309" i="13"/>
  <c r="D334" i="13"/>
  <c r="B156" i="13"/>
  <c r="C305" i="13"/>
  <c r="C308" i="13"/>
  <c r="C56" i="15"/>
  <c r="C8" i="15"/>
  <c r="B29" i="15" s="1"/>
  <c r="B24" i="15"/>
  <c r="C55" i="15"/>
  <c r="C7" i="15"/>
  <c r="C71" i="15"/>
  <c r="B25" i="15"/>
  <c r="C54" i="15"/>
  <c r="C22" i="15"/>
  <c r="C75" i="15"/>
  <c r="C48" i="15"/>
  <c r="C21" i="15"/>
  <c r="C73" i="15"/>
  <c r="C37" i="15"/>
  <c r="C36" i="15"/>
  <c r="C35" i="15"/>
  <c r="C70" i="15"/>
  <c r="C69" i="15"/>
  <c r="C17" i="15"/>
  <c r="C68" i="15"/>
  <c r="C10" i="15"/>
  <c r="C52" i="15"/>
  <c r="C20" i="15"/>
  <c r="C49" i="15"/>
  <c r="C51" i="15"/>
  <c r="C19" i="15"/>
  <c r="C53" i="15"/>
  <c r="C50" i="15"/>
  <c r="C18" i="15"/>
  <c r="C57" i="15"/>
  <c r="C74" i="15"/>
  <c r="C9" i="15"/>
  <c r="C72" i="15"/>
  <c r="C34" i="15"/>
  <c r="C33" i="15"/>
  <c r="C301" i="13"/>
  <c r="D287" i="13"/>
  <c r="D279" i="13"/>
  <c r="D273" i="13"/>
  <c r="C287" i="13"/>
  <c r="C282" i="13"/>
  <c r="C277" i="13"/>
  <c r="C272" i="13"/>
  <c r="C258" i="13"/>
  <c r="D240" i="13"/>
  <c r="D236" i="13"/>
  <c r="D232" i="13"/>
  <c r="D228" i="13"/>
  <c r="D222" i="13"/>
  <c r="D218" i="13"/>
  <c r="D212" i="13"/>
  <c r="D208" i="13"/>
  <c r="D200" i="13"/>
  <c r="D283" i="13"/>
  <c r="C289" i="13"/>
  <c r="C279" i="13"/>
  <c r="D242" i="13"/>
  <c r="D230" i="13"/>
  <c r="D220" i="13"/>
  <c r="D210" i="13"/>
  <c r="D282" i="13"/>
  <c r="D274" i="13"/>
  <c r="C283" i="13"/>
  <c r="C273" i="13"/>
  <c r="C259" i="13"/>
  <c r="D233" i="13"/>
  <c r="D223" i="13"/>
  <c r="D213" i="13"/>
  <c r="D204" i="13"/>
  <c r="D284" i="13"/>
  <c r="D278" i="13"/>
  <c r="D272" i="13"/>
  <c r="C286" i="13"/>
  <c r="C281" i="13"/>
  <c r="C276" i="13"/>
  <c r="C271" i="13"/>
  <c r="C257" i="13"/>
  <c r="D239" i="13"/>
  <c r="D235" i="13"/>
  <c r="D231" i="13"/>
  <c r="D227" i="13"/>
  <c r="D221" i="13"/>
  <c r="D217" i="13"/>
  <c r="D211" i="13"/>
  <c r="D203" i="13"/>
  <c r="D199" i="13"/>
  <c r="D277" i="13"/>
  <c r="C284" i="13"/>
  <c r="C274" i="13"/>
  <c r="C260" i="13"/>
  <c r="D238" i="13"/>
  <c r="D234" i="13"/>
  <c r="D226" i="13"/>
  <c r="D214" i="13"/>
  <c r="D202" i="13"/>
  <c r="D198" i="13"/>
  <c r="D288" i="13"/>
  <c r="C288" i="13"/>
  <c r="C278" i="13"/>
  <c r="D241" i="13"/>
  <c r="D237" i="13"/>
  <c r="D229" i="13"/>
  <c r="D219" i="13"/>
  <c r="D209" i="13"/>
  <c r="D289" i="13"/>
  <c r="C239" i="13"/>
  <c r="C235" i="13"/>
  <c r="C231" i="13"/>
  <c r="C227" i="13"/>
  <c r="C204" i="13"/>
  <c r="C202" i="13"/>
  <c r="D191" i="13"/>
  <c r="D189" i="13"/>
  <c r="D187" i="13"/>
  <c r="D185" i="13"/>
  <c r="C182" i="13"/>
  <c r="C180" i="13"/>
  <c r="C178" i="13"/>
  <c r="D149" i="13"/>
  <c r="D147" i="13"/>
  <c r="D145" i="13"/>
  <c r="C142" i="13"/>
  <c r="C140" i="13"/>
  <c r="C138" i="13"/>
  <c r="C136" i="13"/>
  <c r="C134" i="13"/>
  <c r="C132" i="13"/>
  <c r="D128" i="13"/>
  <c r="D126" i="13"/>
  <c r="D119" i="13"/>
  <c r="D115" i="13"/>
  <c r="D113" i="13"/>
  <c r="C108" i="13"/>
  <c r="D104" i="13"/>
  <c r="D102" i="13"/>
  <c r="D100" i="13"/>
  <c r="C97" i="13"/>
  <c r="C93" i="13"/>
  <c r="C91" i="13"/>
  <c r="C89" i="13"/>
  <c r="D85" i="13"/>
  <c r="D83" i="13"/>
  <c r="D81" i="13"/>
  <c r="D79" i="13"/>
  <c r="D69" i="13"/>
  <c r="D67" i="13"/>
  <c r="D65" i="13"/>
  <c r="D63" i="13"/>
  <c r="D53" i="13"/>
  <c r="D51" i="13"/>
  <c r="D28" i="13"/>
  <c r="C16" i="13"/>
  <c r="B328" i="13" s="1"/>
  <c r="C12" i="13"/>
  <c r="B194" i="13" s="1"/>
  <c r="C8" i="13"/>
  <c r="B47" i="13" s="1"/>
  <c r="D31" i="13"/>
  <c r="D24" i="13"/>
  <c r="C15" i="13"/>
  <c r="B297" i="13" s="1"/>
  <c r="C7" i="13"/>
  <c r="B20" i="13" s="1"/>
  <c r="C242" i="13"/>
  <c r="C238" i="13"/>
  <c r="C234" i="13"/>
  <c r="C230" i="13"/>
  <c r="C226" i="13"/>
  <c r="C203" i="13"/>
  <c r="C200" i="13"/>
  <c r="C198" i="13"/>
  <c r="C191" i="13"/>
  <c r="C189" i="13"/>
  <c r="C187" i="13"/>
  <c r="C185" i="13"/>
  <c r="D181" i="13"/>
  <c r="D179" i="13"/>
  <c r="D177" i="13"/>
  <c r="C149" i="13"/>
  <c r="C147" i="13"/>
  <c r="C145" i="13"/>
  <c r="D141" i="13"/>
  <c r="D139" i="13"/>
  <c r="D137" i="13"/>
  <c r="D135" i="13"/>
  <c r="D133" i="13"/>
  <c r="D131" i="13"/>
  <c r="C128" i="13"/>
  <c r="C126" i="13"/>
  <c r="D122" i="13"/>
  <c r="D118" i="13"/>
  <c r="D109" i="13"/>
  <c r="C104" i="13"/>
  <c r="C102" i="13"/>
  <c r="C100" i="13"/>
  <c r="D96" i="13"/>
  <c r="D92" i="13"/>
  <c r="D90" i="13"/>
  <c r="C85" i="13"/>
  <c r="C83" i="13"/>
  <c r="C81" i="13"/>
  <c r="C79" i="13"/>
  <c r="C69" i="13"/>
  <c r="C67" i="13"/>
  <c r="C65" i="13"/>
  <c r="C63" i="13"/>
  <c r="C53" i="13"/>
  <c r="C51" i="13"/>
  <c r="C28" i="13"/>
  <c r="C11" i="13"/>
  <c r="B173" i="13" s="1"/>
  <c r="C207" i="13"/>
  <c r="C241" i="13"/>
  <c r="C237" i="13"/>
  <c r="C233" i="13"/>
  <c r="C229" i="13"/>
  <c r="C216" i="13"/>
  <c r="C199" i="13"/>
  <c r="D190" i="13"/>
  <c r="D188" i="13"/>
  <c r="D186" i="13"/>
  <c r="B184" i="13"/>
  <c r="C181" i="13"/>
  <c r="C179" i="13"/>
  <c r="C177" i="13"/>
  <c r="D150" i="13"/>
  <c r="D148" i="13"/>
  <c r="D146" i="13"/>
  <c r="C141" i="13"/>
  <c r="C139" i="13"/>
  <c r="C137" i="13"/>
  <c r="C135" i="13"/>
  <c r="C133" i="13"/>
  <c r="C131" i="13"/>
  <c r="D127" i="13"/>
  <c r="D125" i="13"/>
  <c r="C122" i="13"/>
  <c r="D117" i="13"/>
  <c r="D114" i="13"/>
  <c r="D112" i="13"/>
  <c r="C109" i="13"/>
  <c r="D105" i="13"/>
  <c r="D103" i="13"/>
  <c r="D101" i="13"/>
  <c r="C96" i="13"/>
  <c r="C92" i="13"/>
  <c r="C90" i="13"/>
  <c r="D86" i="13"/>
  <c r="D84" i="13"/>
  <c r="D82" i="13"/>
  <c r="D80" i="13"/>
  <c r="D78" i="13"/>
  <c r="D68" i="13"/>
  <c r="D66" i="13"/>
  <c r="D64" i="13"/>
  <c r="D54" i="13"/>
  <c r="D52" i="13"/>
  <c r="D34" i="13"/>
  <c r="C31" i="13"/>
  <c r="D27" i="13"/>
  <c r="C14" i="13"/>
  <c r="B267" i="13" s="1"/>
  <c r="C10" i="13"/>
  <c r="B74" i="13" s="1"/>
  <c r="C240" i="13"/>
  <c r="C236" i="13"/>
  <c r="C232" i="13"/>
  <c r="C228" i="13"/>
  <c r="C188" i="13"/>
  <c r="D178" i="13"/>
  <c r="C150" i="13"/>
  <c r="D140" i="13"/>
  <c r="D132" i="13"/>
  <c r="D121" i="13"/>
  <c r="D108" i="13"/>
  <c r="D97" i="13"/>
  <c r="C86" i="13"/>
  <c r="C78" i="13"/>
  <c r="C64" i="13"/>
  <c r="C34" i="13"/>
  <c r="C125" i="13"/>
  <c r="C101" i="13"/>
  <c r="C66" i="13"/>
  <c r="C9" i="13"/>
  <c r="B59" i="13" s="1"/>
  <c r="C186" i="13"/>
  <c r="B176" i="13"/>
  <c r="C148" i="13"/>
  <c r="D138" i="13"/>
  <c r="D116" i="13"/>
  <c r="C105" i="13"/>
  <c r="D93" i="13"/>
  <c r="C84" i="13"/>
  <c r="C17" i="13"/>
  <c r="B340" i="13" s="1"/>
  <c r="D180" i="13"/>
  <c r="D134" i="13"/>
  <c r="D89" i="13"/>
  <c r="D182" i="13"/>
  <c r="C146" i="13"/>
  <c r="D136" i="13"/>
  <c r="C127" i="13"/>
  <c r="C103" i="13"/>
  <c r="D91" i="13"/>
  <c r="C82" i="13"/>
  <c r="C68" i="13"/>
  <c r="C54" i="13"/>
  <c r="C13" i="13"/>
  <c r="B253" i="13" s="1"/>
  <c r="C190" i="13"/>
  <c r="D142" i="13"/>
  <c r="C80"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C45" i="12"/>
  <c r="C42" i="12"/>
  <c r="D28" i="12"/>
  <c r="C40" i="12"/>
  <c r="D41" i="12"/>
  <c r="C34" i="12"/>
  <c r="C38" i="12"/>
  <c r="D45" i="12"/>
  <c r="C36" i="12"/>
  <c r="D73" i="15"/>
  <c r="D31" i="2"/>
  <c r="D69" i="15"/>
  <c r="D56" i="15"/>
  <c r="D48" i="15"/>
  <c r="D70" i="15"/>
  <c r="D17" i="15"/>
  <c r="D54" i="15"/>
  <c r="D22" i="15"/>
  <c r="D75" i="15"/>
  <c r="D52" i="15"/>
  <c r="D36" i="15"/>
  <c r="D20" i="15"/>
  <c r="D74" i="15"/>
  <c r="D49" i="15"/>
  <c r="D34" i="15"/>
  <c r="D72" i="15"/>
  <c r="D71" i="15"/>
  <c r="D18" i="15"/>
  <c r="D57" i="15"/>
  <c r="D55" i="15"/>
  <c r="D53" i="15"/>
  <c r="D33" i="15"/>
  <c r="D37" i="15"/>
  <c r="D50" i="15"/>
  <c r="D51"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B112" i="11" l="1"/>
  <c r="B78" i="11"/>
  <c r="B65" i="11"/>
  <c r="C57" i="11"/>
  <c r="B66" i="11"/>
  <c r="B64" i="11"/>
  <c r="C61" i="11"/>
  <c r="C56" i="11"/>
  <c r="C52" i="11"/>
  <c r="C48" i="11"/>
  <c r="C44" i="11"/>
  <c r="C55" i="11"/>
  <c r="C51" i="11"/>
  <c r="C43" i="11"/>
  <c r="C59" i="11"/>
  <c r="C50" i="11"/>
  <c r="C46" i="11"/>
  <c r="C62" i="11"/>
  <c r="C53" i="11"/>
  <c r="C45" i="11"/>
  <c r="C42" i="11"/>
  <c r="C60" i="11"/>
  <c r="C47" i="11"/>
  <c r="C54" i="11"/>
  <c r="C41" i="11"/>
  <c r="C58" i="11"/>
  <c r="C49" i="11"/>
  <c r="D41" i="11"/>
  <c r="D62" i="11"/>
  <c r="B111" i="11"/>
  <c r="C8" i="11"/>
  <c r="D22" i="2"/>
  <c r="C86" i="11"/>
  <c r="D104" i="11"/>
  <c r="D85" i="11"/>
  <c r="D46" i="11"/>
  <c r="C37" i="11"/>
  <c r="C108" i="11"/>
  <c r="C75" i="11"/>
  <c r="D58" i="11"/>
  <c r="D50" i="11"/>
  <c r="D47" i="11"/>
  <c r="C38" i="11"/>
  <c r="D44" i="11"/>
  <c r="D33" i="11"/>
  <c r="C106" i="11"/>
  <c r="B88" i="11"/>
  <c r="D56" i="11"/>
  <c r="D108" i="11"/>
  <c r="C95" i="11"/>
  <c r="D75" i="11"/>
  <c r="D31" i="11"/>
  <c r="C104" i="11"/>
  <c r="C85" i="11"/>
  <c r="D54" i="11"/>
  <c r="D107" i="11"/>
  <c r="D74" i="11"/>
  <c r="D43" i="11"/>
  <c r="D32" i="11"/>
  <c r="C39" i="11"/>
  <c r="D105" i="11"/>
  <c r="D49" i="11"/>
  <c r="D30" i="11"/>
  <c r="D53" i="11"/>
  <c r="C30" i="11"/>
  <c r="C21" i="11"/>
  <c r="C7" i="11"/>
  <c r="D59" i="11"/>
  <c r="D38" i="11"/>
  <c r="C25" i="11"/>
  <c r="D19" i="11"/>
  <c r="C74" i="11"/>
  <c r="D42" i="11"/>
  <c r="C27" i="11"/>
  <c r="C19" i="11"/>
  <c r="D40" i="11"/>
  <c r="B97" i="11"/>
  <c r="D45" i="11"/>
  <c r="C28" i="11"/>
  <c r="D20" i="11"/>
  <c r="D51" i="11"/>
  <c r="C33" i="11"/>
  <c r="D24" i="11"/>
  <c r="D57" i="11"/>
  <c r="D37" i="11"/>
  <c r="D26" i="11"/>
  <c r="D60" i="11"/>
  <c r="D86" i="11"/>
  <c r="C40" i="11"/>
  <c r="D39" i="11"/>
  <c r="D25" i="11"/>
  <c r="D95" i="11"/>
  <c r="D29" i="11"/>
  <c r="D22" i="11"/>
  <c r="C10" i="11"/>
  <c r="C107" i="11"/>
  <c r="C32" i="11"/>
  <c r="C24" i="11"/>
  <c r="C9" i="11"/>
  <c r="D52" i="11"/>
  <c r="C36" i="11"/>
  <c r="C35" i="11"/>
  <c r="C76" i="11"/>
  <c r="C29" i="11"/>
  <c r="D23" i="11"/>
  <c r="C23" i="11"/>
  <c r="C22" i="11"/>
  <c r="C18" i="11"/>
  <c r="C105" i="11"/>
  <c r="D106" i="11"/>
  <c r="D76" i="11"/>
  <c r="C11" i="11"/>
  <c r="D27" i="11"/>
  <c r="D55" i="11"/>
  <c r="C31" i="11"/>
  <c r="D48" i="11"/>
  <c r="D61" i="11"/>
  <c r="C20" i="11"/>
  <c r="D36" i="11"/>
  <c r="D21" i="11"/>
  <c r="B110"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136" i="4" l="1"/>
  <c r="D90" i="4"/>
  <c r="C90" i="4"/>
  <c r="B60" i="10"/>
  <c r="B75" i="10"/>
  <c r="C164" i="4"/>
  <c r="D164" i="4"/>
  <c r="B135" i="4"/>
  <c r="B30" i="3"/>
  <c r="B54" i="4"/>
  <c r="C55" i="10"/>
  <c r="C51" i="10"/>
  <c r="C46" i="10"/>
  <c r="C41" i="10"/>
  <c r="D39" i="10"/>
  <c r="C39" i="10"/>
  <c r="C53" i="10"/>
  <c r="D41" i="10"/>
  <c r="C42" i="10"/>
  <c r="C52" i="10"/>
  <c r="C47" i="10"/>
  <c r="C40" i="10"/>
  <c r="C54" i="10"/>
  <c r="C49" i="10"/>
  <c r="C45" i="10"/>
  <c r="C43" i="10"/>
  <c r="C48" i="10"/>
  <c r="C38" i="10"/>
  <c r="D38" i="10"/>
  <c r="B251" i="4"/>
  <c r="D197" i="4"/>
  <c r="D208" i="4"/>
  <c r="D189" i="4"/>
  <c r="D172" i="4"/>
  <c r="D169" i="4"/>
  <c r="D152" i="4"/>
  <c r="C172" i="4"/>
  <c r="C152" i="4"/>
  <c r="D151" i="4"/>
  <c r="C180" i="4"/>
  <c r="C158" i="4"/>
  <c r="C197" i="4"/>
  <c r="C208" i="4"/>
  <c r="C189" i="4"/>
  <c r="C169" i="4"/>
  <c r="D158" i="4"/>
  <c r="C191" i="4"/>
  <c r="C151" i="4"/>
  <c r="D196" i="4"/>
  <c r="D180" i="4"/>
  <c r="D191" i="4"/>
  <c r="D168" i="4"/>
  <c r="C196" i="4"/>
  <c r="C168" i="4"/>
  <c r="C17" i="1"/>
  <c r="B106" i="1"/>
  <c r="B105" i="1"/>
  <c r="B69" i="1"/>
  <c r="D14" i="2"/>
  <c r="C187" i="4"/>
  <c r="C163" i="4"/>
  <c r="C209" i="4"/>
  <c r="C181" i="4"/>
  <c r="C205" i="4"/>
  <c r="D26" i="4"/>
  <c r="C182" i="4"/>
  <c r="C156" i="4" a="1"/>
  <c r="C156" i="4" s="1"/>
  <c r="C203" i="4"/>
  <c r="C167" i="4"/>
  <c r="C147" i="4"/>
  <c r="C165" i="4"/>
  <c r="C154" i="4"/>
  <c r="C192" i="4"/>
  <c r="C34" i="4"/>
  <c r="C204" i="4"/>
  <c r="C173" i="4"/>
  <c r="C153" i="4"/>
  <c r="C166" i="4"/>
  <c r="C200" i="4"/>
  <c r="C207" i="4"/>
  <c r="C174" i="4"/>
  <c r="C150" i="4"/>
  <c r="C26" i="4"/>
  <c r="B55" i="4"/>
  <c r="D34" i="4"/>
  <c r="C170" i="4"/>
  <c r="C188" i="4"/>
  <c r="C183" i="4"/>
  <c r="C198" i="4"/>
  <c r="C171" i="4"/>
  <c r="C146" i="4"/>
  <c r="C155" i="4"/>
  <c r="D70" i="10"/>
  <c r="C70" i="10"/>
  <c r="C15" i="10"/>
  <c r="B29" i="3"/>
  <c r="B27" i="3"/>
  <c r="B28" i="3"/>
  <c r="B250" i="4"/>
  <c r="C248" i="4"/>
  <c r="D247" i="4"/>
  <c r="C247" i="4"/>
  <c r="D246" i="4"/>
  <c r="D248" i="4"/>
  <c r="C246" i="4"/>
  <c r="B239" i="4"/>
  <c r="D222" i="4"/>
  <c r="D237" i="4"/>
  <c r="D221" i="4"/>
  <c r="D236" i="4"/>
  <c r="D226" i="4"/>
  <c r="C202" i="4"/>
  <c r="D209" i="4"/>
  <c r="D190" i="4"/>
  <c r="D154" i="4"/>
  <c r="C177" i="4"/>
  <c r="B211" i="4"/>
  <c r="D148" i="4"/>
  <c r="C179" i="4"/>
  <c r="C190" i="4"/>
  <c r="C186" i="4"/>
  <c r="B212" i="4"/>
  <c r="D195" i="4"/>
  <c r="D175" i="4"/>
  <c r="D166" i="4"/>
  <c r="C143" i="4"/>
  <c r="C148" i="4"/>
  <c r="D205" i="4"/>
  <c r="B133" i="4"/>
  <c r="D112" i="4"/>
  <c r="D96" i="4"/>
  <c r="D105" i="4"/>
  <c r="D119" i="4"/>
  <c r="D103" i="4"/>
  <c r="D101" i="4"/>
  <c r="D118" i="4"/>
  <c r="D102" i="4"/>
  <c r="C199" i="4"/>
  <c r="C195" i="4"/>
  <c r="D204" i="4"/>
  <c r="D185" i="4"/>
  <c r="D153" i="4"/>
  <c r="D183" i="4"/>
  <c r="D179" i="4"/>
  <c r="C184" i="4"/>
  <c r="D207" i="4"/>
  <c r="D187" i="4"/>
  <c r="D173" i="4"/>
  <c r="C160" i="4"/>
  <c r="D206" i="4"/>
  <c r="D188" i="4"/>
  <c r="D156" i="4"/>
  <c r="C157" i="4"/>
  <c r="D192" i="4"/>
  <c r="D155" i="4"/>
  <c r="B129" i="4"/>
  <c r="D108" i="4"/>
  <c r="C13" i="4"/>
  <c r="B242" i="4" s="1"/>
  <c r="D93" i="4"/>
  <c r="D115" i="4"/>
  <c r="D99" i="4"/>
  <c r="D127" i="4"/>
  <c r="C10" i="4"/>
  <c r="B139" i="4" s="1"/>
  <c r="D114" i="4"/>
  <c r="D98" i="4"/>
  <c r="B134" i="4"/>
  <c r="C226" i="4"/>
  <c r="D225" i="4"/>
  <c r="C225" i="4"/>
  <c r="B228" i="4"/>
  <c r="C235" i="4"/>
  <c r="C201" i="4"/>
  <c r="D198" i="4"/>
  <c r="D181" i="4"/>
  <c r="D165" i="4"/>
  <c r="D147" i="4"/>
  <c r="D167" i="4"/>
  <c r="C145" i="4"/>
  <c r="D203" i="4"/>
  <c r="D171" i="4"/>
  <c r="C178" i="4"/>
  <c r="D202" i="4"/>
  <c r="D184" i="4"/>
  <c r="D170" i="4"/>
  <c r="D149" i="4"/>
  <c r="C161" i="4"/>
  <c r="D201" i="4"/>
  <c r="D150" i="4"/>
  <c r="C149" i="4"/>
  <c r="D182" i="4"/>
  <c r="D145" i="4"/>
  <c r="D124" i="4"/>
  <c r="D104" i="4"/>
  <c r="B132" i="4"/>
  <c r="D111" i="4"/>
  <c r="D95" i="4"/>
  <c r="D117" i="4"/>
  <c r="B131" i="4"/>
  <c r="D110" i="4"/>
  <c r="D94" i="4"/>
  <c r="D109" i="4"/>
  <c r="C221" i="4"/>
  <c r="C237" i="4"/>
  <c r="C220" i="4"/>
  <c r="C236" i="4"/>
  <c r="C224" i="4"/>
  <c r="C222" i="4"/>
  <c r="C206" i="4"/>
  <c r="B213" i="4"/>
  <c r="D199" i="4"/>
  <c r="D178" i="4"/>
  <c r="D157" i="4"/>
  <c r="C162" i="4"/>
  <c r="C175" i="4"/>
  <c r="D162" i="4"/>
  <c r="C144" i="4"/>
  <c r="D161" i="4"/>
  <c r="C185" i="4"/>
  <c r="D200" i="4"/>
  <c r="D186" i="4"/>
  <c r="D163" i="4"/>
  <c r="D146" i="4"/>
  <c r="D144" i="4"/>
  <c r="D174" i="4"/>
  <c r="C194" i="4"/>
  <c r="D116" i="4"/>
  <c r="D100" i="4"/>
  <c r="B130" i="4"/>
  <c r="B36" i="4"/>
  <c r="D107" i="4"/>
  <c r="C12" i="4"/>
  <c r="B231" i="4" s="1"/>
  <c r="D113" i="4"/>
  <c r="D106" i="4"/>
  <c r="C11" i="4"/>
  <c r="B216" i="4" s="1"/>
  <c r="D97" i="4"/>
  <c r="C121" i="4"/>
  <c r="C122" i="4"/>
  <c r="D77" i="4"/>
  <c r="C118" i="4"/>
  <c r="C102" i="4"/>
  <c r="C84" i="4"/>
  <c r="C76" i="4"/>
  <c r="C51" i="4"/>
  <c r="D43" i="4"/>
  <c r="D78" i="4"/>
  <c r="C95" i="4"/>
  <c r="C44" i="4"/>
  <c r="D88" i="4"/>
  <c r="D72" i="4"/>
  <c r="C113" i="4"/>
  <c r="C97" i="4"/>
  <c r="C80" i="4"/>
  <c r="C92" i="4"/>
  <c r="C8" i="4"/>
  <c r="B39" i="4" s="1"/>
  <c r="D70" i="4"/>
  <c r="C81" i="4"/>
  <c r="D83" i="4"/>
  <c r="D67" i="4"/>
  <c r="C108" i="4"/>
  <c r="C63" i="4"/>
  <c r="C89" i="4"/>
  <c r="D48" i="4"/>
  <c r="C119" i="4"/>
  <c r="C79" i="4"/>
  <c r="D126" i="4"/>
  <c r="D123" i="4"/>
  <c r="D89" i="4"/>
  <c r="D73" i="4"/>
  <c r="C114" i="4"/>
  <c r="C98" i="4"/>
  <c r="C77" i="4"/>
  <c r="C82" i="4"/>
  <c r="C47" i="4"/>
  <c r="D66" i="4"/>
  <c r="C74" i="4"/>
  <c r="D84" i="4"/>
  <c r="D68" i="4"/>
  <c r="C109" i="4"/>
  <c r="C93" i="4"/>
  <c r="C66" i="4"/>
  <c r="D51" i="4"/>
  <c r="C115" i="4"/>
  <c r="D79" i="4"/>
  <c r="D63" i="4"/>
  <c r="C104" i="4"/>
  <c r="C85" i="4"/>
  <c r="C73" i="4"/>
  <c r="D44" i="4"/>
  <c r="C107" i="4"/>
  <c r="C52" i="4"/>
  <c r="C124" i="4"/>
  <c r="C126" i="4"/>
  <c r="C9" i="4"/>
  <c r="D85" i="4"/>
  <c r="D69" i="4"/>
  <c r="C110" i="4"/>
  <c r="C94" i="4"/>
  <c r="C87" i="4"/>
  <c r="D52" i="4"/>
  <c r="C43" i="4"/>
  <c r="C111" i="4"/>
  <c r="C75" i="4"/>
  <c r="D80" i="4"/>
  <c r="D64" i="4"/>
  <c r="C105" i="4"/>
  <c r="C86" i="4"/>
  <c r="C88" i="4"/>
  <c r="D45" i="4"/>
  <c r="C99" i="4"/>
  <c r="C48" i="4"/>
  <c r="D75" i="4"/>
  <c r="C116" i="4"/>
  <c r="C100" i="4"/>
  <c r="C68" i="4"/>
  <c r="C78" i="4"/>
  <c r="D86" i="4"/>
  <c r="C64" i="4"/>
  <c r="D65" i="4"/>
  <c r="D46" i="4"/>
  <c r="D47" i="4"/>
  <c r="C117" i="4"/>
  <c r="C96" i="4"/>
  <c r="D74" i="4"/>
  <c r="D29" i="4"/>
  <c r="C106" i="4"/>
  <c r="C46" i="4"/>
  <c r="C101" i="4"/>
  <c r="D82" i="4"/>
  <c r="D87" i="4"/>
  <c r="C69" i="4"/>
  <c r="C70" i="4"/>
  <c r="C123" i="4"/>
  <c r="C72" i="4"/>
  <c r="C83" i="4"/>
  <c r="C67" i="4"/>
  <c r="D71" i="4"/>
  <c r="C62" i="4"/>
  <c r="C71" i="4"/>
  <c r="C23" i="4"/>
  <c r="D32" i="4"/>
  <c r="D22" i="4"/>
  <c r="C32" i="4"/>
  <c r="C22" i="4"/>
  <c r="D25" i="4"/>
  <c r="C103" i="4"/>
  <c r="C112" i="4"/>
  <c r="C31" i="4"/>
  <c r="C21" i="4"/>
  <c r="D30" i="4"/>
  <c r="D20" i="4"/>
  <c r="C30" i="4"/>
  <c r="C20" i="4"/>
  <c r="C7" i="4"/>
  <c r="C127" i="4"/>
  <c r="D76" i="4"/>
  <c r="C45"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4" i="10"/>
  <c r="D21" i="2"/>
  <c r="B73" i="10"/>
  <c r="B72" i="10"/>
  <c r="D34" i="10"/>
  <c r="C26" i="10"/>
  <c r="C17" i="10"/>
  <c r="D69" i="10"/>
  <c r="D33" i="10"/>
  <c r="D23" i="10"/>
  <c r="C67" i="10"/>
  <c r="D52" i="10"/>
  <c r="D40" i="10"/>
  <c r="C30" i="10"/>
  <c r="C21" i="10"/>
  <c r="D28" i="10"/>
  <c r="C68" i="10"/>
  <c r="D53" i="10"/>
  <c r="D42" i="10"/>
  <c r="C32" i="10"/>
  <c r="C24" i="10"/>
  <c r="D16" i="10"/>
  <c r="D67" i="10"/>
  <c r="D49" i="10"/>
  <c r="C31" i="10"/>
  <c r="D21" i="10"/>
  <c r="D37" i="10"/>
  <c r="C27" i="10"/>
  <c r="C19" i="10"/>
  <c r="D20" i="10"/>
  <c r="D31" i="10"/>
  <c r="C22" i="10"/>
  <c r="D47" i="10"/>
  <c r="C36" i="10"/>
  <c r="D27" i="10"/>
  <c r="D19" i="10"/>
  <c r="B57" i="10"/>
  <c r="D35" i="10"/>
  <c r="C25" i="10"/>
  <c r="D18" i="10"/>
  <c r="C7" i="10"/>
  <c r="D25" i="10"/>
  <c r="D43" i="10"/>
  <c r="D48" i="10"/>
  <c r="D24" i="10"/>
  <c r="D22" i="10"/>
  <c r="D36" i="10"/>
  <c r="B58" i="10"/>
  <c r="C16" i="10"/>
  <c r="C33" i="10"/>
  <c r="C37" i="10"/>
  <c r="C28" i="10"/>
  <c r="C69" i="10"/>
  <c r="C23" i="10"/>
  <c r="D68" i="10"/>
  <c r="D32" i="10"/>
  <c r="D46" i="10"/>
  <c r="D17" i="10"/>
  <c r="B59" i="10"/>
  <c r="C20" i="10"/>
  <c r="C34" i="10"/>
  <c r="D55" i="10"/>
  <c r="D54" i="10"/>
  <c r="D26" i="10"/>
  <c r="C35" i="10"/>
  <c r="C18" i="10"/>
  <c r="D12" i="2"/>
  <c r="C96" i="1"/>
  <c r="D42" i="1"/>
  <c r="D21" i="1"/>
  <c r="C57" i="1"/>
  <c r="B100" i="1"/>
  <c r="D90" i="1"/>
  <c r="B116" i="1"/>
  <c r="B68" i="1"/>
  <c r="C55" i="1"/>
  <c r="D81" i="1"/>
  <c r="D44" i="1"/>
  <c r="C9" i="1"/>
  <c r="D26" i="1"/>
  <c r="D83" i="1"/>
  <c r="D19" i="1"/>
  <c r="D92" i="1"/>
  <c r="C114" i="1"/>
  <c r="B99" i="1"/>
  <c r="C90" i="1"/>
  <c r="C81" i="1"/>
  <c r="B67" i="1"/>
  <c r="C42" i="1"/>
  <c r="D29" i="1"/>
  <c r="C21" i="1"/>
  <c r="C8" i="1"/>
  <c r="C113" i="1"/>
  <c r="D114"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18"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7" i="1"/>
  <c r="C48" i="1"/>
  <c r="D113"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A6" i="6"/>
  <c r="A5" i="6"/>
  <c r="A4" i="6"/>
  <c r="G2" i="6"/>
  <c r="A2" i="6"/>
  <c r="B311" i="13" s="1"/>
  <c r="C85" i="12" l="1"/>
  <c r="C73" i="12"/>
  <c r="F242" i="4"/>
  <c r="D242" i="4"/>
  <c r="B245" i="4"/>
  <c r="E242" i="4"/>
  <c r="E216" i="4"/>
  <c r="E139" i="4"/>
  <c r="D139" i="4"/>
  <c r="C348" i="13"/>
  <c r="C354" i="13"/>
  <c r="F231" i="4"/>
  <c r="D216" i="4"/>
  <c r="E231" i="4"/>
  <c r="B234" i="4"/>
  <c r="D231" i="4"/>
  <c r="F216" i="4"/>
  <c r="C344" i="13"/>
  <c r="B219" i="4"/>
  <c r="F139" i="4"/>
  <c r="C355" i="13"/>
  <c r="C353" i="13"/>
  <c r="B142" i="4"/>
  <c r="C356" i="13"/>
  <c r="C347" i="13"/>
  <c r="D26" i="2"/>
  <c r="B59" i="1"/>
  <c r="D2" i="3"/>
  <c r="B46" i="1"/>
  <c r="D57" i="16"/>
  <c r="E109" i="1"/>
  <c r="D16" i="4"/>
  <c r="F16" i="4"/>
  <c r="E63" i="12"/>
  <c r="D12" i="16"/>
  <c r="D81" i="11"/>
  <c r="E70" i="11"/>
  <c r="D63" i="12"/>
  <c r="F12" i="16"/>
  <c r="D6" i="2"/>
  <c r="D10" i="14"/>
  <c r="E12" i="12"/>
  <c r="B31" i="1"/>
  <c r="E10" i="3"/>
  <c r="D39" i="4"/>
  <c r="B14" i="10"/>
  <c r="D2" i="12"/>
  <c r="B67" i="15"/>
  <c r="E39" i="4"/>
  <c r="F11" i="10"/>
  <c r="B15" i="16"/>
  <c r="B6" i="10"/>
  <c r="B73" i="11"/>
  <c r="F13" i="15"/>
  <c r="D2" i="16"/>
  <c r="E44" i="15"/>
  <c r="F81" i="11"/>
  <c r="E12" i="16"/>
  <c r="F53" i="12"/>
  <c r="C91" i="12"/>
  <c r="B40" i="1"/>
  <c r="F72" i="1"/>
  <c r="D12" i="1"/>
  <c r="B50" i="1"/>
  <c r="E53" i="12"/>
  <c r="B66" i="10"/>
  <c r="B36" i="1"/>
  <c r="B15" i="1"/>
  <c r="B56" i="12"/>
  <c r="D2" i="4"/>
  <c r="D70" i="11"/>
  <c r="B112" i="1"/>
  <c r="B47" i="15"/>
  <c r="F63" i="10"/>
  <c r="F57" i="16"/>
  <c r="D2" i="11"/>
  <c r="E14" i="11"/>
  <c r="F14" i="11"/>
  <c r="B13" i="14"/>
  <c r="D13" i="15"/>
  <c r="E13" i="15"/>
  <c r="D100" i="11"/>
  <c r="E57" i="16"/>
  <c r="B6" i="15"/>
  <c r="F70" i="11"/>
  <c r="E81" i="11"/>
  <c r="F64" i="15"/>
  <c r="B84" i="11"/>
  <c r="D44" i="15"/>
  <c r="B16" i="15"/>
  <c r="B6" i="16"/>
  <c r="D19" i="2"/>
  <c r="C79" i="12"/>
  <c r="D12" i="12"/>
  <c r="F39" i="4"/>
  <c r="F12" i="12"/>
  <c r="E72" i="1"/>
  <c r="F44" i="15"/>
  <c r="F58" i="4"/>
  <c r="F100" i="11"/>
  <c r="E58" i="4"/>
  <c r="D45" i="16"/>
  <c r="D11" i="10"/>
  <c r="B19" i="4"/>
  <c r="B48" i="16"/>
  <c r="B6" i="12"/>
  <c r="D53" i="12"/>
  <c r="D11" i="2"/>
  <c r="C8" i="2"/>
  <c r="B6" i="4"/>
  <c r="D2" i="1"/>
  <c r="D58" i="4"/>
  <c r="D2" i="10"/>
  <c r="E63" i="10"/>
  <c r="B15" i="12"/>
  <c r="D63" i="10"/>
  <c r="F10" i="14"/>
  <c r="E11" i="10"/>
  <c r="F91" i="11"/>
  <c r="D2" i="15"/>
  <c r="B60" i="16"/>
  <c r="F45" i="16"/>
  <c r="B50" i="4"/>
  <c r="C223" i="13"/>
  <c r="C219" i="13"/>
  <c r="C213" i="13"/>
  <c r="C209" i="13"/>
  <c r="D340" i="13"/>
  <c r="D328" i="13"/>
  <c r="B300" i="13"/>
  <c r="E267" i="13"/>
  <c r="E253" i="13"/>
  <c r="B197" i="13"/>
  <c r="F173" i="13"/>
  <c r="B124" i="13"/>
  <c r="B111" i="13"/>
  <c r="B77" i="13"/>
  <c r="E59" i="13"/>
  <c r="E47" i="13"/>
  <c r="B33" i="13"/>
  <c r="B26" i="13"/>
  <c r="F20" i="13"/>
  <c r="C220" i="13"/>
  <c r="C222" i="13"/>
  <c r="C218" i="13"/>
  <c r="C212" i="13"/>
  <c r="C208" i="13"/>
  <c r="B331" i="13"/>
  <c r="F297" i="13"/>
  <c r="D267" i="13"/>
  <c r="D253" i="13"/>
  <c r="F194" i="13"/>
  <c r="E173" i="13"/>
  <c r="B107" i="13"/>
  <c r="B88" i="13"/>
  <c r="F74" i="13"/>
  <c r="D59" i="13"/>
  <c r="D47" i="13"/>
  <c r="E20" i="13"/>
  <c r="C221" i="13"/>
  <c r="C217" i="13"/>
  <c r="C211" i="13"/>
  <c r="F340" i="13"/>
  <c r="F328" i="13"/>
  <c r="E297" i="13"/>
  <c r="B270" i="13"/>
  <c r="B256" i="13"/>
  <c r="B225" i="13"/>
  <c r="E194" i="13"/>
  <c r="D173" i="13"/>
  <c r="B144" i="13"/>
  <c r="B99" i="13"/>
  <c r="E74" i="13"/>
  <c r="B62" i="13"/>
  <c r="B50" i="13"/>
  <c r="D20" i="13"/>
  <c r="B6" i="13"/>
  <c r="E328" i="13"/>
  <c r="F253" i="13"/>
  <c r="F47" i="13"/>
  <c r="B23" i="13"/>
  <c r="D2" i="13"/>
  <c r="D74" i="13"/>
  <c r="F267" i="13"/>
  <c r="C214" i="13"/>
  <c r="B206" i="13"/>
  <c r="B130" i="13"/>
  <c r="F59" i="13"/>
  <c r="C210" i="13"/>
  <c r="D297" i="13"/>
  <c r="D194" i="13"/>
  <c r="B30" i="13"/>
  <c r="E340" i="13"/>
  <c r="C16" i="2"/>
  <c r="B6" i="2"/>
  <c r="C40" i="2"/>
  <c r="C23" i="2"/>
  <c r="B2" i="2"/>
  <c r="C30" i="2"/>
  <c r="B2" i="16" s="1"/>
  <c r="B11" i="2"/>
  <c r="C31" i="2"/>
  <c r="B2" i="15" s="1"/>
  <c r="C28" i="2"/>
  <c r="C7" i="2"/>
  <c r="C14" i="2"/>
  <c r="B2" i="4" s="1"/>
  <c r="C15" i="2"/>
  <c r="C32" i="2"/>
  <c r="C13" i="2"/>
  <c r="B2" i="3" s="1"/>
  <c r="C38" i="2"/>
  <c r="C12" i="2"/>
  <c r="B19" i="2"/>
  <c r="B26" i="2"/>
  <c r="C27" i="2"/>
  <c r="B3" i="12" s="1"/>
  <c r="D29" i="15"/>
  <c r="E29" i="15"/>
  <c r="F29" i="15"/>
  <c r="C39" i="2"/>
  <c r="C29" i="2"/>
  <c r="C34" i="2"/>
  <c r="C22" i="2"/>
  <c r="C33" i="2"/>
  <c r="C20" i="2"/>
  <c r="C21" i="2"/>
  <c r="C35" i="2"/>
  <c r="C36" i="2"/>
  <c r="C37" i="2"/>
  <c r="B3" i="2"/>
  <c r="B6" i="1"/>
  <c r="B6" i="3"/>
  <c r="D72" i="1"/>
  <c r="E91" i="11"/>
  <c r="B66" i="12"/>
  <c r="E12" i="1"/>
  <c r="B13" i="3"/>
  <c r="D14" i="11"/>
  <c r="F12" i="1"/>
  <c r="B6" i="11"/>
  <c r="F10" i="3"/>
  <c r="E16" i="4"/>
  <c r="D109" i="1"/>
  <c r="B17" i="11"/>
  <c r="E64" i="15"/>
  <c r="F109" i="1"/>
  <c r="F63" i="12"/>
  <c r="B6" i="14"/>
  <c r="E45" i="16"/>
  <c r="B54" i="1"/>
  <c r="D10" i="3"/>
  <c r="D91" i="11"/>
  <c r="D64" i="15"/>
  <c r="E10" i="14"/>
  <c r="D2" i="14"/>
  <c r="E100" i="11"/>
  <c r="B75" i="1"/>
  <c r="B103" i="11"/>
  <c r="B94" i="11"/>
  <c r="B32" i="15"/>
  <c r="B42" i="4"/>
  <c r="B61" i="4"/>
  <c r="C103" i="12"/>
  <c r="C97" i="12"/>
  <c r="B44" i="15"/>
  <c r="B13" i="15"/>
  <c r="B64" i="15"/>
  <c r="B72" i="1"/>
  <c r="B10" i="14"/>
  <c r="B12" i="12"/>
  <c r="B268" i="13"/>
  <c r="C267" i="13"/>
  <c r="C268" i="13"/>
  <c r="B195" i="13"/>
  <c r="C194" i="13"/>
  <c r="C195" i="13"/>
  <c r="B81" i="11"/>
  <c r="B70" i="11"/>
  <c r="B100" i="11"/>
  <c r="B14" i="11"/>
  <c r="B91" i="11"/>
  <c r="B63" i="10"/>
  <c r="B11" i="10"/>
  <c r="B2" i="10" l="1"/>
  <c r="B3" i="10"/>
  <c r="B3" i="14"/>
  <c r="B2" i="14"/>
  <c r="B2" i="1"/>
  <c r="B3" i="1"/>
  <c r="B2" i="12"/>
  <c r="B2" i="11"/>
  <c r="B3" i="11"/>
  <c r="B2" i="13"/>
  <c r="B3" i="13"/>
  <c r="B53" i="12"/>
  <c r="B3" i="16"/>
  <c r="B3" i="15"/>
  <c r="B3" i="4"/>
  <c r="B16" i="4"/>
  <c r="B3" i="3"/>
  <c r="B10" i="3"/>
  <c r="B109" i="1" l="1"/>
  <c r="B12" i="1"/>
  <c r="S20" i="1"/>
  <c r="R20" i="1"/>
  <c r="Q20" i="1"/>
  <c r="P20" i="1"/>
  <c r="P18" i="1"/>
</calcChain>
</file>

<file path=xl/sharedStrings.xml><?xml version="1.0" encoding="utf-8"?>
<sst xmlns="http://schemas.openxmlformats.org/spreadsheetml/2006/main" count="5635" uniqueCount="2901">
  <si>
    <t>It</t>
  </si>
  <si>
    <t>UN Global Compact</t>
  </si>
  <si>
    <t>UN Sustainable Development Goals</t>
  </si>
  <si>
    <t>Principle 6</t>
  </si>
  <si>
    <t>SDG8</t>
  </si>
  <si>
    <t>Principle 1, Principle 8</t>
  </si>
  <si>
    <t>SDG16</t>
  </si>
  <si>
    <t>Principle 7</t>
  </si>
  <si>
    <t>SDG2, SDG5, SDG7, SDG8, SDG9, SDG13</t>
  </si>
  <si>
    <t>SDG1, SDG5, SDG8</t>
  </si>
  <si>
    <t>SDG1, SDG2, SDG3, SDG8, SDG10, SDG17</t>
  </si>
  <si>
    <t>Principle 10</t>
  </si>
  <si>
    <t>Principle 8</t>
  </si>
  <si>
    <t>SDG8, SDG12</t>
  </si>
  <si>
    <t>Principle 7, Principle 8, Principle 9</t>
  </si>
  <si>
    <t>SDG7, SDG8, SDG12, SDG13</t>
  </si>
  <si>
    <t>SDG3, SDG12, SDG13, SGD14, SDG15</t>
  </si>
  <si>
    <t>Principle 3</t>
  </si>
  <si>
    <t>SDG5, SDG8</t>
  </si>
  <si>
    <t>SDG5, SDG8, SDG10</t>
  </si>
  <si>
    <t>SDG5, SDG8, SDG16</t>
  </si>
  <si>
    <t>Principle 5</t>
  </si>
  <si>
    <t>SDG8, SDG16</t>
  </si>
  <si>
    <t>Principle 4</t>
  </si>
  <si>
    <t>Principle 1</t>
  </si>
  <si>
    <t>SDG1, SDG2</t>
  </si>
  <si>
    <t>Principle 2</t>
  </si>
  <si>
    <t>Ó</t>
  </si>
  <si>
    <t>1, 6</t>
  </si>
  <si>
    <t>102-6</t>
  </si>
  <si>
    <t>—</t>
  </si>
  <si>
    <t>1, 6, 7</t>
  </si>
  <si>
    <t>3, 4, 8</t>
  </si>
  <si>
    <t>2, 5</t>
  </si>
  <si>
    <r>
      <t>2016</t>
    </r>
    <r>
      <rPr>
        <b/>
        <vertAlign val="superscript"/>
        <sz val="10"/>
        <rFont val="Frutiger 45 Light"/>
        <family val="2"/>
      </rPr>
      <t>1)</t>
    </r>
  </si>
  <si>
    <r>
      <t>2017</t>
    </r>
    <r>
      <rPr>
        <b/>
        <vertAlign val="superscript"/>
        <sz val="10"/>
        <rFont val="Frutiger 45 Light"/>
        <family val="2"/>
      </rPr>
      <t>1)</t>
    </r>
  </si>
  <si>
    <r>
      <t>2018</t>
    </r>
    <r>
      <rPr>
        <b/>
        <vertAlign val="superscript"/>
        <sz val="10"/>
        <rFont val="Frutiger 45 Light"/>
        <family val="2"/>
      </rPr>
      <t>1)</t>
    </r>
  </si>
  <si>
    <t>102-7</t>
  </si>
  <si>
    <r>
      <t>2019</t>
    </r>
    <r>
      <rPr>
        <b/>
        <vertAlign val="superscript"/>
        <sz val="10"/>
        <rFont val="Frutiger 45 Light"/>
        <family val="2"/>
      </rPr>
      <t>2)</t>
    </r>
  </si>
  <si>
    <r>
      <t>2020</t>
    </r>
    <r>
      <rPr>
        <b/>
        <vertAlign val="superscript"/>
        <sz val="10"/>
        <rFont val="Frutiger 45 Light"/>
        <family val="2"/>
      </rPr>
      <t>2)</t>
    </r>
  </si>
  <si>
    <t>1</t>
  </si>
  <si>
    <t>2</t>
  </si>
  <si>
    <t>1, 20</t>
  </si>
  <si>
    <t>3, 20</t>
  </si>
  <si>
    <t>4, 20</t>
  </si>
  <si>
    <t>3, 18</t>
  </si>
  <si>
    <t>5, 6</t>
  </si>
  <si>
    <t>7</t>
  </si>
  <si>
    <t>19</t>
  </si>
  <si>
    <t>8, 16</t>
  </si>
  <si>
    <t>16</t>
  </si>
  <si>
    <t>9, 17</t>
  </si>
  <si>
    <t>17</t>
  </si>
  <si>
    <t>9</t>
  </si>
  <si>
    <t>10, 11</t>
  </si>
  <si>
    <t>11, 12</t>
  </si>
  <si>
    <t>10, 11, 13</t>
  </si>
  <si>
    <t>über 600</t>
  </si>
  <si>
    <t>über 500</t>
  </si>
  <si>
    <t>rund 500</t>
  </si>
  <si>
    <t>rund 550</t>
  </si>
  <si>
    <t>rund 650</t>
  </si>
  <si>
    <t>rund 750</t>
  </si>
  <si>
    <t>rund 700</t>
  </si>
  <si>
    <t>rund 400</t>
  </si>
  <si>
    <t>14</t>
  </si>
  <si>
    <t>-</t>
  </si>
  <si>
    <t>15</t>
  </si>
  <si>
    <t>429‘705‘810</t>
  </si>
  <si>
    <t>170‘345‘986</t>
  </si>
  <si>
    <t>25‘160‘127</t>
  </si>
  <si>
    <t>22‘603‘811</t>
  </si>
  <si>
    <t>177‘891‘042</t>
  </si>
  <si>
    <t>825‘706‘776</t>
  </si>
  <si>
    <t>61‘474‘959</t>
  </si>
  <si>
    <t>20‘806‘490</t>
  </si>
  <si>
    <t>992‘040</t>
  </si>
  <si>
    <t>708‘088</t>
  </si>
  <si>
    <t>174‘951</t>
  </si>
  <si>
    <t>2‘537</t>
  </si>
  <si>
    <t>84‘159‘065</t>
  </si>
  <si>
    <t>1, 2, 3, 4</t>
  </si>
  <si>
    <t>102-8</t>
  </si>
  <si>
    <t>1, 3</t>
  </si>
  <si>
    <t>1, 2, 3</t>
  </si>
  <si>
    <t>1, 3, 5, 6, 7</t>
  </si>
  <si>
    <t>n.a.</t>
  </si>
  <si>
    <t>1, 2</t>
  </si>
  <si>
    <t>2, 3, 4</t>
  </si>
  <si>
    <t>3, 4</t>
  </si>
  <si>
    <t>102-8, 102-41</t>
  </si>
  <si>
    <t>3, 4, 5, 6</t>
  </si>
  <si>
    <t>3, 4, 7</t>
  </si>
  <si>
    <t>3, 9</t>
  </si>
  <si>
    <t>2017 1)</t>
  </si>
  <si>
    <t>102-9</t>
  </si>
  <si>
    <t>102-43</t>
  </si>
  <si>
    <t>1, 4</t>
  </si>
  <si>
    <t>1, 5</t>
  </si>
  <si>
    <t>1, 7</t>
  </si>
  <si>
    <r>
      <t>2013</t>
    </r>
    <r>
      <rPr>
        <b/>
        <vertAlign val="superscript"/>
        <sz val="10"/>
        <rFont val="Frutiger 45 Light"/>
        <family val="2"/>
      </rPr>
      <t>6)</t>
    </r>
  </si>
  <si>
    <r>
      <t>2015</t>
    </r>
    <r>
      <rPr>
        <b/>
        <vertAlign val="superscript"/>
        <sz val="10"/>
        <rFont val="Frutiger 45 Light"/>
        <family val="2"/>
      </rPr>
      <t>6)</t>
    </r>
  </si>
  <si>
    <r>
      <t>2017</t>
    </r>
    <r>
      <rPr>
        <b/>
        <vertAlign val="superscript"/>
        <sz val="10"/>
        <rFont val="Frutiger 45 Light"/>
        <family val="2"/>
      </rPr>
      <t>6)</t>
    </r>
  </si>
  <si>
    <r>
      <t>2018</t>
    </r>
    <r>
      <rPr>
        <b/>
        <vertAlign val="superscript"/>
        <sz val="10"/>
        <rFont val="Frutiger 45 Light"/>
        <family val="2"/>
      </rPr>
      <t>7)</t>
    </r>
  </si>
  <si>
    <r>
      <t>2019</t>
    </r>
    <r>
      <rPr>
        <b/>
        <vertAlign val="superscript"/>
        <sz val="10"/>
        <rFont val="Frutiger 45 Light"/>
        <family val="2"/>
      </rPr>
      <t>7)</t>
    </r>
  </si>
  <si>
    <r>
      <t>2020</t>
    </r>
    <r>
      <rPr>
        <b/>
        <vertAlign val="superscript"/>
        <sz val="10"/>
        <rFont val="Frutiger 45 Light"/>
        <family val="2"/>
      </rPr>
      <t>7)</t>
    </r>
  </si>
  <si>
    <t>201-1</t>
  </si>
  <si>
    <r>
      <t>8'371</t>
    </r>
    <r>
      <rPr>
        <vertAlign val="superscript"/>
        <sz val="10"/>
        <rFont val="Frutiger 45 Light"/>
        <family val="2"/>
      </rPr>
      <t>4)</t>
    </r>
  </si>
  <si>
    <r>
      <t>1'132</t>
    </r>
    <r>
      <rPr>
        <vertAlign val="superscript"/>
        <sz val="10"/>
        <rFont val="Frutiger 45 Light"/>
        <family val="2"/>
      </rPr>
      <t>4)</t>
    </r>
  </si>
  <si>
    <r>
      <t>60.0</t>
    </r>
    <r>
      <rPr>
        <vertAlign val="superscript"/>
        <sz val="10"/>
        <rFont val="Frutiger 45 Light"/>
        <family val="2"/>
      </rPr>
      <t>4)</t>
    </r>
  </si>
  <si>
    <r>
      <t>125</t>
    </r>
    <r>
      <rPr>
        <vertAlign val="superscript"/>
        <sz val="10"/>
        <rFont val="Frutiger 45 Light"/>
        <family val="2"/>
      </rPr>
      <t>4)</t>
    </r>
  </si>
  <si>
    <t>2, 4</t>
  </si>
  <si>
    <r>
      <t>2175</t>
    </r>
    <r>
      <rPr>
        <vertAlign val="superscript"/>
        <sz val="10"/>
        <rFont val="Frutiger 45 Light"/>
        <family val="2"/>
      </rPr>
      <t>4)</t>
    </r>
  </si>
  <si>
    <r>
      <t>2013</t>
    </r>
    <r>
      <rPr>
        <b/>
        <vertAlign val="superscript"/>
        <sz val="10"/>
        <rFont val="Frutiger 45 Light"/>
        <family val="2"/>
      </rPr>
      <t>8)</t>
    </r>
  </si>
  <si>
    <r>
      <t>2015</t>
    </r>
    <r>
      <rPr>
        <b/>
        <vertAlign val="superscript"/>
        <sz val="10"/>
        <rFont val="Frutiger 45 Light"/>
        <family val="2"/>
      </rPr>
      <t>8)</t>
    </r>
  </si>
  <si>
    <r>
      <t>2017</t>
    </r>
    <r>
      <rPr>
        <b/>
        <vertAlign val="superscript"/>
        <sz val="10"/>
        <color theme="1"/>
        <rFont val="Frutiger 45 Light"/>
        <family val="2"/>
      </rPr>
      <t>8)</t>
    </r>
  </si>
  <si>
    <r>
      <t>2018</t>
    </r>
    <r>
      <rPr>
        <b/>
        <vertAlign val="superscript"/>
        <sz val="10"/>
        <color theme="1"/>
        <rFont val="Frutiger 45 Light"/>
        <family val="2"/>
      </rPr>
      <t>9)</t>
    </r>
  </si>
  <si>
    <r>
      <t>2020</t>
    </r>
    <r>
      <rPr>
        <b/>
        <vertAlign val="superscript"/>
        <sz val="10"/>
        <color theme="1"/>
        <rFont val="Frutiger 45 Light"/>
        <family val="2"/>
      </rPr>
      <t>9)</t>
    </r>
  </si>
  <si>
    <r>
      <t>2017</t>
    </r>
    <r>
      <rPr>
        <b/>
        <vertAlign val="superscript"/>
        <sz val="10"/>
        <color theme="1"/>
        <rFont val="Frutiger 45 Light"/>
        <family val="2"/>
      </rPr>
      <t>6)</t>
    </r>
  </si>
  <si>
    <t>201-3</t>
  </si>
  <si>
    <t>2, 3</t>
  </si>
  <si>
    <t>1, 3, 9</t>
  </si>
  <si>
    <t>1, 4, 9</t>
  </si>
  <si>
    <t>202-1</t>
  </si>
  <si>
    <t>203-2</t>
  </si>
  <si>
    <t>415-1</t>
  </si>
  <si>
    <t>1, 2, 3, 7, 8</t>
  </si>
  <si>
    <t>1, 2, 3, 7</t>
  </si>
  <si>
    <t>1, 2, 3, 8</t>
  </si>
  <si>
    <t>1, 3, 4</t>
  </si>
  <si>
    <t>1, 2, 3, 5, 6</t>
  </si>
  <si>
    <t>1, 3, 5, 6</t>
  </si>
  <si>
    <r>
      <t>2019</t>
    </r>
    <r>
      <rPr>
        <b/>
        <vertAlign val="superscript"/>
        <sz val="10"/>
        <rFont val="Frutiger 45 Light"/>
        <family val="2"/>
      </rPr>
      <t>4)</t>
    </r>
  </si>
  <si>
    <t>302-1</t>
  </si>
  <si>
    <t>302-2</t>
  </si>
  <si>
    <t>302-3</t>
  </si>
  <si>
    <r>
      <t>2019</t>
    </r>
    <r>
      <rPr>
        <b/>
        <vertAlign val="superscript"/>
        <sz val="10"/>
        <rFont val="Frutiger 45 Light"/>
        <family val="2"/>
      </rPr>
      <t>3)</t>
    </r>
  </si>
  <si>
    <t>305-1</t>
  </si>
  <si>
    <t>305-2</t>
  </si>
  <si>
    <t>305-3</t>
  </si>
  <si>
    <r>
      <t>2019</t>
    </r>
    <r>
      <rPr>
        <b/>
        <vertAlign val="superscript"/>
        <sz val="10"/>
        <rFont val="Frutiger 45 Light"/>
        <family val="2"/>
      </rPr>
      <t>1)</t>
    </r>
  </si>
  <si>
    <t>305-4</t>
  </si>
  <si>
    <r>
      <t>2019</t>
    </r>
    <r>
      <rPr>
        <b/>
        <vertAlign val="superscript"/>
        <sz val="10"/>
        <color theme="1"/>
        <rFont val="Frutiger 45 Light"/>
        <family val="2"/>
      </rPr>
      <t>3)</t>
    </r>
  </si>
  <si>
    <t>305-6</t>
  </si>
  <si>
    <t>305-7</t>
  </si>
  <si>
    <t>401-1</t>
  </si>
  <si>
    <t>401-3</t>
  </si>
  <si>
    <t>1, 2, 4, 5</t>
  </si>
  <si>
    <t>1, 2, 3, 4, 5</t>
  </si>
  <si>
    <t>403-2</t>
  </si>
  <si>
    <t>1, 2, 3, 5</t>
  </si>
  <si>
    <t>2, 3, 6</t>
  </si>
  <si>
    <t>2, 3, 7</t>
  </si>
  <si>
    <t>1, 8</t>
  </si>
  <si>
    <t>403-1</t>
  </si>
  <si>
    <t>404-2</t>
  </si>
  <si>
    <t>1, 2, 8</t>
  </si>
  <si>
    <t>405-1</t>
  </si>
  <si>
    <t>Sprache</t>
  </si>
  <si>
    <t>Sprache ID</t>
  </si>
  <si>
    <t>Gewählte_Sprache</t>
  </si>
  <si>
    <t>De</t>
  </si>
  <si>
    <t>Fr</t>
  </si>
  <si>
    <t>En</t>
  </si>
  <si>
    <t>Text ID</t>
  </si>
  <si>
    <t>Kennzahlen zur Jahresberichterstattung 2020</t>
  </si>
  <si>
    <t>Chiffres clés du rapport annuel 2020</t>
  </si>
  <si>
    <t>Cifre chiave del rendiconto annuale 2020</t>
  </si>
  <si>
    <t>Key figures for the annual reporting 2020</t>
  </si>
  <si>
    <t>201-1 – Direkt erwirtschafteter und verteilter wirtschaftlicher Wert</t>
  </si>
  <si>
    <t>201-1 – Valeur économique directe créée et distribuée</t>
  </si>
  <si>
    <t>201-1 – Valore economico diretto creato e distribuito</t>
  </si>
  <si>
    <t>201-1 – Direct economic value generated and distributed</t>
  </si>
  <si>
    <t>Marktanteile</t>
  </si>
  <si>
    <t>Parts de marché</t>
  </si>
  <si>
    <t>Quote di mercato</t>
  </si>
  <si>
    <t>Market shares</t>
  </si>
  <si>
    <t>Finanzielles Ergebnis</t>
  </si>
  <si>
    <t>Résultat financier</t>
  </si>
  <si>
    <t>Risultato finanziario</t>
  </si>
  <si>
    <t>Financial result</t>
  </si>
  <si>
    <t>Entschädigungen</t>
  </si>
  <si>
    <t>Indemnités</t>
  </si>
  <si>
    <t>Indennità</t>
  </si>
  <si>
    <t>Remuneration</t>
  </si>
  <si>
    <t>Wohltätigkeit und Sponsoring</t>
  </si>
  <si>
    <t>Actions de bienfaisance et sponsoring</t>
  </si>
  <si>
    <t>Beneficenza e sponsoring</t>
  </si>
  <si>
    <t>Charity and sponsorship</t>
  </si>
  <si>
    <t>Energieverbrauch innerhalb und ausserhalb der Organisation</t>
  </si>
  <si>
    <t>Consommation énergétique au sein et en dehors de l'organisation</t>
  </si>
  <si>
    <t>Consumo energetico all'interno e al di fuori dell'organizzazione</t>
  </si>
  <si>
    <t>Energy consumption within and outside the organization</t>
  </si>
  <si>
    <t>Treibhausgasemissionen</t>
  </si>
  <si>
    <t>Emissions de gaz à effet de serre</t>
  </si>
  <si>
    <t>Emissioni di gas serra</t>
  </si>
  <si>
    <t>Greenhouse gas emissions</t>
  </si>
  <si>
    <t>Personalfluktuation und Austritte</t>
  </si>
  <si>
    <t>Fluctuation du personnel et départs</t>
  </si>
  <si>
    <t>Fluttuazione del personale e partenze</t>
  </si>
  <si>
    <t>Staff turnover and departures</t>
  </si>
  <si>
    <t>Gesundheitsmanagement</t>
  </si>
  <si>
    <t>Gestion de la santé</t>
  </si>
  <si>
    <t>Gestione della salute</t>
  </si>
  <si>
    <t>Health management</t>
  </si>
  <si>
    <t>Lernpersonal</t>
  </si>
  <si>
    <t>Apprentis</t>
  </si>
  <si>
    <t>Personale in formazione</t>
  </si>
  <si>
    <t>Learning personnel</t>
  </si>
  <si>
    <t>Frauen im Management</t>
  </si>
  <si>
    <t>Femmes au sein du management</t>
  </si>
  <si>
    <t>Donne nel management</t>
  </si>
  <si>
    <t>Women in management</t>
  </si>
  <si>
    <t>Die Schweizerische Post</t>
  </si>
  <si>
    <t>La Poste</t>
  </si>
  <si>
    <t>La Posta</t>
  </si>
  <si>
    <t>Swiss Post</t>
  </si>
  <si>
    <t>201-3 – Deckung der Verpflichtungen der Organisation aus dem leistungsorientierten Pensionsplan</t>
  </si>
  <si>
    <t>201-3 – Etendue de la couverture des régimes de retraite à prestations définies</t>
  </si>
  <si>
    <t>201-3 – Ambito di copertura dei piani pensionistici a benefici definiti</t>
  </si>
  <si>
    <t>201-3 – Defined benefit plan obligations and other retirement plans</t>
  </si>
  <si>
    <t>Finanzierung</t>
  </si>
  <si>
    <t>Financement</t>
  </si>
  <si>
    <t>Finanziamento</t>
  </si>
  <si>
    <t>Financing</t>
  </si>
  <si>
    <t>Pensionskasse</t>
  </si>
  <si>
    <t>Caisse de pensions</t>
  </si>
  <si>
    <t>Cassa pensioni</t>
  </si>
  <si>
    <t>Pension fund</t>
  </si>
  <si>
    <t>Zugangspunkte</t>
  </si>
  <si>
    <t>Points d'accès</t>
  </si>
  <si>
    <t>Punti di accesso</t>
  </si>
  <si>
    <t>Access points</t>
  </si>
  <si>
    <t>Weitere Energiekennzahlen</t>
  </si>
  <si>
    <t>Autres indicateurs énergétiques</t>
  </si>
  <si>
    <t>Altre cifre sull'energia</t>
  </si>
  <si>
    <t>Additional energy figures</t>
  </si>
  <si>
    <t>Treibhausgasintensitäten</t>
  </si>
  <si>
    <t>Intensité de gaz à effet de serre</t>
  </si>
  <si>
    <t>Intensità delle emissioni di gas serra</t>
  </si>
  <si>
    <t>Greenhouse gas intensities</t>
  </si>
  <si>
    <t>Elternzeit</t>
  </si>
  <si>
    <t>Congé parental</t>
  </si>
  <si>
    <t>Congedo parentale</t>
  </si>
  <si>
    <t>Parental leave</t>
  </si>
  <si>
    <t>Nachwuchskräfte</t>
  </si>
  <si>
    <t>Relève</t>
  </si>
  <si>
    <t>Nuove leve</t>
  </si>
  <si>
    <t>Young talent</t>
  </si>
  <si>
    <t>Sprachenvielfalt</t>
  </si>
  <si>
    <t>Diversité linguistique</t>
  </si>
  <si>
    <t>Plurilinguismo</t>
  </si>
  <si>
    <t>Language diversity</t>
  </si>
  <si>
    <t>Allgemeine Angaben</t>
  </si>
  <si>
    <t>Informations générales</t>
  </si>
  <si>
    <t>Informazioni generali</t>
  </si>
  <si>
    <t>General information</t>
  </si>
  <si>
    <t>202-1 – Spanne des Verhältnisses der Standardeintrittsgehälter nach Geschlecht zum lokalen Mindestlohn  an Hauptgeschäftsstandorten</t>
  </si>
  <si>
    <t>202-1 – Ratios du salaire d'entrée de base par sexe par rapport au salaire minimum local sur les principaux sites opérationnels</t>
  </si>
  <si>
    <t>202-1 – Rapporti della base salariale di base per sesso al salario minimo locale nei principali siti operativi</t>
  </si>
  <si>
    <t xml:space="preserve">202-1 – Ratios of standard entry level wage by gender compared to local minimum wage </t>
  </si>
  <si>
    <t>Cashflow und Investitionen</t>
  </si>
  <si>
    <t>Cash-flow et investissements</t>
  </si>
  <si>
    <t>Cash flow e investimenti</t>
  </si>
  <si>
    <t>Cash flow and investments</t>
  </si>
  <si>
    <t>Verteilung der Wertschöpfung</t>
  </si>
  <si>
    <t>Répartition de la valeur ajoutée</t>
  </si>
  <si>
    <t>Distribuzione del valore aggiunto</t>
  </si>
  <si>
    <t>Distribution of added value</t>
  </si>
  <si>
    <t>Arbeitsplätze in den Regionen</t>
  </si>
  <si>
    <t>Emplois dans les régions</t>
  </si>
  <si>
    <t>Posti di lavoro nelle regioni</t>
  </si>
  <si>
    <t>Jobs in the regions</t>
  </si>
  <si>
    <t>Kompensierte Treibhausgasemissionen</t>
  </si>
  <si>
    <t>Emissions de gaz à effet de serre compensées</t>
  </si>
  <si>
    <t>Emissioni di gas serra compensate</t>
  </si>
  <si>
    <t>Offset greenhouse gas emissions</t>
  </si>
  <si>
    <t>Personalzufriedenheit, Motivation und Engagement</t>
  </si>
  <si>
    <t>Satisfaction du personnel, motivation et engagement</t>
  </si>
  <si>
    <t>Soddisfazione del personale, motivazione e impegno</t>
  </si>
  <si>
    <t>Employee satisfaction, motivation and commitment</t>
  </si>
  <si>
    <t>Laufbahnzentrum</t>
  </si>
  <si>
    <t>Centre de carrière</t>
  </si>
  <si>
    <t>Centro carriera</t>
  </si>
  <si>
    <t>Careers center</t>
  </si>
  <si>
    <t>Nationalität</t>
  </si>
  <si>
    <t>Nationalité</t>
  </si>
  <si>
    <t>Nazionalità</t>
  </si>
  <si>
    <t>Nationality</t>
  </si>
  <si>
    <t>Wirtschaftliche Themen</t>
  </si>
  <si>
    <t>Sujets économiques</t>
  </si>
  <si>
    <t>Temi economici</t>
  </si>
  <si>
    <t>Economic topics</t>
  </si>
  <si>
    <t>203-2 – Erhebliche indirekte wirtschaftliche Auswirkungen</t>
  </si>
  <si>
    <t>203-2 – Impacts économiques indirects substantiels</t>
  </si>
  <si>
    <t>203-2 – Impatti economici indiretti sostanziali</t>
  </si>
  <si>
    <t>203-2 – Significant indirect economic impacts</t>
  </si>
  <si>
    <t>Mengenentwicklung</t>
  </si>
  <si>
    <t>Evolution des volumes</t>
  </si>
  <si>
    <t>Evoluzione dei volumi</t>
  </si>
  <si>
    <t>Volume trends</t>
  </si>
  <si>
    <t>Preisvergleich postalischer Dienstleistungen</t>
  </si>
  <si>
    <t>Comparaison des prix des services postaux</t>
  </si>
  <si>
    <t>Confronto dei prezzi dei servizi postali</t>
  </si>
  <si>
    <t>Price comparison of postal services</t>
  </si>
  <si>
    <t>Weitere Treibhausgaskennzahlen</t>
  </si>
  <si>
    <t>Autres indicateurs des gaz à effet de serre</t>
  </si>
  <si>
    <t>Altre cifre sui gas serra</t>
  </si>
  <si>
    <t>Other greenhouse gas figures</t>
  </si>
  <si>
    <t>Demographie (Altersverteilung)</t>
  </si>
  <si>
    <t>Démographie (pyramide des âges)</t>
  </si>
  <si>
    <t>Demografia (distribuzione in base all'età)</t>
  </si>
  <si>
    <t>Demographics (age distribution)</t>
  </si>
  <si>
    <t>Ökologische Themen</t>
  </si>
  <si>
    <t>Sujets environnementaux</t>
  </si>
  <si>
    <t>Temi ambientali</t>
  </si>
  <si>
    <t>Environmental topics</t>
  </si>
  <si>
    <t>205-1 – Geschäftsstandorte, die im Hinblick auf Korruptionsrisiken geprüft wurden</t>
  </si>
  <si>
    <t>205-1 – Sites qui ont fait l'objet d'une évaluation des risques de corruption</t>
  </si>
  <si>
    <t>205-1 – Siti che sono stati valutati per i rischi di corruzione</t>
  </si>
  <si>
    <t>205-1 – Operations assessed for risks related to corruption</t>
  </si>
  <si>
    <t>Volumen Zahlungsverkehr</t>
  </si>
  <si>
    <t>Volume trafic des paiements</t>
  </si>
  <si>
    <t>Volume traffico dei pagamenti</t>
  </si>
  <si>
    <t>Volume of payment transactions</t>
  </si>
  <si>
    <t>Laufzeiten postalischer Dienstleistungen</t>
  </si>
  <si>
    <t>Délais d'acheminement des services postaux</t>
  </si>
  <si>
    <t>Tempi di consegna per i servizi postali</t>
  </si>
  <si>
    <t>Delivery times of postal services</t>
  </si>
  <si>
    <t>Luftschadstoffemissionen</t>
  </si>
  <si>
    <t>Emissions de polluants atmosphériques</t>
  </si>
  <si>
    <t>Emissioni di inquinanti atmosferici</t>
  </si>
  <si>
    <t>Air pollution emissions</t>
  </si>
  <si>
    <t>Sozial-gesellschaftliche Themen</t>
  </si>
  <si>
    <t>Sujets sociaux</t>
  </si>
  <si>
    <t>Temi sociali</t>
  </si>
  <si>
    <t>Social topics</t>
  </si>
  <si>
    <t>205-2 – Informationen und Schulungen über Massnahmen und Verfahren zur Korruptionsbekämpfung</t>
  </si>
  <si>
    <t>205-2 – Communication et formation sur les politiques et procédures en matière de lutte contre la corruption</t>
  </si>
  <si>
    <t>205-2 – Comunicazione e formazione sulle politiche e le procedure anticorruzione</t>
  </si>
  <si>
    <t>205-2 – Communication and training about anti-corruption policies and procedures</t>
  </si>
  <si>
    <t>Personalbestand</t>
  </si>
  <si>
    <t>Effectif</t>
  </si>
  <si>
    <t>Organico</t>
  </si>
  <si>
    <t>Headcount</t>
  </si>
  <si>
    <t>Wartezeiten in Filialen</t>
  </si>
  <si>
    <t>Temps d'attente dans les filiales</t>
  </si>
  <si>
    <t>Tempi di attesa nelle filiali</t>
  </si>
  <si>
    <t>Queuing times in branches</t>
  </si>
  <si>
    <t>102 – Allgemeine Standardangaben</t>
  </si>
  <si>
    <t>102 – Divulgations généraux</t>
  </si>
  <si>
    <t>102 – Divulgazioni generali</t>
  </si>
  <si>
    <t>102 – General Disclosures</t>
  </si>
  <si>
    <t>205-3 – Bestätigte Korruptionsfälle und ergriffene Massnahmen</t>
  </si>
  <si>
    <t>205-3 – Cas avérés de corruption et mesures prises</t>
  </si>
  <si>
    <t>205-3 – Provati casi di corruzione e misure adottate</t>
  </si>
  <si>
    <t>205-3 – Confirmed incidents of corruption and actions taken</t>
  </si>
  <si>
    <t>Geschlechterverteilung</t>
  </si>
  <si>
    <t>Répartition des sexes</t>
  </si>
  <si>
    <t>Distribuzione per genere</t>
  </si>
  <si>
    <t>Gender distribution</t>
  </si>
  <si>
    <t>Verarbeitungszeiten von Finanzdienstleistungen</t>
  </si>
  <si>
    <t>Délais de traitement des services financiers</t>
  </si>
  <si>
    <t>Tempi di trattamento dei servizi finanziari</t>
  </si>
  <si>
    <t>Processing times of financial services</t>
  </si>
  <si>
    <t>201 – Wirtschaftliche Leistung</t>
  </si>
  <si>
    <t>201 – Performance économique</t>
  </si>
  <si>
    <t>201 – Prestazioni economiche</t>
  </si>
  <si>
    <t>201 – Economic Performance</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</si>
  <si>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</si>
  <si>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</si>
  <si>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</si>
  <si>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206-1 – Legal actions for anti-competitive behavior, anti-trust, and monopoly practices</t>
  </si>
  <si>
    <t>Teilzeit</t>
  </si>
  <si>
    <t>Temps partiel</t>
  </si>
  <si>
    <t>Tempo parziale</t>
  </si>
  <si>
    <t>Part-time</t>
  </si>
  <si>
    <t>202 – Marktpräsenz</t>
  </si>
  <si>
    <t>202 – Présence sur le marché</t>
  </si>
  <si>
    <t>202 – Presenza sul mercato</t>
  </si>
  <si>
    <t>202 – Market Presence</t>
  </si>
  <si>
    <t>301-1 – Eingesetzte Materialien nach Gewicht oder Volumen</t>
  </si>
  <si>
    <t>301-1 – Consommation de matières en poids ou en volume</t>
  </si>
  <si>
    <t>301-1 – Consumo di materiali in peso o in volume</t>
  </si>
  <si>
    <t>301-1 – Materials used by weight or volume</t>
  </si>
  <si>
    <t>Anstellungsverhältnisse</t>
  </si>
  <si>
    <t>Rapports de travail</t>
  </si>
  <si>
    <t>Rapporto d'impiego</t>
  </si>
  <si>
    <t>Employment conditions</t>
  </si>
  <si>
    <t>203 – Indirekte wirtschaftliche Auswirkungen</t>
  </si>
  <si>
    <t>203 – Impacts économiques indirects</t>
  </si>
  <si>
    <t>203 – Impatti economici indiretti</t>
  </si>
  <si>
    <t>203 – Indirect Economic Impacts</t>
  </si>
  <si>
    <t>301-2 – Anteil der Sekundärrohstoffe am Gesamtmaterialeinsatz</t>
  </si>
  <si>
    <t>301-2 – Pourcentage de matériaux consommés provenant de matières recyclées</t>
  </si>
  <si>
    <t>301-2 – Percentuale di materiali consumati da materiali riciclati</t>
  </si>
  <si>
    <t>301-2 – Recycled input materials used</t>
  </si>
  <si>
    <t>Lieferkette</t>
  </si>
  <si>
    <t>Chaîne de livraison</t>
  </si>
  <si>
    <t>Catena di distribuzione</t>
  </si>
  <si>
    <t>Supply chain</t>
  </si>
  <si>
    <t>205 – Korruptionsbekämpfung</t>
  </si>
  <si>
    <t>205 – Lutte contre la corruption</t>
  </si>
  <si>
    <t>205 – Lotta contro la corruzione</t>
  </si>
  <si>
    <t>205 – Anti Corruption</t>
  </si>
  <si>
    <t>302-1 – Energieverbrauch innerhalb der Organisation</t>
  </si>
  <si>
    <t>302-1 – Consommation énergétique au sein de l'organisation</t>
  </si>
  <si>
    <t>302-1 – Consumo energetico all'interno dell'organizzazione</t>
  </si>
  <si>
    <t>302-1 – Energy consumption within the organization</t>
  </si>
  <si>
    <t>Kundenzufriedenheit</t>
  </si>
  <si>
    <t>Satisfaction des clients</t>
  </si>
  <si>
    <t>Soddisfazione dei clienti</t>
  </si>
  <si>
    <t>Customer satisfaction</t>
  </si>
  <si>
    <t>Mio. CHF</t>
  </si>
  <si>
    <t>Millions de CHF</t>
  </si>
  <si>
    <t>mln di CHF</t>
  </si>
  <si>
    <t>CHF million</t>
  </si>
  <si>
    <t>CHF</t>
  </si>
  <si>
    <t>GWh</t>
  </si>
  <si>
    <t>t CO2-Äquivalent</t>
  </si>
  <si>
    <t>Equivalent de tonnes de CO2</t>
  </si>
  <si>
    <t>t di CO2 equivalenti</t>
  </si>
  <si>
    <t>t CO2 equivalent</t>
  </si>
  <si>
    <t>Anzahl Personen im Monatslohn</t>
  </si>
  <si>
    <t>Nombre de personnes à salaire mensuel</t>
  </si>
  <si>
    <t>numero di collaboratori con salario mensile</t>
  </si>
  <si>
    <t>Number of persons on monthly salary</t>
  </si>
  <si>
    <t>Anzahl pro 100 Personaleinheiten</t>
  </si>
  <si>
    <t>Nombre pour 100 unités de personnel</t>
  </si>
  <si>
    <t>numero ogni 100 unità di personale</t>
  </si>
  <si>
    <t>Number per 100 FTEs</t>
  </si>
  <si>
    <t>Personen</t>
  </si>
  <si>
    <t>Personnes</t>
  </si>
  <si>
    <t>Persone</t>
  </si>
  <si>
    <t>% der Personen</t>
  </si>
  <si>
    <t>% des personnes</t>
  </si>
  <si>
    <t>% delle persone</t>
  </si>
  <si>
    <t>% of headcount</t>
  </si>
  <si>
    <t>206 – Wettbewerbswidriges Verhalten</t>
  </si>
  <si>
    <t>206 – Comportement anticoncurrentiel</t>
  </si>
  <si>
    <t>206 – Comportamento anticoncorrenziale</t>
  </si>
  <si>
    <t>206 – Anti Competitive Behavior</t>
  </si>
  <si>
    <t>302-2 – Energieverbrauch ausserhalb der Organisation</t>
  </si>
  <si>
    <t>302-2 – Consommation énergétique en dehors de l'organisation</t>
  </si>
  <si>
    <t>302-2 – Consumo energetico al di fuori dell'organizzazione</t>
  </si>
  <si>
    <t>302-2 – Energy consumption outside of the organization</t>
  </si>
  <si>
    <t>%</t>
  </si>
  <si>
    <t>Faktor</t>
  </si>
  <si>
    <t>Facteur</t>
  </si>
  <si>
    <t>Fattore</t>
  </si>
  <si>
    <t>Factor</t>
  </si>
  <si>
    <t>t CO2-Äquivalent pro Mio. CHF</t>
  </si>
  <si>
    <t>Equivalent de tonnes de CO2 par million de CHF</t>
  </si>
  <si>
    <t>t di CO2 equivalenti per mln di CHF</t>
  </si>
  <si>
    <t>t CO2 equivalent per CHF million</t>
  </si>
  <si>
    <t>% des Durchschnittsbestandes an Personen im Monatslohn</t>
  </si>
  <si>
    <t>% de l'effectif moyen avec salaire mensuel</t>
  </si>
  <si>
    <t>% dell'organico medio con salario mensile</t>
  </si>
  <si>
    <t>% of average monthly salary headcount</t>
  </si>
  <si>
    <t>Anzahl</t>
  </si>
  <si>
    <t>Nombre</t>
  </si>
  <si>
    <t xml:space="preserve">Numero   </t>
  </si>
  <si>
    <t>Number</t>
  </si>
  <si>
    <t>% der Personaleinheiten</t>
  </si>
  <si>
    <t>% des unités de personnel</t>
  </si>
  <si>
    <t>% dell'unità di personale</t>
  </si>
  <si>
    <t>% of full-time equivalents</t>
  </si>
  <si>
    <t>Quantità</t>
  </si>
  <si>
    <t>301 – Materialien</t>
  </si>
  <si>
    <t>301 – Matières</t>
  </si>
  <si>
    <t>301 – Materiale</t>
  </si>
  <si>
    <t>301 – Materials</t>
  </si>
  <si>
    <t>302-3 – Energieintensität</t>
  </si>
  <si>
    <t>302-3 – Intensité énergétique</t>
  </si>
  <si>
    <t>302-3 – Intensità energetica</t>
  </si>
  <si>
    <t>302-3 – Energy intensity</t>
  </si>
  <si>
    <t xml:space="preserve">t CO2-Äquivalent pro Personaleinheit </t>
  </si>
  <si>
    <t xml:space="preserve">Equivalent de tonnes de CO2 par unité de personnel </t>
  </si>
  <si>
    <t xml:space="preserve">t di CO2 equivalenti per unità di personale </t>
  </si>
  <si>
    <t xml:space="preserve">t CO2 equivalent per full-time equivalent </t>
  </si>
  <si>
    <t>Jahre</t>
  </si>
  <si>
    <t>Années</t>
  </si>
  <si>
    <t>Anni</t>
  </si>
  <si>
    <t>Years</t>
  </si>
  <si>
    <t>302 – Energie</t>
  </si>
  <si>
    <t>302 – Energia</t>
  </si>
  <si>
    <t>302 – Energy</t>
  </si>
  <si>
    <t>305-1 – Direkte THG-Emissionen (Scope 1)</t>
  </si>
  <si>
    <t>305-1 – Emissions directes de gaz à effet de serre (Scope 1)</t>
  </si>
  <si>
    <t>305-1 – Emissioni dirette di gas a effetto serra (Scope 1)</t>
  </si>
  <si>
    <t>305-1 – Direct (Scope 1) GHG emissions</t>
  </si>
  <si>
    <t>Orte</t>
  </si>
  <si>
    <t>Lieux</t>
  </si>
  <si>
    <t>Località</t>
  </si>
  <si>
    <t>Localities</t>
  </si>
  <si>
    <t>Anzahl in Mio.</t>
  </si>
  <si>
    <t>Nombre en millions</t>
  </si>
  <si>
    <t>numero in mln</t>
  </si>
  <si>
    <t>Volume in millions</t>
  </si>
  <si>
    <t>Index</t>
  </si>
  <si>
    <t>Indice</t>
  </si>
  <si>
    <t>Aussetztage pro Person</t>
  </si>
  <si>
    <t>Jours d'absence par personne</t>
  </si>
  <si>
    <t>Giorni di assenza per persona</t>
  </si>
  <si>
    <t>Absentee days per person</t>
  </si>
  <si>
    <t>Numero</t>
  </si>
  <si>
    <t>305 – Emissionen</t>
  </si>
  <si>
    <t>305 – Emissions</t>
  </si>
  <si>
    <t>305 – Emissioni</t>
  </si>
  <si>
    <t>305-2 – Indirekte energiebezogene THG-Emissionen (Scope 2)</t>
  </si>
  <si>
    <t>305-2 – Emissions indirectes de gaz à effet de serre (Scope 2) liées à l'énergie</t>
  </si>
  <si>
    <t>305-2 – Emissioni indirette di gas a effetto serra (Scope 2) legati all'energia</t>
  </si>
  <si>
    <t>305-2 – Energy indirect (Scope 2) GHG emissions</t>
  </si>
  <si>
    <t>Personaleinheiten</t>
  </si>
  <si>
    <t>Unités de personnel</t>
  </si>
  <si>
    <t>unità di personale</t>
  </si>
  <si>
    <t>Full-time equivalents</t>
  </si>
  <si>
    <t>Tage pro Jahr</t>
  </si>
  <si>
    <t>Jours par an</t>
  </si>
  <si>
    <t>Giorni all'anno</t>
  </si>
  <si>
    <t>Days per annum</t>
  </si>
  <si>
    <t>Teilnehmende</t>
  </si>
  <si>
    <t>Participants</t>
  </si>
  <si>
    <t>Partecipanti</t>
  </si>
  <si>
    <t>308 – Bewertung der Lieferanten hinsichtlich ökologischer Aspekte</t>
  </si>
  <si>
    <t>308 – Evaluation environnementale des fournisseurs</t>
  </si>
  <si>
    <t>308 – Valutazione ambientale dei fornitori</t>
  </si>
  <si>
    <t>308 – Supplier Environmental Assessment</t>
  </si>
  <si>
    <t>305-3 – Weitere indirekte THG-Emissionen (Scope 3)</t>
  </si>
  <si>
    <t>305-3 – Autres émissions indirectes de gaz à effet de serre (Scope 3)</t>
  </si>
  <si>
    <t>305-3 – Altre emissioni indirette di gas a effetto serra (Scope 3)</t>
  </si>
  <si>
    <t>305-3 – Other indirect (Scope 3) GHG emissions</t>
  </si>
  <si>
    <t>persone</t>
  </si>
  <si>
    <t>kg</t>
  </si>
  <si>
    <t>Kilos</t>
  </si>
  <si>
    <t>401 – Beschäftigung</t>
  </si>
  <si>
    <t>401 – Emploi</t>
  </si>
  <si>
    <t>401 – Occupazione</t>
  </si>
  <si>
    <t>401 – Employment</t>
  </si>
  <si>
    <t>305-4 – Intensität der THG-Emissionen</t>
  </si>
  <si>
    <t>305-4 – Intensité des émissions de gaz à effet de serre</t>
  </si>
  <si>
    <t>305-4 – Intensità delle emissioni di gas a effetto serra</t>
  </si>
  <si>
    <t>305-4 – GHG emissions intensity</t>
  </si>
  <si>
    <t>t</t>
  </si>
  <si>
    <t>Tonnes</t>
  </si>
  <si>
    <t>402 – Arbeitnehmer-Arbeitgeber-Verhältnis</t>
  </si>
  <si>
    <t>402 – Relations employeur/employés</t>
  </si>
  <si>
    <t>402 – Relazioni datore di lavoro/dipendente</t>
  </si>
  <si>
    <t>402 – Labor/Management Relations</t>
  </si>
  <si>
    <t>305-6 – Emissionen Ozon abbauender Stoffe</t>
  </si>
  <si>
    <t>305-6 – Emissions de substances appauvrissant la couche d'ozone (SAO)</t>
  </si>
  <si>
    <t>305-6 – Emissioni di sostanze che riducono l'ozono (SRO)</t>
  </si>
  <si>
    <t>305-6 – Emissions of ozone-depleting substances (ODS)</t>
  </si>
  <si>
    <t>403 – Arbeitssicherheit und Gesundheitsschutz</t>
  </si>
  <si>
    <t>403 – Santé et sécurité au travail</t>
  </si>
  <si>
    <t>403 – Salute e sicurezza sul posto di lavoro</t>
  </si>
  <si>
    <t>403 – Occupational Health and Safety</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</si>
  <si>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</si>
  <si>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</si>
  <si>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</si>
  <si>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305-7 – Nitrogen oxides (NOX), sulfur oxides (SOX), and other significant air emissions</t>
  </si>
  <si>
    <t>404 – Aus- und Weiterbildung</t>
  </si>
  <si>
    <t>404 – Formation et éducation</t>
  </si>
  <si>
    <t>404 – Formazione e istruzione</t>
  </si>
  <si>
    <t>404 – Training and Education</t>
  </si>
  <si>
    <t>405 – Vielfalt und Chancengleichheit</t>
  </si>
  <si>
    <t>405 – Diversité et égalité des chances</t>
  </si>
  <si>
    <t>405 – Diversità e pari opportunità</t>
  </si>
  <si>
    <t>405 – Diversity and Equal Opportunity</t>
  </si>
  <si>
    <t>406 – Gleichbehandlung</t>
  </si>
  <si>
    <t>406 – Non-discrimination</t>
  </si>
  <si>
    <t>406 – Non discriminazione</t>
  </si>
  <si>
    <t>407 – Vereinigungsfreiheit und Recht auf Kollektivverhandlungen</t>
  </si>
  <si>
    <t>407 – Liberté syndicale et droit de négociation collective</t>
  </si>
  <si>
    <t>407 – Libertà di associazione e diritto alla contrattazione collettiva</t>
  </si>
  <si>
    <t>407 – Freedom of Association and Collective Bargaining</t>
  </si>
  <si>
    <t>Mio. Sendungen</t>
  </si>
  <si>
    <t>Millions d'unités</t>
  </si>
  <si>
    <t>mln di invii</t>
  </si>
  <si>
    <t>Millions of items</t>
  </si>
  <si>
    <t>408 – Kinderarbeit</t>
  </si>
  <si>
    <t>408 – Travail des enfants</t>
  </si>
  <si>
    <t>408 – Lavoro minorile</t>
  </si>
  <si>
    <t>408 – Child Labor</t>
  </si>
  <si>
    <t>Millions</t>
  </si>
  <si>
    <t>Numero in mln</t>
  </si>
  <si>
    <t>In millions</t>
  </si>
  <si>
    <t>409 – Zwangs- und Pflichtarbeit</t>
  </si>
  <si>
    <t>409 – Travail forcé ou obligatoire</t>
  </si>
  <si>
    <t>409 – Lavoro forzato o obbligatorio</t>
  </si>
  <si>
    <t>409 – Forced or Compulsory Labor</t>
  </si>
  <si>
    <t>Anzahl in Tausend</t>
  </si>
  <si>
    <t>Milliers</t>
  </si>
  <si>
    <t>Numero in migliaia</t>
  </si>
  <si>
    <t>In thousands</t>
  </si>
  <si>
    <t>412 – Prüfung der Menschenrechte</t>
  </si>
  <si>
    <t>412 – Evaluation des droits de l'homme</t>
  </si>
  <si>
    <t>412 – Valutazione dei diritti umani</t>
  </si>
  <si>
    <t>412 – Human Rights Assessment</t>
  </si>
  <si>
    <t>Kunden</t>
  </si>
  <si>
    <t>clients</t>
  </si>
  <si>
    <t>Clienti</t>
  </si>
  <si>
    <t>Customers</t>
  </si>
  <si>
    <t>413 – Lokale Gemeinschaften</t>
  </si>
  <si>
    <t>413 – Communautés locales</t>
  </si>
  <si>
    <t>413 – Comunità locali</t>
  </si>
  <si>
    <t>413 – Local Communities</t>
  </si>
  <si>
    <t>Mio. km</t>
  </si>
  <si>
    <t>Millions de kilomètres</t>
  </si>
  <si>
    <t>mln di km</t>
  </si>
  <si>
    <t>In millions of km</t>
  </si>
  <si>
    <t>414 – Bewertung der Lieferanten hinsichtlich Arbeitspraktiken</t>
  </si>
  <si>
    <t>414 – Evaluation sociale des fournisseurs</t>
  </si>
  <si>
    <t>414 – Valutazione sociale dei fornitori</t>
  </si>
  <si>
    <t>414 – Supplier Social Assessment</t>
  </si>
  <si>
    <t>418 – Schutz der Privatsphäre des Kunden</t>
  </si>
  <si>
    <t>418 – Vie privée des clients</t>
  </si>
  <si>
    <t>418 – Privacy dei clienti</t>
  </si>
  <si>
    <t>418 – Customer Privacy</t>
  </si>
  <si>
    <t>km</t>
  </si>
  <si>
    <t>Kilomètres</t>
  </si>
  <si>
    <t>419 – Sozio-ökonomische Compliance</t>
  </si>
  <si>
    <t>419 – Conformité socioéconomique</t>
  </si>
  <si>
    <t>419 – Conformità socioeconomica</t>
  </si>
  <si>
    <t>419 – Socioeconomic Compliance</t>
  </si>
  <si>
    <t>Mio. m²</t>
  </si>
  <si>
    <t>Millions de m2</t>
  </si>
  <si>
    <t>mln di m²</t>
  </si>
  <si>
    <t>In millions of m²</t>
  </si>
  <si>
    <t>Offenlegungen</t>
  </si>
  <si>
    <t>Divulgations</t>
  </si>
  <si>
    <t>Divulgazioni</t>
  </si>
  <si>
    <t>Disclosures</t>
  </si>
  <si>
    <t>Anzahl pro Monat</t>
  </si>
  <si>
    <t>Nombre par mois</t>
  </si>
  <si>
    <t>Numero per mese</t>
  </si>
  <si>
    <t>Number per month</t>
  </si>
  <si>
    <t>Betriebsertrag</t>
  </si>
  <si>
    <t>Produits d'exploitation</t>
  </si>
  <si>
    <t>Ricavi d'esercizio</t>
  </si>
  <si>
    <t>Operating income</t>
  </si>
  <si>
    <t>Entschädigungen an Verwaltungsratspräsidenten</t>
  </si>
  <si>
    <t>Indemnités versées au président du Conseil d'administration</t>
  </si>
  <si>
    <t>Indennità a Presidenti di Consigli d'amministrazione</t>
  </si>
  <si>
    <t>Remuneration paid to Chairman of the Board</t>
  </si>
  <si>
    <t>Beiträge</t>
  </si>
  <si>
    <t>Contributions</t>
  </si>
  <si>
    <t>Contributi</t>
  </si>
  <si>
    <t>Treibstoffverbrauch</t>
  </si>
  <si>
    <t>Consommation de carburants</t>
  </si>
  <si>
    <t>Consumo di carburanti</t>
  </si>
  <si>
    <t>Fuel consumption</t>
  </si>
  <si>
    <t>Nach Prozessen</t>
  </si>
  <si>
    <t>Par processus</t>
  </si>
  <si>
    <t>Per processo</t>
  </si>
  <si>
    <t>By process</t>
  </si>
  <si>
    <t>Eintritte</t>
  </si>
  <si>
    <t>Arrivées</t>
  </si>
  <si>
    <t>Arrivi</t>
  </si>
  <si>
    <t>New employees</t>
  </si>
  <si>
    <t>Unfälle</t>
  </si>
  <si>
    <t>Accidents</t>
  </si>
  <si>
    <t>Infortuni</t>
  </si>
  <si>
    <t>Anteil Frauen im Kader</t>
  </si>
  <si>
    <t>Part de femmes cadres</t>
  </si>
  <si>
    <t>Percentuale di donne nei quadri</t>
  </si>
  <si>
    <t>Percentage of women in management roles</t>
  </si>
  <si>
    <t>Einheit</t>
  </si>
  <si>
    <t>Unité</t>
  </si>
  <si>
    <t>Unità</t>
  </si>
  <si>
    <t>Unit</t>
  </si>
  <si>
    <t>Gigabyte</t>
  </si>
  <si>
    <t>Gigaoctets</t>
  </si>
  <si>
    <t>Gigabytes</t>
  </si>
  <si>
    <t>im Ausland und grenzüberschreitend erwirtschaftet</t>
  </si>
  <si>
    <t>réalisés à l’étranger et transfrontalier</t>
  </si>
  <si>
    <t>conseguiti all’estero e zone transforntaliere</t>
  </si>
  <si>
    <t>Generated abroad and crossborder</t>
  </si>
  <si>
    <t>Durchschnittliche Entschädigung an Verwaltungsratsmitglieder</t>
  </si>
  <si>
    <t>Indemnités moyennes versées aux membres du Conseil d'administration</t>
  </si>
  <si>
    <t>Indennità media ai membri del Consiglio d'amministrazione</t>
  </si>
  <si>
    <t>Average remuneration paid to members of the Board of Directors</t>
  </si>
  <si>
    <t>Wirtschaft</t>
  </si>
  <si>
    <t>Sponsoring économique</t>
  </si>
  <si>
    <t>Economia</t>
  </si>
  <si>
    <t>Economy</t>
  </si>
  <si>
    <t>Treibstoffverbrauch (innerhalb der Post)</t>
  </si>
  <si>
    <t>Consommation de carburants (au sein de la Poste)</t>
  </si>
  <si>
    <t>Consumo di carburanti (all'interno della Posta)</t>
  </si>
  <si>
    <t>Fuel consumption (within Swiss Post)</t>
  </si>
  <si>
    <t>Leistungserbringung</t>
  </si>
  <si>
    <t>Fourniture de prestations</t>
  </si>
  <si>
    <t>Erogazione di servizi</t>
  </si>
  <si>
    <t>Service provision</t>
  </si>
  <si>
    <t>weiblich</t>
  </si>
  <si>
    <t>Femmes</t>
  </si>
  <si>
    <t>Donne</t>
  </si>
  <si>
    <t>Women</t>
  </si>
  <si>
    <t>Berufsunfälle</t>
  </si>
  <si>
    <t>Accidents professionnels</t>
  </si>
  <si>
    <t>Infortuni professionali</t>
  </si>
  <si>
    <t>Occupational accidents</t>
  </si>
  <si>
    <t>Detailhandelsfachfrau/-mann</t>
  </si>
  <si>
    <t>Gestionnaire de commerce de détail</t>
  </si>
  <si>
    <t>Impiegati/e del commercio al dettaglio</t>
  </si>
  <si>
    <t>Retail employee</t>
  </si>
  <si>
    <t>Anteil Frauen in höchster Kaderfunktion</t>
  </si>
  <si>
    <t>Part de femmes cadres échelon supérieur</t>
  </si>
  <si>
    <t>Percentuale di donne con mansioni direttive di livello superiore</t>
  </si>
  <si>
    <t>Percentage of women in senior management posts</t>
  </si>
  <si>
    <t>Fussnoten</t>
  </si>
  <si>
    <t>Notes</t>
  </si>
  <si>
    <t>Note</t>
  </si>
  <si>
    <t>Footnotes</t>
  </si>
  <si>
    <t>Anzahl pro Jahr</t>
  </si>
  <si>
    <t>Nombre par an</t>
  </si>
  <si>
    <t>Numero per anno</t>
  </si>
  <si>
    <t>Number per year</t>
  </si>
  <si>
    <t>reservierte Dienste</t>
  </si>
  <si>
    <t>Services réservés</t>
  </si>
  <si>
    <t>Servizi riservati</t>
  </si>
  <si>
    <t>Reserved services</t>
  </si>
  <si>
    <t>Entschädigung an Konzernleiter/-in</t>
  </si>
  <si>
    <t>Indemnités versées au directeur/à la directrice général(e)</t>
  </si>
  <si>
    <t>Indennità al/alla direttore/direttrice generale</t>
  </si>
  <si>
    <t>Remuneration paid to CEO</t>
  </si>
  <si>
    <t>Sportsponsoring</t>
  </si>
  <si>
    <t>Sponsoring sportif</t>
  </si>
  <si>
    <t>Sponsoring sportivo</t>
  </si>
  <si>
    <t>Sports sponsorship</t>
  </si>
  <si>
    <t>Anteil an erneuerbaren Treibstoffen (innerhalb der Post)</t>
  </si>
  <si>
    <t>Part de carburants renouvelables (au sein de la Poste)</t>
  </si>
  <si>
    <t>Quota di carburanti da fonti rinnovabili (all'interno della Posta)</t>
  </si>
  <si>
    <t>Percentage of renewable fuels (within Swiss Post)</t>
  </si>
  <si>
    <t>Gebäude</t>
  </si>
  <si>
    <t>Bâtiments</t>
  </si>
  <si>
    <t>Edifici</t>
  </si>
  <si>
    <t>Buildings</t>
  </si>
  <si>
    <t>20–29</t>
  </si>
  <si>
    <t>20-29</t>
  </si>
  <si>
    <t>Berufsunfälle PostMail</t>
  </si>
  <si>
    <t>Accidents professionnels PostMail</t>
  </si>
  <si>
    <t>infortuni professionali PostMail</t>
  </si>
  <si>
    <t>Occupational accidents, PostMail</t>
  </si>
  <si>
    <t>Fachfrau/ -mann Kundendialog</t>
  </si>
  <si>
    <t>Agent(e) relation client</t>
  </si>
  <si>
    <t>Operatori/trici per la comunicazione con la clientela</t>
  </si>
  <si>
    <t>Call center agent</t>
  </si>
  <si>
    <t>Anteil Frauen im mittleren/unteren Kader</t>
  </si>
  <si>
    <t>Part de femmes cadres échelons moyen et inférieur</t>
  </si>
  <si>
    <t>Percentuale di donne nei quadri inferiori e medi</t>
  </si>
  <si>
    <t>Percentage of women in middle and junior management roles</t>
  </si>
  <si>
    <t>GRI</t>
  </si>
  <si>
    <t>Unità di personale</t>
  </si>
  <si>
    <t>Betriebsaufwand</t>
  </si>
  <si>
    <t>Charges d'exploitation</t>
  </si>
  <si>
    <t>Costi d'esercizio</t>
  </si>
  <si>
    <t>Operating expenses</t>
  </si>
  <si>
    <t>Durchschnittliche Entschädigung an Konzernleitungsmitglieder</t>
  </si>
  <si>
    <t>Indemnités moyennes versées aux membres de la Direction du groupe</t>
  </si>
  <si>
    <t>Indennità media ai membri della Direzione del gruppo</t>
  </si>
  <si>
    <t>Average remuneration paid to members of Executive Management</t>
  </si>
  <si>
    <t>Kultursponsoring</t>
  </si>
  <si>
    <t>Sponsoring culturel</t>
  </si>
  <si>
    <t>Sponsoring culturale</t>
  </si>
  <si>
    <t>Cultural sponsorship</t>
  </si>
  <si>
    <t>Diesel (innerhalb der Post)</t>
  </si>
  <si>
    <t>Diesel (au sein de la Poste)</t>
  </si>
  <si>
    <t>Diesel (all'interno della Posta)</t>
  </si>
  <si>
    <t>Diesel (within Swiss Post)</t>
  </si>
  <si>
    <t>Wärme</t>
  </si>
  <si>
    <t>Chaleur</t>
  </si>
  <si>
    <t>Riscaldamento</t>
  </si>
  <si>
    <t>Heating</t>
  </si>
  <si>
    <t>30-49</t>
  </si>
  <si>
    <t>30–49</t>
  </si>
  <si>
    <t xml:space="preserve">Berufsunfälle PostLogistics </t>
  </si>
  <si>
    <t xml:space="preserve">Accidents professionnels PostLogistics </t>
  </si>
  <si>
    <t xml:space="preserve">infortuni professionali PostLogistics </t>
  </si>
  <si>
    <t xml:space="preserve">Occupational accidents, PostLogistics </t>
  </si>
  <si>
    <t>Kaufleute</t>
  </si>
  <si>
    <t>Employé(e) de commerce</t>
  </si>
  <si>
    <t>Impiegati/e di commercio</t>
  </si>
  <si>
    <t>Commercial employee</t>
  </si>
  <si>
    <t>Anteil Frauen im Verwaltungsrat (VR) der Schweizerischen Post AG</t>
  </si>
  <si>
    <t>Part de femmes au Conseil d'administration (CA) de La Poste Suisse SA</t>
  </si>
  <si>
    <t>Percentuale di donne nel Consiglio di amministrazione (CdA) de La Posta Svizzera SA</t>
  </si>
  <si>
    <t>Percentage of women on Swiss Post Ltd Board of Directors (BoD)</t>
  </si>
  <si>
    <t>zurück zum Inhaltsverzeichnis</t>
  </si>
  <si>
    <t>retour à la table des matières</t>
  </si>
  <si>
    <t>torna alla tabella dei contenuti</t>
  </si>
  <si>
    <t>back to the table of contents</t>
  </si>
  <si>
    <t>Personalaufwand</t>
  </si>
  <si>
    <t>Charges de personnel</t>
  </si>
  <si>
    <t>Costi per il personale</t>
  </si>
  <si>
    <t>Personnel expenses</t>
  </si>
  <si>
    <t>Durchschnittslohn Mitarbeitende</t>
  </si>
  <si>
    <t>Salaire moyen du personnel</t>
  </si>
  <si>
    <t>Salario medio dei collaboratori</t>
  </si>
  <si>
    <t>Average salary for employees</t>
  </si>
  <si>
    <t>Soziale Engagements / Vergabungen / Spenden</t>
  </si>
  <si>
    <t>Engagements sociaux / cadeaux / dons</t>
  </si>
  <si>
    <t>Impegno sociale / doni / donazioni</t>
  </si>
  <si>
    <t>Social initiatives/gifts/donations</t>
  </si>
  <si>
    <t>Anteil an Biodiesel (innerhalb der Post)</t>
  </si>
  <si>
    <t>Part de biodiesel renouvelable (au sein de la Poste)</t>
  </si>
  <si>
    <t>Quota di biodiesel (all'interno della Posta)</t>
  </si>
  <si>
    <t>Percentage of biodiesel (within Swiss Post)</t>
  </si>
  <si>
    <t>Strom</t>
  </si>
  <si>
    <t>Electricité</t>
  </si>
  <si>
    <t>Energia elettrica</t>
  </si>
  <si>
    <t>Electricity</t>
  </si>
  <si>
    <t>50 und älter</t>
  </si>
  <si>
    <t>50 ans et plus</t>
  </si>
  <si>
    <t>Dai 50 anni in su</t>
  </si>
  <si>
    <t>50 and older</t>
  </si>
  <si>
    <t>Berufsunfälle PostNetz</t>
  </si>
  <si>
    <t>Accidents professionnels RéseauPostal</t>
  </si>
  <si>
    <t>infortuni professionali RetePostale</t>
  </si>
  <si>
    <t>Occupational accidents, PostalNetwork</t>
  </si>
  <si>
    <t>Kaufm. Praktikum</t>
  </si>
  <si>
    <t>Stagiaire commerce</t>
  </si>
  <si>
    <t>Stagisti di commercio</t>
  </si>
  <si>
    <t>Commercial apprenticeship</t>
  </si>
  <si>
    <t>Anteil Frauen in der Konzernleitung (KL) der Schweizerischen Post AG</t>
  </si>
  <si>
    <t>Part de femmes à la Direction du groupe (DG) La Poste Suisse SA</t>
  </si>
  <si>
    <t>Percentuale di donne nella Direzione del gruppo (DG) de La Posta Svizzera SA</t>
  </si>
  <si>
    <t>Percentage of women in Swiss Post Ltd Executive Management (EM)</t>
  </si>
  <si>
    <t>Konzern</t>
  </si>
  <si>
    <t>Groupe</t>
  </si>
  <si>
    <t>Gruppo</t>
  </si>
  <si>
    <t>Group</t>
  </si>
  <si>
    <t>Betriebsergebnis</t>
  </si>
  <si>
    <t>Résultat d'exploitation</t>
  </si>
  <si>
    <t>Risultato d'esercizio</t>
  </si>
  <si>
    <t>Operating profit</t>
  </si>
  <si>
    <t>Minimallohn GAV Post (18 Jahre, ohne Berufslehre)</t>
  </si>
  <si>
    <t>Salaire minimal CCT Poste (18 ans, sans apprentissage)</t>
  </si>
  <si>
    <t>Salario minimo CCL Posta (dai 18 anni, senza apprendistato professionale)</t>
  </si>
  <si>
    <t>Minimum salary under Swiss Post CEC (18 years, without vocational training)</t>
  </si>
  <si>
    <t>Spenden an politische Parteien</t>
  </si>
  <si>
    <t>Dons à des partis politiques</t>
  </si>
  <si>
    <t>Doni a partiti politici</t>
  </si>
  <si>
    <t>Donations to political parties</t>
  </si>
  <si>
    <t>Benzin (innerhalb der Post)</t>
  </si>
  <si>
    <t>Essence (au sein de la Poste)</t>
  </si>
  <si>
    <t>Benzina (all'interno della Posta)</t>
  </si>
  <si>
    <t>Petrol (within Swiss Post)</t>
  </si>
  <si>
    <t>Kältemittel, Ressourcen und Abfälle</t>
  </si>
  <si>
    <t>Climatisation, ressources et déchets</t>
  </si>
  <si>
    <t>Refrigeranti, risorse e rifiuti</t>
  </si>
  <si>
    <t>Refrigerants, resources and waste</t>
  </si>
  <si>
    <t>männlich</t>
  </si>
  <si>
    <t>Hommes</t>
  </si>
  <si>
    <t>Uomini</t>
  </si>
  <si>
    <t>Men</t>
  </si>
  <si>
    <t>Berufsunfälle PostFinance</t>
  </si>
  <si>
    <t>Accidents professionnels PostFinance</t>
  </si>
  <si>
    <t>infortuni professionali PostFinance</t>
  </si>
  <si>
    <t>Occupational accidents, PostFinance</t>
  </si>
  <si>
    <t>Logistiker/-in EFZ Distribution</t>
  </si>
  <si>
    <t>Logisticien/ne CFC distribution</t>
  </si>
  <si>
    <t>Impiegati/e in logistica AFC Recapito</t>
  </si>
  <si>
    <t>EFZ distribution logistics technician</t>
  </si>
  <si>
    <t>Anteil Frauen im VR, der KL und den Geschäftsleitungen des Konzerns</t>
  </si>
  <si>
    <t>Part de femmes aux CA, à la DG et dans les organes de direction du groupe</t>
  </si>
  <si>
    <t>Percentuale di donne nel CdA, nella DG e nel comitato di direzione del gruppo</t>
  </si>
  <si>
    <t>Percentage of women on BoD, EM and Executive Boards of the group</t>
  </si>
  <si>
    <t>Konzern Schweiz</t>
  </si>
  <si>
    <t>Groupe Suisse</t>
  </si>
  <si>
    <t>Gruppo Svizzera</t>
  </si>
  <si>
    <t>Group in Switzerland</t>
  </si>
  <si>
    <t>als Anteil des Betriebsertrages</t>
  </si>
  <si>
    <t>en proportion des produits d'exploitation</t>
  </si>
  <si>
    <t>in % dei ricavi d'esercizio</t>
  </si>
  <si>
    <t>As a share of operating income</t>
  </si>
  <si>
    <t>Lohnspanne</t>
  </si>
  <si>
    <t>Ecart salarial</t>
  </si>
  <si>
    <t>Fascia salariale</t>
  </si>
  <si>
    <t>Salary range</t>
  </si>
  <si>
    <t>Engagements für die Schweiz</t>
  </si>
  <si>
    <t>Engagements pour la Suisse</t>
  </si>
  <si>
    <t>Impegni per la Svizzera</t>
  </si>
  <si>
    <t>Commitments for Switzerland</t>
  </si>
  <si>
    <t>Erdgas (innerhalb der Post)</t>
  </si>
  <si>
    <t>Gaz naturel (au sein de la Poste)</t>
  </si>
  <si>
    <t>Gas naturale (all'interno della Posta)</t>
  </si>
  <si>
    <t>Natural gas (within Swiss Post)</t>
  </si>
  <si>
    <t>Mobilität</t>
  </si>
  <si>
    <t>Mobilité</t>
  </si>
  <si>
    <t>Mobilità</t>
  </si>
  <si>
    <t>Mobility</t>
  </si>
  <si>
    <t>Berufsunfälle PostAuto</t>
  </si>
  <si>
    <t>Accidents professionnels CarPostal</t>
  </si>
  <si>
    <t>infortuni professionali AutoPostale</t>
  </si>
  <si>
    <t>Occupational accidents, PostBus</t>
  </si>
  <si>
    <t>Logistiker/-in EBA Distribution</t>
  </si>
  <si>
    <t>Logisticien/ne AFP distribution</t>
  </si>
  <si>
    <t>Addetti/e alla logistica CFP Recapito</t>
  </si>
  <si>
    <t>EBA distribution logistics technician</t>
  </si>
  <si>
    <t>Märkte</t>
  </si>
  <si>
    <t>Marchés</t>
  </si>
  <si>
    <t>Mercati</t>
  </si>
  <si>
    <t>Markets</t>
  </si>
  <si>
    <t>als Anteil des Betriebsergenisses</t>
  </si>
  <si>
    <t>in % dei risultato d'esercizio</t>
  </si>
  <si>
    <t>As a share of operating profit</t>
  </si>
  <si>
    <t>Anteil an Biogas (innerhalb der Post)</t>
  </si>
  <si>
    <t>Part de biogaz renouvelable (au sein de la Poste)</t>
  </si>
  <si>
    <t>quota biogas da fonti rinnovabili (all'interno della Posta)</t>
  </si>
  <si>
    <t>Renewable percentage of biogas (within Swiss Post)</t>
  </si>
  <si>
    <t>Personentransport</t>
  </si>
  <si>
    <t>Transport de voyageurs</t>
  </si>
  <si>
    <t>Trasporto persone</t>
  </si>
  <si>
    <t>Passenger transport</t>
  </si>
  <si>
    <t>Berufsunfälle Swiss Post International</t>
  </si>
  <si>
    <t>Accidents professionnels Swiss Post International</t>
  </si>
  <si>
    <t>infortuni professionali Swiss Post International</t>
  </si>
  <si>
    <t>Occupational accidents, Swiss Post International</t>
  </si>
  <si>
    <t>Logistiker/-in EFZ Lager</t>
  </si>
  <si>
    <t>Logisticien/ne CFC stockage</t>
  </si>
  <si>
    <t>Impiegati/e in logistica AFC Magazzino</t>
  </si>
  <si>
    <t>EFZ warehouse logistics technician</t>
  </si>
  <si>
    <t>Kommunikationsmarkt</t>
  </si>
  <si>
    <t>Marché de la communication</t>
  </si>
  <si>
    <t>Mercato della comunicazione</t>
  </si>
  <si>
    <t>Communication market</t>
  </si>
  <si>
    <t>Strom verwendet als Treibstoff (innerhalb der Post)</t>
  </si>
  <si>
    <t>Electricité comme carburant (au sein de la Poste)</t>
  </si>
  <si>
    <t>Energia elettrica come carburante (all'interno della Posta)</t>
  </si>
  <si>
    <t>Electricity used as fuel (within Swiss Post)</t>
  </si>
  <si>
    <t>Gütertransport</t>
  </si>
  <si>
    <t>Transport de marchandises</t>
  </si>
  <si>
    <t>Trasporto merci</t>
  </si>
  <si>
    <t>Goods transport</t>
  </si>
  <si>
    <t>Berufsunfälle Swiss Post Solutions</t>
  </si>
  <si>
    <t>Accidents professionnels Swiss Post Solutions</t>
  </si>
  <si>
    <t>infortuni professionali Swiss Post Solutions</t>
  </si>
  <si>
    <t>Occupational accidents, Swiss Post Solutions</t>
  </si>
  <si>
    <t>Strassentransportfachmann/-frau EFZ</t>
  </si>
  <si>
    <t>Conducteur/trice de véhicules lourds</t>
  </si>
  <si>
    <t>Autisti di veicoli pesanti AFC</t>
  </si>
  <si>
    <t>EFZ truck driver</t>
  </si>
  <si>
    <t>Logistikmarkt</t>
  </si>
  <si>
    <t>Marché de la logistique</t>
  </si>
  <si>
    <t>Mercato logistico</t>
  </si>
  <si>
    <t>Logistics market</t>
  </si>
  <si>
    <t>Konzerngewinn</t>
  </si>
  <si>
    <t>Bénéfice consolidé</t>
  </si>
  <si>
    <t>Utile del gruppo</t>
  </si>
  <si>
    <t>Group profit</t>
  </si>
  <si>
    <t>Anteil an erneuerbarem Strom verwendet als Treibstoff (innerhalb der Post)</t>
  </si>
  <si>
    <t>Part d'électricité renouvelable comme carburant (au sein de la Poste)</t>
  </si>
  <si>
    <t>quota energia elettrica, carburante da fonti rinnovabili (all'interno della Posta)</t>
  </si>
  <si>
    <t>Renewable percentage of fuel electricity (within Swiss Post)</t>
  </si>
  <si>
    <t>Werksgelände</t>
  </si>
  <si>
    <t>Sites d'entreprise</t>
  </si>
  <si>
    <t>Sito di produzione</t>
  </si>
  <si>
    <t>Works premises</t>
  </si>
  <si>
    <t>Austritte von Mitarbeitenden</t>
  </si>
  <si>
    <t>Départs de collaborateurs</t>
  </si>
  <si>
    <t>Partenze di collaboratori</t>
  </si>
  <si>
    <t>Employee departures</t>
  </si>
  <si>
    <t>Berufsunfälle mit Todesfolgen</t>
  </si>
  <si>
    <t>Accidents professionnels mortels</t>
  </si>
  <si>
    <t>infortuni professionali mortali</t>
  </si>
  <si>
    <t>Occupational accidents with fatalities</t>
  </si>
  <si>
    <t>Informatiker/-in</t>
  </si>
  <si>
    <t>Informaticien/ne</t>
  </si>
  <si>
    <t>Informatici/che</t>
  </si>
  <si>
    <t>IT technician</t>
  </si>
  <si>
    <t>Finanzdienstleistungsmarkt</t>
  </si>
  <si>
    <t>Marché des services financiers</t>
  </si>
  <si>
    <t>Mercato dei servizi finanziari</t>
  </si>
  <si>
    <t>Financial services market</t>
  </si>
  <si>
    <t>Import und Export von Mail</t>
  </si>
  <si>
    <t>Importation et exportation de courrier</t>
  </si>
  <si>
    <t>Importazione ed esportazione di posta</t>
  </si>
  <si>
    <t>Import and export of mail</t>
  </si>
  <si>
    <t>Geldfluss aus operativer Geschäftstätigkeit</t>
  </si>
  <si>
    <t>Flux de trésorerie des activités opérationnelles</t>
  </si>
  <si>
    <t>Flusso di tesoreria derivante dall'attività operativa</t>
  </si>
  <si>
    <t>Cash flow from operating activities</t>
  </si>
  <si>
    <t>Filialen</t>
  </si>
  <si>
    <t>Filiales</t>
  </si>
  <si>
    <t>Filiali</t>
  </si>
  <si>
    <t>Branches</t>
  </si>
  <si>
    <t>Wasserstoff (innerhalb der Post)</t>
  </si>
  <si>
    <t>Hydrogène (au sein de la Poste)</t>
  </si>
  <si>
    <t>Idrogeno (all'interno della Posta)</t>
  </si>
  <si>
    <t>Hydrogen (within Swiss Post)</t>
  </si>
  <si>
    <t>Strasse</t>
  </si>
  <si>
    <t>Route</t>
  </si>
  <si>
    <t>Gomma</t>
  </si>
  <si>
    <t>Street</t>
  </si>
  <si>
    <t>Pensionierungen</t>
  </si>
  <si>
    <t>Retraites</t>
  </si>
  <si>
    <t>Pensionamenti</t>
  </si>
  <si>
    <t>Due to retirement</t>
  </si>
  <si>
    <t xml:space="preserve">Nichtberufsunfälle   </t>
  </si>
  <si>
    <t xml:space="preserve">Accidents non professionnels   </t>
  </si>
  <si>
    <t xml:space="preserve">Infortuni non professionali   </t>
  </si>
  <si>
    <t xml:space="preserve">Non-occupational accidents   </t>
  </si>
  <si>
    <t>Mediamatiker/-in</t>
  </si>
  <si>
    <t>Médiamaticien/ne</t>
  </si>
  <si>
    <t>Mediamatici/che</t>
  </si>
  <si>
    <t>Mediamatics technician</t>
  </si>
  <si>
    <t>Personenverkehrsmarkt</t>
  </si>
  <si>
    <t>Marché du transport de voyageurs</t>
  </si>
  <si>
    <t>Mercato dei trasporti di persone</t>
  </si>
  <si>
    <t>Passenger transport market</t>
  </si>
  <si>
    <t>Pakete</t>
  </si>
  <si>
    <t>Colis</t>
  </si>
  <si>
    <t>Pacchi</t>
  </si>
  <si>
    <t>Parcels</t>
  </si>
  <si>
    <t>Unternehmensmehrwert</t>
  </si>
  <si>
    <t>Valeur ajoutée de l'entreprise</t>
  </si>
  <si>
    <t>Valore aggiunto aziendale</t>
  </si>
  <si>
    <t>Economic value added</t>
  </si>
  <si>
    <t>Filialen mit Partner</t>
  </si>
  <si>
    <t>Filiales en partenariat</t>
  </si>
  <si>
    <t>Filiali in partenariato</t>
  </si>
  <si>
    <t>Branches with partner</t>
  </si>
  <si>
    <t>Anteil an erneuerbarem Wasserstoff (innerhalb der Post)</t>
  </si>
  <si>
    <t>Part d'hydrogène renouvelable (au sein de la Poste)</t>
  </si>
  <si>
    <t>Quota di idrogeno da fonti rinnovabili (all'interno della Posta)</t>
  </si>
  <si>
    <t>Percentage of renewable hydrogen (within Swiss Post)</t>
  </si>
  <si>
    <t>Schiene</t>
  </si>
  <si>
    <t>Rail</t>
  </si>
  <si>
    <t>Rotaia</t>
  </si>
  <si>
    <t>auslaufende Verträge</t>
  </si>
  <si>
    <t>Contrats arrivant à échéance</t>
  </si>
  <si>
    <t>Contratti in scadenza</t>
  </si>
  <si>
    <t>Expiring contracts</t>
  </si>
  <si>
    <t>Verursachte Unfallkosten</t>
  </si>
  <si>
    <t>Coûts occasionnés par les accidents</t>
  </si>
  <si>
    <t>Costi legati agli infortuni</t>
  </si>
  <si>
    <t>Costs incurred as a result of accidents</t>
  </si>
  <si>
    <t>Automatiker/-in</t>
  </si>
  <si>
    <t>Automaticien/ne</t>
  </si>
  <si>
    <t>Operatori/trici in automatica</t>
  </si>
  <si>
    <t>Automation technician</t>
  </si>
  <si>
    <t>Übrige</t>
  </si>
  <si>
    <t>Autres</t>
  </si>
  <si>
    <t>Altro</t>
  </si>
  <si>
    <t>Other</t>
  </si>
  <si>
    <t>Import und Export von Kurier, Express und Pakete</t>
  </si>
  <si>
    <t>Importation et exportation de coursier, express et colis</t>
  </si>
  <si>
    <t>Importazione ed esportazione di servici di corriere, espresso e pacchi</t>
  </si>
  <si>
    <t>Import and export of courier, express and parcels</t>
  </si>
  <si>
    <t>Nettoumsatz übrige Markenartikel</t>
  </si>
  <si>
    <t>Chiffre d'affaires net autres articles de marque</t>
  </si>
  <si>
    <t>Fatturato netto altri articoli di marca</t>
  </si>
  <si>
    <t>Net sales – other brand-name items</t>
  </si>
  <si>
    <t>Hausservice</t>
  </si>
  <si>
    <t>Service à domicile</t>
  </si>
  <si>
    <t>Servizio a domicil</t>
  </si>
  <si>
    <t>Home delivery service</t>
  </si>
  <si>
    <t>Treibstoffverbauch (ausserhalb der Post)</t>
  </si>
  <si>
    <t>Consommation de carburants (en dehors de la Poste)</t>
  </si>
  <si>
    <t>Consumo di carburanti (al di fuori della Posta)</t>
  </si>
  <si>
    <t>Fuel consumption (outside Swiss Post)</t>
  </si>
  <si>
    <t>Luft</t>
  </si>
  <si>
    <t>Transport aérien</t>
  </si>
  <si>
    <t>Aria</t>
  </si>
  <si>
    <t>Air</t>
  </si>
  <si>
    <t>Austritt vereinbart</t>
  </si>
  <si>
    <t>Départs négociés</t>
  </si>
  <si>
    <t>Partenze convenute</t>
  </si>
  <si>
    <t>Departure agreed</t>
  </si>
  <si>
    <t>Fachmann/-frau Betriebsunterhalt EFZ</t>
  </si>
  <si>
    <t>Spécialiste de l'entretien CFC</t>
  </si>
  <si>
    <t>Operatori/trici di edifici e infrastrutture AFC</t>
  </si>
  <si>
    <t>Operation maintenance employee</t>
  </si>
  <si>
    <t>Segmente</t>
  </si>
  <si>
    <t>Segments</t>
  </si>
  <si>
    <t>Segmenti</t>
  </si>
  <si>
    <t>Passivgeschäft</t>
  </si>
  <si>
    <t>Opérations passives</t>
  </si>
  <si>
    <t>Operazioni passive</t>
  </si>
  <si>
    <t>Deposit-taking business</t>
  </si>
  <si>
    <t>Aufgabe- und Abholstellen</t>
  </si>
  <si>
    <t>Points de dépôt et de retrait</t>
  </si>
  <si>
    <t>Uffici di impostazione e di ritiro</t>
  </si>
  <si>
    <t>Acceptance and collection points</t>
  </si>
  <si>
    <t>Brennstoffverbrauch</t>
  </si>
  <si>
    <t>Consommation de combustibles</t>
  </si>
  <si>
    <t>Consumo di combustibili</t>
  </si>
  <si>
    <t>Combustibles consumption</t>
  </si>
  <si>
    <t>Wasser</t>
  </si>
  <si>
    <t>Transport naval</t>
  </si>
  <si>
    <t>Acqua</t>
  </si>
  <si>
    <t>Water</t>
  </si>
  <si>
    <t>Kündigung durch Arbeitgeber</t>
  </si>
  <si>
    <t>Licenciements par l'employeur</t>
  </si>
  <si>
    <t>Licenziamenti da parte del datore di lavoro</t>
  </si>
  <si>
    <t>Notice given by employer</t>
  </si>
  <si>
    <t>Nichtberufsunfälle</t>
  </si>
  <si>
    <t>Accidents non professionnels</t>
  </si>
  <si>
    <t>Infortuni non professionali</t>
  </si>
  <si>
    <t>Non-occupational accidents</t>
  </si>
  <si>
    <t>Kinderbetreuer/-in</t>
  </si>
  <si>
    <t>Spécialiste petite enfance</t>
  </si>
  <si>
    <t>Operatori/trici d'infanzia</t>
  </si>
  <si>
    <t>Child carer</t>
  </si>
  <si>
    <t>PostMail</t>
  </si>
  <si>
    <t>Regionaler Personenverkehr nach Personenbeförderungsgesetz (PBG)</t>
  </si>
  <si>
    <t>Transports régionaux de voyageurs en vertu de la loi sur le transport de voyageurs (LTV)</t>
  </si>
  <si>
    <t>Traffico regionale viaggiatori conf. a legge federale sul trasporto di viaggiatori (LTV)</t>
  </si>
  <si>
    <t>Regional passenger transport in accordance with Swiss Passenger Transport Act (PBG)</t>
  </si>
  <si>
    <t>My Post 24-Automaten</t>
  </si>
  <si>
    <t>Automates My Post 24</t>
  </si>
  <si>
    <t>Sportelli automatici My Post 24</t>
  </si>
  <si>
    <t>My Post 24 terminals</t>
  </si>
  <si>
    <t>Brennstoffverbrauch (innerhalb der Post)</t>
  </si>
  <si>
    <t>Consommation de combustibles (au sein de la Poste)</t>
  </si>
  <si>
    <t>Consumo di combustibili (all'interno della Posta)</t>
  </si>
  <si>
    <t>Combustibles consumption (within Swiss Post)</t>
  </si>
  <si>
    <t>Geschäftsreiseverkehr</t>
  </si>
  <si>
    <t>Déplacements professionnels</t>
  </si>
  <si>
    <t>Viaggi di lavoro</t>
  </si>
  <si>
    <t>Business travel</t>
  </si>
  <si>
    <t>aus wirtschaftlichen Gründen</t>
  </si>
  <si>
    <t>pour raisons économiques</t>
  </si>
  <si>
    <t>per motivi economici</t>
  </si>
  <si>
    <t>For business-related reasons</t>
  </si>
  <si>
    <t>Berufs- und Nichtberufsunfälle</t>
  </si>
  <si>
    <t>Accidents professionnels et non professionnels</t>
  </si>
  <si>
    <t>Infortuni professionali e non professionali</t>
  </si>
  <si>
    <t>Occupational and non-occupational accidents</t>
  </si>
  <si>
    <t>Ausbildungsquote</t>
  </si>
  <si>
    <t>Taux de formation</t>
  </si>
  <si>
    <t>Percentuale persone in formazione</t>
  </si>
  <si>
    <t>Ratio of trainees to employees</t>
  </si>
  <si>
    <t>Swiss Post Solutions</t>
  </si>
  <si>
    <t>Geschäftskundenstellen</t>
  </si>
  <si>
    <t>Points clientèle commerciale</t>
  </si>
  <si>
    <t>Punit clienti commerciali</t>
  </si>
  <si>
    <t>Business customer points</t>
  </si>
  <si>
    <t>Anteil an erneuerbaren Brennstoffen (innerhalb der Post)</t>
  </si>
  <si>
    <t>Part de combustibles renouvelables (au sein de la Poste)</t>
  </si>
  <si>
    <t>Quota di combustibili da fonti rinnovabili (all'interno della Posta)</t>
  </si>
  <si>
    <t>Percentage of renewable combustibles (within Swiss Post)</t>
  </si>
  <si>
    <t>Arbeitspendlerverkehr</t>
  </si>
  <si>
    <t>Trafic pendulaire</t>
  </si>
  <si>
    <t>Trasporto pendolari</t>
  </si>
  <si>
    <t>Work commuting</t>
  </si>
  <si>
    <t>aus persönlichen Gründen</t>
  </si>
  <si>
    <t>pour raisons personnelles</t>
  </si>
  <si>
    <t>per motivi personali</t>
  </si>
  <si>
    <t>For personal reasons</t>
  </si>
  <si>
    <t>Krankheits- und unfallbedingte Aussetztage</t>
  </si>
  <si>
    <t>Absences par suite de maladie ou d'accident</t>
  </si>
  <si>
    <t>Giorni di assenza dovuti a malattie e infortuni</t>
  </si>
  <si>
    <t>Days lost to illness and accidents</t>
  </si>
  <si>
    <t>Neueinstellung von Lernpersonal</t>
  </si>
  <si>
    <t>Embauche de personnes en formation</t>
  </si>
  <si>
    <t>Assunzioni di persone in formazione</t>
  </si>
  <si>
    <t>Newly recruited trainees</t>
  </si>
  <si>
    <t>PostNetz</t>
  </si>
  <si>
    <t>RéseauPostal</t>
  </si>
  <si>
    <t>RetePostale</t>
  </si>
  <si>
    <t>PostalNetwork</t>
  </si>
  <si>
    <t>PostFinance-Filialen</t>
  </si>
  <si>
    <t>Filiales PostFinance</t>
  </si>
  <si>
    <t>Filiali PostFinance</t>
  </si>
  <si>
    <t>PostFinance branches</t>
  </si>
  <si>
    <t>Heizöl Extraleicht (innerhalb der Post)</t>
  </si>
  <si>
    <t>Mazout extra-léger (au sein de la Poste)</t>
  </si>
  <si>
    <t>Olio combustibile extra leggero (all'interno della Posta)</t>
  </si>
  <si>
    <t>Heating oil (extra light) (within Swiss Post)</t>
  </si>
  <si>
    <t>Nach Scopes und Energieträger</t>
  </si>
  <si>
    <t>Par scope et source d'énergie</t>
  </si>
  <si>
    <t>In base a scope e fonte energetica</t>
  </si>
  <si>
    <t>By scope and energy source</t>
  </si>
  <si>
    <t>Tod</t>
  </si>
  <si>
    <t>Décès</t>
  </si>
  <si>
    <t>Decessi</t>
  </si>
  <si>
    <t>Death</t>
  </si>
  <si>
    <t>Medizinisch bedingte Aussetztage</t>
  </si>
  <si>
    <t>Absences pour raisons médicales</t>
  </si>
  <si>
    <t>Giorni di assenza per ragioni mediche</t>
  </si>
  <si>
    <t>Absentee days for medical reasons</t>
  </si>
  <si>
    <t>Anteil übernommener Lernpersonen</t>
  </si>
  <si>
    <t>Part des personnes en formation embauchées</t>
  </si>
  <si>
    <t>Quota di persone in formazione assunte</t>
  </si>
  <si>
    <t>Percentage of trainees taken on</t>
  </si>
  <si>
    <t>PostLogistics</t>
  </si>
  <si>
    <t>Postomaten</t>
  </si>
  <si>
    <t>Postomat</t>
  </si>
  <si>
    <t>Postomats</t>
  </si>
  <si>
    <t>Treibhausgasemissonen (Scope 1−3)</t>
  </si>
  <si>
    <t>Emissions de gaz à effet de serre (scopes 1−3)</t>
  </si>
  <si>
    <t>Emissioni di gas a effetto terra (scope 1−3)</t>
  </si>
  <si>
    <t>Greenhouse gas emissions (scopes 1−3)</t>
  </si>
  <si>
    <t>Freiwillige Austritte</t>
  </si>
  <si>
    <t>Départs volontaires</t>
  </si>
  <si>
    <t>Partenze volontarie</t>
  </si>
  <si>
    <t>Voluntary departures</t>
  </si>
  <si>
    <t>Kurzabsenz</t>
  </si>
  <si>
    <t>Absences de courte durée</t>
  </si>
  <si>
    <t>Assenza breve</t>
  </si>
  <si>
    <t>Short absences</t>
  </si>
  <si>
    <t>PostFinance</t>
  </si>
  <si>
    <t>Part de biogaz (au sein de la Poste)</t>
  </si>
  <si>
    <t>Quota di biogas (all'interno della Posta)</t>
  </si>
  <si>
    <t>Percentage of biogas (within Swiss Post)</t>
  </si>
  <si>
    <t>Direkte Treibhausgasemissionen (Scope 1)</t>
  </si>
  <si>
    <t>Emissions directes de gaz à effet de serre (scope 1)</t>
  </si>
  <si>
    <t>Emissioni dirette di gas a effetto serra (scope 1)</t>
  </si>
  <si>
    <t>Direct greenhouse gas emissions (scope 1)</t>
  </si>
  <si>
    <t>Krankheit</t>
  </si>
  <si>
    <t>Maladie</t>
  </si>
  <si>
    <t>Malattia</t>
  </si>
  <si>
    <t>Sickness</t>
  </si>
  <si>
    <t>PostAuto</t>
  </si>
  <si>
    <t>CarPostal</t>
  </si>
  <si>
    <t>AutoPostale</t>
  </si>
  <si>
    <t>PostBus</t>
  </si>
  <si>
    <t>Fernwärme (innerhalb der Post)</t>
  </si>
  <si>
    <t>Chaleur à distance (au sein de la Poste)</t>
  </si>
  <si>
    <t>Teleriscaldamento (all'interno della Posta)</t>
  </si>
  <si>
    <t>District heating (within Swiss Post)</t>
  </si>
  <si>
    <t>Verbrennung von Brennstoffen in stationären Quellen</t>
  </si>
  <si>
    <t>Consommation de combustibles dans des sources stationnaires</t>
  </si>
  <si>
    <t>Combustione di combustibili in fonti fisse</t>
  </si>
  <si>
    <t>Combustion of combustibles in stationary sources</t>
  </si>
  <si>
    <t>Berufsunfall</t>
  </si>
  <si>
    <t>Infortunio professionale</t>
  </si>
  <si>
    <t>Altri</t>
  </si>
  <si>
    <t>Bilanzsumme</t>
  </si>
  <si>
    <t>Total du bilan</t>
  </si>
  <si>
    <t>Totale di bilancio</t>
  </si>
  <si>
    <t>Total assets</t>
  </si>
  <si>
    <t>Unterdeckung bilanzierter Vorsorgeverpflichtungen nach IFRS</t>
  </si>
  <si>
    <t>Découvert des obligations de prévoyance portées au bilan selon les normes IFRS</t>
  </si>
  <si>
    <t>Sottocopertura obblighi previdenziali iscritti a bilancio secondo gli IFRS</t>
  </si>
  <si>
    <t>Shortfall in recognized employee benefit obligations in accordance with IFRS.</t>
  </si>
  <si>
    <t>Anteil an erneuerbarer Fernwärme (innerhalb der Post)</t>
  </si>
  <si>
    <t>Part de chaleur à distance renouvelable (au sein de la Poste)</t>
  </si>
  <si>
    <t>Quota di teleriscaldamento da fonti rinnovabili (all'interno della Posta)</t>
  </si>
  <si>
    <t>Percentage of renewable district heating (within Swiss Post)</t>
  </si>
  <si>
    <t>Heizöl</t>
  </si>
  <si>
    <t>Mazout</t>
  </si>
  <si>
    <t>Olio combustibile</t>
  </si>
  <si>
    <t>Heating oil</t>
  </si>
  <si>
    <t>Nichtberufsunfall</t>
  </si>
  <si>
    <t>Infortunio non professionale</t>
  </si>
  <si>
    <t>Muttersprache Deutsch</t>
  </si>
  <si>
    <t>Langue maternelle allemande</t>
  </si>
  <si>
    <t>Madrelingua tedesca</t>
  </si>
  <si>
    <t>German native speakers</t>
  </si>
  <si>
    <t>103 – Managementansatz</t>
  </si>
  <si>
    <t>103 – Approche managériale</t>
  </si>
  <si>
    <t>103 – Approccio di gestione</t>
  </si>
  <si>
    <t>103 – Management Approach</t>
  </si>
  <si>
    <t>Kundengelder PostFinance</t>
  </si>
  <si>
    <t>Fonds des clients PostFinance</t>
  </si>
  <si>
    <t>depositi dei clienti PostFinance</t>
  </si>
  <si>
    <t>PostFinance customer deposits</t>
  </si>
  <si>
    <t>Deckungsgrad Pensionskasse Post nach BVG</t>
  </si>
  <si>
    <t>Degré de couverture de la Caisse de pensions Poste selon la LPP</t>
  </si>
  <si>
    <t>Grado di copertura della Cassa pensioni Posta secondo la LPP</t>
  </si>
  <si>
    <t>Level of cover under Swiss Post pension fund in accordance with the Swiss Federal Law on Occupational Old-age, Survivors' and Disability Pension Plans (BVG)</t>
  </si>
  <si>
    <t>Holz (innerhalb der Post)</t>
  </si>
  <si>
    <t>Bois (au sein de la Poste)</t>
  </si>
  <si>
    <t>Legna (all'interno della Posta)</t>
  </si>
  <si>
    <t>Wood (within Swiss Post)</t>
  </si>
  <si>
    <t>Erdgas</t>
  </si>
  <si>
    <t>Gaz naturel</t>
  </si>
  <si>
    <t>Gas naturale</t>
  </si>
  <si>
    <t>Natural gas</t>
  </si>
  <si>
    <t>Aussetztage</t>
  </si>
  <si>
    <t>Absences</t>
  </si>
  <si>
    <t>Giorni di assenza</t>
  </si>
  <si>
    <t>Absentee days</t>
  </si>
  <si>
    <t>Muttersprache Französisch</t>
  </si>
  <si>
    <t>Langue maternelle française</t>
  </si>
  <si>
    <t>Madrelingua francese</t>
  </si>
  <si>
    <t>French native speakers</t>
  </si>
  <si>
    <t>Immobilien</t>
  </si>
  <si>
    <t>Immobilier</t>
  </si>
  <si>
    <t>Immobili</t>
  </si>
  <si>
    <t>Real Estate</t>
  </si>
  <si>
    <t>Anteil an Bilanzsumme</t>
  </si>
  <si>
    <t>Part au total du bilan</t>
  </si>
  <si>
    <t>percentuale del totale di bilancio</t>
  </si>
  <si>
    <t>Share of total assets</t>
  </si>
  <si>
    <t>Strom verwendet als Brennstoff (innerhalb der Post)</t>
  </si>
  <si>
    <t>Electricité de chauffage (au sein de la Poste)</t>
  </si>
  <si>
    <t>Energia elettrica utilizzata come combustibile (all'interno della Posta)</t>
  </si>
  <si>
    <t>Electricity used as combustibles (within Swiss Post)</t>
  </si>
  <si>
    <t>Holz</t>
  </si>
  <si>
    <t>Bois</t>
  </si>
  <si>
    <t>Legna</t>
  </si>
  <si>
    <t>Wood</t>
  </si>
  <si>
    <t>Ausfalllohnkosten</t>
  </si>
  <si>
    <t>Coûts salariaux occasionnés par les absences</t>
  </si>
  <si>
    <t>Costi salariali dovuti alle assenze</t>
  </si>
  <si>
    <t>Absentee wage costs</t>
  </si>
  <si>
    <t>Muttersprache Italienisch</t>
  </si>
  <si>
    <t>Langue maternelle italienne</t>
  </si>
  <si>
    <t>Madrelingua italiana</t>
  </si>
  <si>
    <t>Italian native speakers</t>
  </si>
  <si>
    <t>Informationstechnologie</t>
  </si>
  <si>
    <t>Technologies de l'information</t>
  </si>
  <si>
    <t>Tecnologia dell'informazione</t>
  </si>
  <si>
    <t>Information Technology</t>
  </si>
  <si>
    <t>Eigenkapital</t>
  </si>
  <si>
    <t>Fonds propres</t>
  </si>
  <si>
    <t>Capitale proprio</t>
  </si>
  <si>
    <t>Equity</t>
  </si>
  <si>
    <t>Anteil an erneuerbarem Strom verwendet als Brennstoff (innerhalb der Post)</t>
  </si>
  <si>
    <t>Part d'électricité renouvelable uitlisée pour le chauffage (au sein de la Poste)</t>
  </si>
  <si>
    <t>Quota di energia elettrica da fonti rinnovabili utilizzata come combustibile (all'interno della Posta)</t>
  </si>
  <si>
    <t>Percentage of renewable electricity used as combustibles (within Swiss Post)</t>
  </si>
  <si>
    <t>Verbrennung von Treibstoffen in mobilen Quellen</t>
  </si>
  <si>
    <t>Consommation de combustibles dans des sources mobiles</t>
  </si>
  <si>
    <t>Combustione di carburanti in fonti mobili</t>
  </si>
  <si>
    <t>Combustion of fuels in mobile sources</t>
  </si>
  <si>
    <t>Vertretung Personalkommission zur Überwachung Gesundheitsschutz / Arbeitssicherheit</t>
  </si>
  <si>
    <t>Représentation au sein de la commission du personnel pour la surveillance de la protection de la santé / sécurité au travail</t>
  </si>
  <si>
    <t>Rappresentanti nella commissione del personale per il controllo della sicurezza sul lavoro e protezione della salute</t>
  </si>
  <si>
    <t>Representation on the staff committee for the monitoring of health protection / occupational safety</t>
  </si>
  <si>
    <t>Muttersprache Rätoromanisch</t>
  </si>
  <si>
    <t>Langue maternelle romanche</t>
  </si>
  <si>
    <t>Madrelingua romancia</t>
  </si>
  <si>
    <t>Romansh native speakers</t>
  </si>
  <si>
    <t>Umweltwärme und -kälte (innerhalb der Post)</t>
  </si>
  <si>
    <t>Chaleur et froid de l'environnement (au sein de la Poste)</t>
  </si>
  <si>
    <t>Calore ambientale (caldo/freddo) (all'interno della Posta)</t>
  </si>
  <si>
    <t>Ambient heat and cooling (within Swiss Post)</t>
  </si>
  <si>
    <t>Diesel</t>
  </si>
  <si>
    <t>Vertretungen in Personalkommission</t>
  </si>
  <si>
    <t>Représentations au sein de la commission du personnel</t>
  </si>
  <si>
    <t>Rappresentanti nella commissione del personale</t>
  </si>
  <si>
    <t>Representation on staff committee</t>
  </si>
  <si>
    <t>andere Muttersprache</t>
  </si>
  <si>
    <t>Autre langue maternelle</t>
  </si>
  <si>
    <t>Altre madrelingue</t>
  </si>
  <si>
    <t>Other native speakers</t>
  </si>
  <si>
    <t>Brennstoffverbrauch (ausserhalb der Post)</t>
  </si>
  <si>
    <t>Consommation de combustibles (en dehors de la Poste)</t>
  </si>
  <si>
    <t>Consumo di combustibili (al di fuori della Posta)</t>
  </si>
  <si>
    <t>Combustibles consumption (outside Swiss Post)</t>
  </si>
  <si>
    <t>Benzin</t>
  </si>
  <si>
    <t>Essence</t>
  </si>
  <si>
    <t>Benzina</t>
  </si>
  <si>
    <t>Petrol</t>
  </si>
  <si>
    <t xml:space="preserve">Energia elettrica </t>
  </si>
  <si>
    <t>Gesamtaustrittsrate</t>
  </si>
  <si>
    <t>Taux de départ global</t>
  </si>
  <si>
    <t>Tasso complessivo di partenze</t>
  </si>
  <si>
    <t>Overall departure rate</t>
  </si>
  <si>
    <t>Stromverbrauch (ohne Verwendung als Treibstoffe und Brennstoffe)</t>
  </si>
  <si>
    <t>Consommation d'électricité (sans carburant, ni chaleur)</t>
  </si>
  <si>
    <t>Consumo di energia elettrica (utilizzo come carburante e combustibile escluso)</t>
  </si>
  <si>
    <t>Electricity consumption (excluding use as fuels and combustibles)</t>
  </si>
  <si>
    <t>Wasserstoff</t>
  </si>
  <si>
    <t>Hydrogène</t>
  </si>
  <si>
    <t>Idrogeno</t>
  </si>
  <si>
    <t>Hydrogen</t>
  </si>
  <si>
    <t>Fluktuationsrate (freiwillige Austritte)</t>
  </si>
  <si>
    <t>Taux de fluctuation (départs volontaires)</t>
  </si>
  <si>
    <t>Tasso di fluttuazione (partenze volontarie)</t>
  </si>
  <si>
    <t>Turnover rate (voluntary departures)</t>
  </si>
  <si>
    <t>Stromverbrauch (innerhalb der Post)</t>
  </si>
  <si>
    <t>Consommation d'électricité (au sein de la Poste)</t>
  </si>
  <si>
    <t>Consumo di energia elettrica (all'interno della Posta)</t>
  </si>
  <si>
    <t>Electricity consumption (within Swiss Post)</t>
  </si>
  <si>
    <t>Flüchtige Emissionen</t>
  </si>
  <si>
    <t>Emissions fugitives</t>
  </si>
  <si>
    <t>Emissioni volatili</t>
  </si>
  <si>
    <t>Fugitive emissions</t>
  </si>
  <si>
    <t>Anteil an erneuerbarem Strom (innerhalb der Post)</t>
  </si>
  <si>
    <t>Part d'électricité renouvelable (au sein de la Poste)</t>
  </si>
  <si>
    <t>Quota di energia elettrica da fonti rinnovabili (all'interno della Posta)</t>
  </si>
  <si>
    <t>Percentage of renewable electricity (within Swiss Post)</t>
  </si>
  <si>
    <t>Kältemittel</t>
  </si>
  <si>
    <t>Climatisation</t>
  </si>
  <si>
    <t>Refrigeranti</t>
  </si>
  <si>
    <t>Refrigerants</t>
  </si>
  <si>
    <t>Erarbeitete Wertschöpfung</t>
  </si>
  <si>
    <t>Valeur ajoutée</t>
  </si>
  <si>
    <t>Creazione di valore aggiunto</t>
  </si>
  <si>
    <t>Added value generated</t>
  </si>
  <si>
    <t>Arbeitsplätze nach Kantonen</t>
  </si>
  <si>
    <t>Emplois par canton</t>
  </si>
  <si>
    <t>Posti di lavoro per Cantone</t>
  </si>
  <si>
    <t>Jobs by canton</t>
  </si>
  <si>
    <t>Stromverbrauch (ausserhalb der Post)</t>
  </si>
  <si>
    <t>Consommation d'électricité (en dehors de la Poste)</t>
  </si>
  <si>
    <t>Consumo di energia elettrica (al di fuori della Posta)</t>
  </si>
  <si>
    <t>Electricity consumption (outside Swiss Post)</t>
  </si>
  <si>
    <t>Indirekte energiebezogene Treibhausgasemissionen (Scope 2)</t>
  </si>
  <si>
    <t>Emissions indirectes de gaz à effet de serre liées à l'énergie (scope 2)</t>
  </si>
  <si>
    <t>Emissioni indirette da consumo energetico di gas a effetto serra (scope 2)</t>
  </si>
  <si>
    <t>Indirect energy-related greenhouse gas emissions (scope 2)</t>
  </si>
  <si>
    <t>Investitionen</t>
  </si>
  <si>
    <t>Investissements</t>
  </si>
  <si>
    <t>Investimenti</t>
  </si>
  <si>
    <t>Investments</t>
  </si>
  <si>
    <t>davon an: Mitarbeitende</t>
  </si>
  <si>
    <t>dont aux collaborateurs</t>
  </si>
  <si>
    <t>di cui a: collaboratori</t>
  </si>
  <si>
    <t>Of which paid to: Employees</t>
  </si>
  <si>
    <t>Mitarbeitende Post auf 100 Beschäftigte nach Kantonen</t>
  </si>
  <si>
    <t>Personnel Poste sur 100 employés par canton</t>
  </si>
  <si>
    <t>Collaboratori della Posta ogni 100 lavoratori per Cantone</t>
  </si>
  <si>
    <t>Swiss Post employees per 100 employees by canton</t>
  </si>
  <si>
    <t>Energiebedarf</t>
  </si>
  <si>
    <t>Besoins énergétiques</t>
  </si>
  <si>
    <t>Fabbisogno energetico</t>
  </si>
  <si>
    <t>Energy consumption</t>
  </si>
  <si>
    <t>Trainee-Programm</t>
  </si>
  <si>
    <t>Programme Trainee</t>
  </si>
  <si>
    <t>Programma Trainee</t>
  </si>
  <si>
    <t>Trainee programme</t>
  </si>
  <si>
    <t>übrige Sachanlagen, immatrielle Anlagen</t>
  </si>
  <si>
    <t>Autres immobilisations corporelles, immobilisations incorporelles</t>
  </si>
  <si>
    <t>altre immobilizzazioni materiali e immateriali</t>
  </si>
  <si>
    <t>Other tangible fixed assets, intangible assets</t>
  </si>
  <si>
    <t>davon an: Fremdkapitalgeber</t>
  </si>
  <si>
    <t>dont aux bailleurs de fonds externes</t>
  </si>
  <si>
    <t>di cui a: investitori esterni</t>
  </si>
  <si>
    <t>Of which paid to: creditors</t>
  </si>
  <si>
    <t>Aargau</t>
  </si>
  <si>
    <t>Argovie</t>
  </si>
  <si>
    <t>Argovia</t>
  </si>
  <si>
    <t>standortbasierte Emissionen</t>
  </si>
  <si>
    <t>Emissions basées sur les sites</t>
  </si>
  <si>
    <t>Emissioni per sede</t>
  </si>
  <si>
    <t>location-based emissions</t>
  </si>
  <si>
    <t>Praktikanten</t>
  </si>
  <si>
    <t>Stagiaires</t>
  </si>
  <si>
    <t>Stagisti</t>
  </si>
  <si>
    <t>Interns</t>
  </si>
  <si>
    <t>Betriebsliegenschaften</t>
  </si>
  <si>
    <t>Immeubles d'exploitation</t>
  </si>
  <si>
    <t>Stabilimenti</t>
  </si>
  <si>
    <t>Operating property</t>
  </si>
  <si>
    <t>davon an: öffentliche Hand</t>
  </si>
  <si>
    <t>dont aux pouvoirs publics</t>
  </si>
  <si>
    <t>di cui per: amministrazione pubblica</t>
  </si>
  <si>
    <t>OF which paid to: public sector</t>
  </si>
  <si>
    <t>Appenzell Innerrhoden</t>
  </si>
  <si>
    <t>Appenzell Rhodes-Intérieures</t>
  </si>
  <si>
    <t>Appenzello interno</t>
  </si>
  <si>
    <t>Energiebedarf (innerhalb der Post)</t>
  </si>
  <si>
    <t>Besoins énergétiques (au sein de la Poste)</t>
  </si>
  <si>
    <t>Fabbisogno energetico (all'interno della Posta)</t>
  </si>
  <si>
    <t>Energy consumption (within Swiss Post)</t>
  </si>
  <si>
    <t>marktbasierte Emissionen</t>
  </si>
  <si>
    <t>Emissions basées sur le marché</t>
  </si>
  <si>
    <t>Emissioni basate sul mercato</t>
  </si>
  <si>
    <t>market-based emissions</t>
  </si>
  <si>
    <t>als Finanzinvestition gehaltene Immobilien</t>
  </si>
  <si>
    <t>Immeubles de placement</t>
  </si>
  <si>
    <t>immobili mantenuti come immobilizzazioni finanziarie</t>
  </si>
  <si>
    <t>Investment property</t>
  </si>
  <si>
    <t>davon an: Eigentümer</t>
  </si>
  <si>
    <t>dont au propriétaire</t>
  </si>
  <si>
    <t>di cui a: proprietaria</t>
  </si>
  <si>
    <t>Of which paid to: owner</t>
  </si>
  <si>
    <t>Appenzell Ausserrhoden</t>
  </si>
  <si>
    <t>Appenzell Rhodes-Extérieures</t>
  </si>
  <si>
    <t>Appenzello esterno</t>
  </si>
  <si>
    <t>Erneuerbarer Anteil am Energiebedarf (innerhalb der Post)</t>
  </si>
  <si>
    <t>Part d'énergie renouvelable dans les besoins énergétiques (au sein de la Poste)</t>
  </si>
  <si>
    <t>Quota di fonti rinnovabili rispetto al fabbisogno energetico (all'interno della Posta)</t>
  </si>
  <si>
    <t>Renewable percentage of energy consumption (within Swiss Post)</t>
  </si>
  <si>
    <t>Fernwärme</t>
  </si>
  <si>
    <t>Chaleur à distance</t>
  </si>
  <si>
    <t>Teleriscaldamento</t>
  </si>
  <si>
    <t>District heating</t>
  </si>
  <si>
    <t>Beteiligungen</t>
  </si>
  <si>
    <t>Participations</t>
  </si>
  <si>
    <t>Partecipazioni</t>
  </si>
  <si>
    <t>davon an: Unternehmen</t>
  </si>
  <si>
    <t>dont à l'entreprise</t>
  </si>
  <si>
    <t>di cui a: aziende</t>
  </si>
  <si>
    <t>Of which paid to: company</t>
  </si>
  <si>
    <t>Bern</t>
  </si>
  <si>
    <t>Berne</t>
  </si>
  <si>
    <t>Berna</t>
  </si>
  <si>
    <t>Energiebedarf (ausserhalb der Post)</t>
  </si>
  <si>
    <t>Besoins énergétiques (en dehors de la Poste)</t>
  </si>
  <si>
    <t>Fabbisogno energetico (al di fuori della Posta)</t>
  </si>
  <si>
    <t>Energy consumption (outside Swiss Post)</t>
  </si>
  <si>
    <t>Weitere relevante indirekte Treibhausgasemissionen (Scope 3)</t>
  </si>
  <si>
    <t>Autres émissions indirectes importantes de gaz à effet de serre (scope 3)</t>
  </si>
  <si>
    <t>Altre emissioni indirette rilevanti di gas a effetto serra (scope 3)</t>
  </si>
  <si>
    <t>Other relevant indirect greenhouse gas emissions (scope 3)</t>
  </si>
  <si>
    <t>Grad der eigenfinanzierten Investitionen</t>
  </si>
  <si>
    <t>Ratio des investissements autofinancés</t>
  </si>
  <si>
    <t>Quota di investimenti autofinanziati</t>
  </si>
  <si>
    <t>Degree of self-financed investment</t>
  </si>
  <si>
    <t>davon für: Abschreibungen</t>
  </si>
  <si>
    <t>dont pour amortissements</t>
  </si>
  <si>
    <t>di cui per: ammortamenti</t>
  </si>
  <si>
    <t>Of which for: Amortization</t>
  </si>
  <si>
    <t>Basel-Landschaft</t>
  </si>
  <si>
    <t>Bâle-Campagne</t>
  </si>
  <si>
    <t>Basilea Campagna</t>
  </si>
  <si>
    <t>Basel-Land</t>
  </si>
  <si>
    <t>Erworbene Waren und Dienstleistungen</t>
  </si>
  <si>
    <t>Marchandises et prestations achetées</t>
  </si>
  <si>
    <t>Merci e prestazioni acquisite</t>
  </si>
  <si>
    <t>Acquired goods and services</t>
  </si>
  <si>
    <t>davon für: Stärkung der Pensionskasse Post</t>
  </si>
  <si>
    <t>dont pour renforcement de la Caisse de pensions Poste</t>
  </si>
  <si>
    <t>di cui per: consolidamento della Cassa pensioni Posta</t>
  </si>
  <si>
    <t>Of which for: bolstering the Swiss Post pension fund</t>
  </si>
  <si>
    <t>Basel-Stadt</t>
  </si>
  <si>
    <t>Bâle-Ville</t>
  </si>
  <si>
    <t>Basilea Città</t>
  </si>
  <si>
    <t>Brennstoff- und energiebezogene Aktivitäten</t>
  </si>
  <si>
    <t>Activités liées aux combustibles et à l'énergie</t>
  </si>
  <si>
    <t>Attività relative a carburanti ed energia</t>
  </si>
  <si>
    <t>Combustibles- and energy-related activities</t>
  </si>
  <si>
    <t>davon für: Aufbau Eigenkapital</t>
  </si>
  <si>
    <t>dont pour constitution de fonds propres</t>
  </si>
  <si>
    <t>di cui per: costituzione capitale proprio</t>
  </si>
  <si>
    <t>Of which for: building up equity</t>
  </si>
  <si>
    <t>Freiburg</t>
  </si>
  <si>
    <t>Fribourg</t>
  </si>
  <si>
    <t>Friburgo</t>
  </si>
  <si>
    <t>Upstream-Transport und -Verteilung</t>
  </si>
  <si>
    <t>Transport et tri en amont (upstream)</t>
  </si>
  <si>
    <t>Trasporto e distribuzione a monte</t>
  </si>
  <si>
    <t>Upstream transport and distribution</t>
  </si>
  <si>
    <t>davon für: Übrige</t>
  </si>
  <si>
    <t>dont pour Autres</t>
  </si>
  <si>
    <t>di cui per: altri</t>
  </si>
  <si>
    <t>Of which for: Other</t>
  </si>
  <si>
    <t>Genf</t>
  </si>
  <si>
    <t>Genève</t>
  </si>
  <si>
    <t>Ginevra</t>
  </si>
  <si>
    <t>Geneva</t>
  </si>
  <si>
    <t>Im Rahmen der Geschäftstätigkeiten anfallender Abfall</t>
  </si>
  <si>
    <t>Déchets produits dans le cadre d'activités opérationnelles</t>
  </si>
  <si>
    <t>Rifiuti risultanti da attività aziendali</t>
  </si>
  <si>
    <t>Waste resulting from business activities</t>
  </si>
  <si>
    <t>Adressierte Briefe</t>
  </si>
  <si>
    <t>Lettres adressées</t>
  </si>
  <si>
    <t>Lettere indirizzate</t>
  </si>
  <si>
    <t>Addressed letters</t>
  </si>
  <si>
    <t>Glarus</t>
  </si>
  <si>
    <t>Glaris</t>
  </si>
  <si>
    <t>Glarona</t>
  </si>
  <si>
    <t>Geschäftsreisen</t>
  </si>
  <si>
    <t>Viaggi di servizio</t>
  </si>
  <si>
    <t>Elternzeitbezüger/-innen</t>
  </si>
  <si>
    <t>Bénéficiaires du congé parental</t>
  </si>
  <si>
    <t>Beneficiari del congedo parentale</t>
  </si>
  <si>
    <t>Beneficiaries of parental leave</t>
  </si>
  <si>
    <t>Schweiz</t>
  </si>
  <si>
    <t>Suisse</t>
  </si>
  <si>
    <t>Svizzera</t>
  </si>
  <si>
    <t>Switzerland</t>
  </si>
  <si>
    <t>prioritäre Sendungen</t>
  </si>
  <si>
    <t>Envois prioritaires</t>
  </si>
  <si>
    <t>Invii prioritari</t>
  </si>
  <si>
    <t>Priority items</t>
  </si>
  <si>
    <t>Graubünden</t>
  </si>
  <si>
    <t>Grisons</t>
  </si>
  <si>
    <t>Grigioni</t>
  </si>
  <si>
    <t>Pendeln der Angestellten</t>
  </si>
  <si>
    <t>Trafic pendulaire du personnel</t>
  </si>
  <si>
    <t>Pendolarismo degli impiegati</t>
  </si>
  <si>
    <t>Employee commuting</t>
  </si>
  <si>
    <t>Ausland</t>
  </si>
  <si>
    <t>Etranger</t>
  </si>
  <si>
    <t>Estero</t>
  </si>
  <si>
    <t>Abroad</t>
  </si>
  <si>
    <t>nicht prioritäre Sendungen</t>
  </si>
  <si>
    <t>Envois non prioritaires</t>
  </si>
  <si>
    <t>Invii non prioritari</t>
  </si>
  <si>
    <t>Non-priority items</t>
  </si>
  <si>
    <t>Jura</t>
  </si>
  <si>
    <t>Giura</t>
  </si>
  <si>
    <t>Für Upstream-Aktivitäten gemietete Vermögensgegenstände</t>
  </si>
  <si>
    <t>Biens économiques loués en amont (upstream)</t>
  </si>
  <si>
    <t xml:space="preserve">Elementi patrimoniali in locazione per attività a monte </t>
  </si>
  <si>
    <t>Assets leased for upstream activities</t>
  </si>
  <si>
    <t>Italien</t>
  </si>
  <si>
    <t>Italie</t>
  </si>
  <si>
    <t>Italia</t>
  </si>
  <si>
    <t>Italy</t>
  </si>
  <si>
    <t>Sendungen ohne Adresse</t>
  </si>
  <si>
    <t>Envois non adressés</t>
  </si>
  <si>
    <t>Invii non indirizzati</t>
  </si>
  <si>
    <t>Unaddressed items</t>
  </si>
  <si>
    <t>Luzern</t>
  </si>
  <si>
    <t>Lucerne</t>
  </si>
  <si>
    <t>Lucerna</t>
  </si>
  <si>
    <t>Für Downstream-Aktivitäten gemietete Vermögensgegenstände</t>
  </si>
  <si>
    <t>Transport et distribution en aval (downstream)</t>
  </si>
  <si>
    <t xml:space="preserve">Elementi patrimoniali in locazione per attività a valle </t>
  </si>
  <si>
    <t>Assets leased for downstream activities</t>
  </si>
  <si>
    <t>Deutschland</t>
  </si>
  <si>
    <t>Allemagne</t>
  </si>
  <si>
    <t>Germania</t>
  </si>
  <si>
    <t>Germany</t>
  </si>
  <si>
    <t>Zeitungen</t>
  </si>
  <si>
    <t>Journaux</t>
  </si>
  <si>
    <t>Giornali</t>
  </si>
  <si>
    <t>Newspapers</t>
  </si>
  <si>
    <t>Neuenburg</t>
  </si>
  <si>
    <t>Neuchâtel</t>
  </si>
  <si>
    <t>Spanien</t>
  </si>
  <si>
    <t>Espagne</t>
  </si>
  <si>
    <t>Spagna</t>
  </si>
  <si>
    <t>Spain</t>
  </si>
  <si>
    <t>Briefe Export</t>
  </si>
  <si>
    <t>Lettres, exportation</t>
  </si>
  <si>
    <t>Lettere export</t>
  </si>
  <si>
    <t>Letter exports</t>
  </si>
  <si>
    <t>Nidwalden</t>
  </si>
  <si>
    <t>Nidwald</t>
  </si>
  <si>
    <t>Nidvaldo</t>
  </si>
  <si>
    <t>Portugal</t>
  </si>
  <si>
    <t>Portogallo</t>
  </si>
  <si>
    <t>Briefe Import</t>
  </si>
  <si>
    <t>Lettres, importation</t>
  </si>
  <si>
    <t>Lettere import</t>
  </si>
  <si>
    <t>Letter imports</t>
  </si>
  <si>
    <t>Obwalden</t>
  </si>
  <si>
    <t>Obwald</t>
  </si>
  <si>
    <t>Obvaldo</t>
  </si>
  <si>
    <t>Türkei</t>
  </si>
  <si>
    <t>Turquie</t>
  </si>
  <si>
    <t>Turchia</t>
  </si>
  <si>
    <t>Turkey</t>
  </si>
  <si>
    <t>Zeitungen Export</t>
  </si>
  <si>
    <t>Journaux, exportation</t>
  </si>
  <si>
    <t>Giornali export</t>
  </si>
  <si>
    <t>Newspaper exports</t>
  </si>
  <si>
    <t>St. Gallen</t>
  </si>
  <si>
    <t>Saint-Gall</t>
  </si>
  <si>
    <t>San Gallo</t>
  </si>
  <si>
    <t>Frankreich</t>
  </si>
  <si>
    <t>France</t>
  </si>
  <si>
    <t>Francia</t>
  </si>
  <si>
    <t>Zeitungen Import</t>
  </si>
  <si>
    <t>Journaux, importation</t>
  </si>
  <si>
    <t>Giornali import</t>
  </si>
  <si>
    <t>Newspaper imports</t>
  </si>
  <si>
    <t>Schaffhausen</t>
  </si>
  <si>
    <t>Schaffhouse</t>
  </si>
  <si>
    <t>Sciaffusa</t>
  </si>
  <si>
    <t>übrige Länder</t>
  </si>
  <si>
    <t>Autres pays</t>
  </si>
  <si>
    <t>Altri paesi</t>
  </si>
  <si>
    <t>Other countries</t>
  </si>
  <si>
    <t>Solothurn</t>
  </si>
  <si>
    <t>Soleure</t>
  </si>
  <si>
    <t>Soletta</t>
  </si>
  <si>
    <t>Vertretene Nationen</t>
  </si>
  <si>
    <t>Nationalités représentées</t>
  </si>
  <si>
    <t>Nazioni rappresentate</t>
  </si>
  <si>
    <t>Nationalities represented</t>
  </si>
  <si>
    <t>Inland Priority</t>
  </si>
  <si>
    <t>domestiques Economy</t>
  </si>
  <si>
    <t>Domestici Priority</t>
  </si>
  <si>
    <t>Domestic Priority</t>
  </si>
  <si>
    <t>Schwyz</t>
  </si>
  <si>
    <t>Svitto</t>
  </si>
  <si>
    <t>Energieeffizienzsteigerung seit 2006</t>
  </si>
  <si>
    <t>Amélioration de l'efficacité énergétique depuis 2006</t>
  </si>
  <si>
    <t>Incremento dell'efficienza energetica dal 2006</t>
  </si>
  <si>
    <t>Increase in energy efficiency since 2006</t>
  </si>
  <si>
    <t>CO2e-Intensität der Wertschöpfung</t>
  </si>
  <si>
    <t>Intensité en CO2 de la création de valeur</t>
  </si>
  <si>
    <t>Intensità di CO2 del valore aggiunto</t>
  </si>
  <si>
    <t>CO2 intensity of added value</t>
  </si>
  <si>
    <t>Nettorücklauf der Umfrage</t>
  </si>
  <si>
    <t>Taux de réponse net de l'enquête</t>
  </si>
  <si>
    <t>Percentuale netta di questionari restituiti</t>
  </si>
  <si>
    <t>Net response rate to survey</t>
  </si>
  <si>
    <t>Individuelle Beratungen durch Laufbahnzentrum</t>
  </si>
  <si>
    <t>Conseils individuels par le Centre de carrière</t>
  </si>
  <si>
    <t>Consulenze individuali del centro carriera</t>
  </si>
  <si>
    <t>Individual consultations by careers center</t>
  </si>
  <si>
    <t>Inland Economy</t>
  </si>
  <si>
    <t>domestiques Priority</t>
  </si>
  <si>
    <t>Domestici Economy</t>
  </si>
  <si>
    <t>Domestic Economy</t>
  </si>
  <si>
    <t>Thurgau</t>
  </si>
  <si>
    <t>Thurgovie</t>
  </si>
  <si>
    <t>Turgovia</t>
  </si>
  <si>
    <t>Eingekaufte Herkunftsnachweise für Strom aus erneuerbaren Energien</t>
  </si>
  <si>
    <t>Achat de garanties d’origine pour l’électricité produite à partir de sources d’énergie renouvelables</t>
  </si>
  <si>
    <t>Acquisto delle garanzie di origine per l'elettricità prodotta da fonti energetiche rinnovabili</t>
  </si>
  <si>
    <t>Purchased guarantees of origin for electricity from certified renewable energy sources</t>
  </si>
  <si>
    <t>CO2e-Intensität des Betriebsertrags</t>
  </si>
  <si>
    <t>Intensité en CO2 des produits d'exploitation</t>
  </si>
  <si>
    <t>Intensità di CO2 dei ricavi d'esercizio</t>
  </si>
  <si>
    <t>CO2 intensity of operating income</t>
  </si>
  <si>
    <t>Personalzufriedenheit</t>
  </si>
  <si>
    <t>Satisfaction du personnel</t>
  </si>
  <si>
    <t>Soddisfazione del personale</t>
  </si>
  <si>
    <t>Employee satisfaction</t>
  </si>
  <si>
    <t>Seminare des Arbeitmarktzentrums</t>
  </si>
  <si>
    <t>Séminaires de la Bourse de l'emploi</t>
  </si>
  <si>
    <t>Seminari del centro Mercato del lavoro</t>
  </si>
  <si>
    <t>Job center seminars</t>
  </si>
  <si>
    <t>Export</t>
  </si>
  <si>
    <t>Exportation</t>
  </si>
  <si>
    <t>Exports</t>
  </si>
  <si>
    <t>Tessin</t>
  </si>
  <si>
    <t>Ticino</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</si>
  <si>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</si>
  <si>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</si>
  <si>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</si>
  <si>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</si>
  <si>
    <t>CO2e-Intensität der Arbeitsplätze</t>
  </si>
  <si>
    <t>Intensité CO2 des postes de travail</t>
  </si>
  <si>
    <t>Intensità di CO2 dei posti di lavoro</t>
  </si>
  <si>
    <t>CO2 intensity of jobs</t>
  </si>
  <si>
    <t>Engagement</t>
  </si>
  <si>
    <t>Impegno</t>
  </si>
  <si>
    <t>Commitment</t>
  </si>
  <si>
    <t>Import</t>
  </si>
  <si>
    <t>Importation</t>
  </si>
  <si>
    <t>Imports</t>
  </si>
  <si>
    <t>Uri</t>
  </si>
  <si>
    <t>Eingekaufte Herkunftsnachweise für zertifiziertes Biogas</t>
  </si>
  <si>
    <t>Achat de garanties d'origine pour le biogaz certifié</t>
  </si>
  <si>
    <t>Acquisto delle garanzie di origine per biogas certificato</t>
  </si>
  <si>
    <t>Purchased guarantees of origin for certified biogas</t>
  </si>
  <si>
    <t>Bereichsfitness</t>
  </si>
  <si>
    <t>Compétitivité de l'unité</t>
  </si>
  <si>
    <t>Salute dell'unità</t>
  </si>
  <si>
    <t>Unit fitness</t>
  </si>
  <si>
    <t>Swiss Express Geschäftskunden</t>
  </si>
  <si>
    <t>Swiss-Express clients commerciaux</t>
  </si>
  <si>
    <t>Swiss-Express clienti commerciali</t>
  </si>
  <si>
    <t>Swiss Express, business customers</t>
  </si>
  <si>
    <t>Waadt</t>
  </si>
  <si>
    <t>Vaud</t>
  </si>
  <si>
    <t>Arbeitssituation</t>
  </si>
  <si>
    <t>Situation professionnelle</t>
  </si>
  <si>
    <t>Situazione lavorativa</t>
  </si>
  <si>
    <t>Work situation</t>
  </si>
  <si>
    <t>Courier Export (über TNT Swiss Post AG)</t>
  </si>
  <si>
    <t>Courrier rapide, exportation (via TNT Swiss Post SA)</t>
  </si>
  <si>
    <t>Corriere export (via TNT Swiss Post AG)</t>
  </si>
  <si>
    <t>Courier exports (via TNT Swiss Post AG)</t>
  </si>
  <si>
    <t>Wallis</t>
  </si>
  <si>
    <t>Valais</t>
  </si>
  <si>
    <t>Vallese</t>
  </si>
  <si>
    <t>Bearbeitete Vorgänge</t>
  </si>
  <si>
    <t>Cas traités</t>
  </si>
  <si>
    <t>Casi trattati (Customer Care)</t>
  </si>
  <si>
    <t>Cases handled</t>
  </si>
  <si>
    <t>Zug</t>
  </si>
  <si>
    <t>Zoug</t>
  </si>
  <si>
    <t>Zugo</t>
  </si>
  <si>
    <t>Gescannte Seiten (Document Solutions)</t>
  </si>
  <si>
    <t>Pages scannées (Document Solutions)</t>
  </si>
  <si>
    <t>Pagine scansionate (Document Solutions)</t>
  </si>
  <si>
    <t>Scanned pages (Document Solutions)</t>
  </si>
  <si>
    <t>Zürich</t>
  </si>
  <si>
    <t>Zurich</t>
  </si>
  <si>
    <t>Zurigo</t>
  </si>
  <si>
    <t>Personalisierter Karten (Cards)</t>
  </si>
  <si>
    <t>Cartes personnalisées (Cards)</t>
  </si>
  <si>
    <t>Carte personalizzate (Cards)</t>
  </si>
  <si>
    <t>Personalized cards (Cards)</t>
  </si>
  <si>
    <t>Unpersonalisierter Karten (Cards)</t>
  </si>
  <si>
    <t>Cartes non personnalisées (Cards)</t>
  </si>
  <si>
    <t>Carte non personalizzate (Cards)</t>
  </si>
  <si>
    <t>Non-personalized cards (Cards)</t>
  </si>
  <si>
    <t>Étranger</t>
  </si>
  <si>
    <t>Produzierte Sendungen (Document Output)</t>
  </si>
  <si>
    <t>Envois produits (Document Output)</t>
  </si>
  <si>
    <t>Invii prodotti (Document Output)</t>
  </si>
  <si>
    <t>Consignments produced (Document Output)</t>
  </si>
  <si>
    <t>CO2-Kompensationen</t>
  </si>
  <si>
    <t>Compensations des émissions de CO2</t>
  </si>
  <si>
    <t>Compensazioni di CO2</t>
  </si>
  <si>
    <t>Carbon offsetting</t>
  </si>
  <si>
    <t>Altersgruppe</t>
  </si>
  <si>
    <t>Classe d'âge</t>
  </si>
  <si>
    <t>Fascia di età</t>
  </si>
  <si>
    <t>Age group</t>
  </si>
  <si>
    <t>Abgeschlossenes Auftragsvolumen</t>
  </si>
  <si>
    <t>Volume des mandats clôturés</t>
  </si>
  <si>
    <t>Volume di contratti conclusi</t>
  </si>
  <si>
    <t>Completed order volumes</t>
  </si>
  <si>
    <t>Kompensierte Sendungen</t>
  </si>
  <si>
    <t>Envois compensés</t>
  </si>
  <si>
    <t>Invii compensati</t>
  </si>
  <si>
    <t>Offset consignments</t>
  </si>
  <si>
    <t>unter 20</t>
  </si>
  <si>
    <t>Moins de 20 ans</t>
  </si>
  <si>
    <t>Meno di 20</t>
  </si>
  <si>
    <t>Under 20</t>
  </si>
  <si>
    <t>Annahme Einzahlungen</t>
  </si>
  <si>
    <t>Versements</t>
  </si>
  <si>
    <t>Accettazione versamenti</t>
  </si>
  <si>
    <t>Inpayments accepted</t>
  </si>
  <si>
    <t>30–39</t>
  </si>
  <si>
    <t>30-39</t>
  </si>
  <si>
    <t>Kundenvermögensentwicklung</t>
  </si>
  <si>
    <t>Évolution du patrimoine des clients</t>
  </si>
  <si>
    <t>Andamento dei patrimoni dei clienti</t>
  </si>
  <si>
    <t>Growth in customer assets</t>
  </si>
  <si>
    <t>40–49</t>
  </si>
  <si>
    <t>40-49</t>
  </si>
  <si>
    <t>Anzahl Kundenkonten</t>
  </si>
  <si>
    <t>Nombres de comptes clients</t>
  </si>
  <si>
    <t>Numero di conti dei clienti</t>
  </si>
  <si>
    <t>Number of customer accounts</t>
  </si>
  <si>
    <t>50–59</t>
  </si>
  <si>
    <t>50-59</t>
  </si>
  <si>
    <t>Durchschnittsbestand Kundenvermögen (Monats-Ø)</t>
  </si>
  <si>
    <t>Moyenne du patrimoine des clients (Ø mensuelle)</t>
  </si>
  <si>
    <t>Consistenza media dei patrimoni dei clienti (Ø mensile)</t>
  </si>
  <si>
    <t>Average balance of customer assets (monthly avg.)</t>
  </si>
  <si>
    <t>60 und älter</t>
  </si>
  <si>
    <t>60 ans et plus</t>
  </si>
  <si>
    <t>Dai 60 anni in su</t>
  </si>
  <si>
    <t>60 and older</t>
  </si>
  <si>
    <t>Durchschnittsbestand Kundengelder (Monats-Ø)</t>
  </si>
  <si>
    <t>Moyenne des fonds des clients (Ø mensuelle)</t>
  </si>
  <si>
    <t>Consistenza media dei depositi dei clienti (Ø mensile)</t>
  </si>
  <si>
    <t>Average balance of customer deposits (monthly avg.)</t>
  </si>
  <si>
    <t>Durchschnittsalter</t>
  </si>
  <si>
    <t>Age moyen</t>
  </si>
  <si>
    <t>Età media</t>
  </si>
  <si>
    <t>Average age</t>
  </si>
  <si>
    <t>Anzahl Transaktionen</t>
  </si>
  <si>
    <t>Nombre de transactions</t>
  </si>
  <si>
    <t>Transazioni</t>
  </si>
  <si>
    <t>Number of transactions</t>
  </si>
  <si>
    <t>E-Finance-Teilnehmer</t>
  </si>
  <si>
    <t>Adhérents e-finance</t>
  </si>
  <si>
    <t>Utenti e-finance</t>
  </si>
  <si>
    <t>E-finance subscribers</t>
  </si>
  <si>
    <t>Fondsvolumen (PostFinance-Fonds ohne Drittfonds)</t>
  </si>
  <si>
    <t>Volume des fonds (fonds PostFinance sans fonds émis par des tiers)</t>
  </si>
  <si>
    <t>Volume fondi (PostFinance Fonds senza fondi emessi da terzi)</t>
  </si>
  <si>
    <t>Fund volume (PostFinance Fonds excl. third-party funds)</t>
  </si>
  <si>
    <t>Arbeitsplätze in ländlichen Gemeinden</t>
  </si>
  <si>
    <t>Emplois dans les communes rurales</t>
  </si>
  <si>
    <t>Posti di lavoro nei comuni rurali</t>
  </si>
  <si>
    <t>Jobs in rural communities</t>
  </si>
  <si>
    <t>CO2-Effizienzsteigerung seit 2010</t>
  </si>
  <si>
    <t>Amélioration de l'efficacité en matière de CO2 depuis 2010</t>
  </si>
  <si>
    <t>Incremento dell'efficienza in termini di di CO2 dal 2010</t>
  </si>
  <si>
    <t>CO2 efficiency improvement since 2010</t>
  </si>
  <si>
    <t>Fondsvolumen (PostFinance-Fonds und Drittfonds)</t>
  </si>
  <si>
    <t>Volume des fonds (émis par PostFinance et par des tiers)</t>
  </si>
  <si>
    <t>Volume fondi (PostFinance Fonds e fondi emessi da terzi)</t>
  </si>
  <si>
    <t>Fund volume (PostFinance Fonds and third-party funds)</t>
  </si>
  <si>
    <t>Volumen Ausleihungen Geschäftskunden</t>
  </si>
  <si>
    <t>Volume des prêts clients commerciaux</t>
  </si>
  <si>
    <t>Volume prestiti alla clientela commerciale</t>
  </si>
  <si>
    <t>Volume of loans to business customers</t>
  </si>
  <si>
    <t>Volumen Hypotheken Privatkunden</t>
  </si>
  <si>
    <t>Volume des hypothèques clients privés</t>
  </si>
  <si>
    <t>Volume ipoteche alla clientela privata</t>
  </si>
  <si>
    <t>Volume of mortgages for private customers</t>
  </si>
  <si>
    <t>Anteil aller Arbeitsplätze</t>
  </si>
  <si>
    <t>Part de tous les emplois</t>
  </si>
  <si>
    <t>Quota di tutti i posti di lavoro</t>
  </si>
  <si>
    <t>Share of all jobs</t>
  </si>
  <si>
    <t>Anzahl Reisende</t>
  </si>
  <si>
    <t>Nombre de voyageurs</t>
  </si>
  <si>
    <t>Viaggiatori</t>
  </si>
  <si>
    <t>Number of passengers</t>
  </si>
  <si>
    <t>Jahresleistung</t>
  </si>
  <si>
    <t>Prestation annuelle</t>
  </si>
  <si>
    <t>Prestazione annua</t>
  </si>
  <si>
    <t>Vehicle kilometres</t>
  </si>
  <si>
    <t>Fahrzeuge</t>
  </si>
  <si>
    <t>Véhicules</t>
  </si>
  <si>
    <t>Veicoli</t>
  </si>
  <si>
    <t>Vehicles</t>
  </si>
  <si>
    <t>PostAuto-Netz</t>
  </si>
  <si>
    <t>Réseau CarPostal</t>
  </si>
  <si>
    <t>Rete di AutoPostale</t>
  </si>
  <si>
    <t>PostBus network</t>
  </si>
  <si>
    <t>Liegenschaften</t>
  </si>
  <si>
    <t>Immeubles</t>
  </si>
  <si>
    <t>Properties</t>
  </si>
  <si>
    <t>eigene</t>
  </si>
  <si>
    <t>propres</t>
  </si>
  <si>
    <t>di proprietà</t>
  </si>
  <si>
    <t>Owned</t>
  </si>
  <si>
    <t>gemietete</t>
  </si>
  <si>
    <t>loués</t>
  </si>
  <si>
    <t>in affitto</t>
  </si>
  <si>
    <t>Rented</t>
  </si>
  <si>
    <t>Briefpostindex wechselkursbereinigt</t>
  </si>
  <si>
    <t>Indice du prix des lettres corrigé du taux de change</t>
  </si>
  <si>
    <t>Indice della posta-lettere rettificato in base al corso di cambio</t>
  </si>
  <si>
    <t>Letter post index adjusted for exchange rate</t>
  </si>
  <si>
    <t>Fluorchlorkohlenwasserstoffäquivalente (FCKW-11-Äquivalente)</t>
  </si>
  <si>
    <t>Equivalents chlorofluorocarbones (équivalent CFC 11)</t>
  </si>
  <si>
    <t>Equivalenti fluoro-cloro-idrocarburi (HCFC-11 equiv.)</t>
  </si>
  <si>
    <t>Chlorofluorocarbon hydrogen equivalents (CFC-11 equivalents)</t>
  </si>
  <si>
    <t>Bewirtschaftete Fläche</t>
  </si>
  <si>
    <t>Surface gérée</t>
  </si>
  <si>
    <t>Superficie gestita</t>
  </si>
  <si>
    <t>Managed space</t>
  </si>
  <si>
    <t>Briefpostindex kaufkraftbereinigt</t>
  </si>
  <si>
    <t>Indice du prix des lettres en parité de pouvoir d'achat</t>
  </si>
  <si>
    <t>Indice della posta-lettere rettificato in base al potere d'acquisto</t>
  </si>
  <si>
    <t>Letter post index adjusted for purchasing power</t>
  </si>
  <si>
    <t>Stickoxide (NOx)</t>
  </si>
  <si>
    <t>Oxydes d'azote (NOx)</t>
  </si>
  <si>
    <t>Ossidi di azoto (NOx)</t>
  </si>
  <si>
    <t>Nitrogen oxide (NOx)</t>
  </si>
  <si>
    <t>angemietete Fläche</t>
  </si>
  <si>
    <t>Surface louée</t>
  </si>
  <si>
    <t>Superficie in locazione</t>
  </si>
  <si>
    <t>Rented space</t>
  </si>
  <si>
    <t>Paketpostindex wechselkursbereinigt</t>
  </si>
  <si>
    <t>Indice du prix des colis corrigé du taux de change</t>
  </si>
  <si>
    <t>Indice della posta-pacchi rettificato in base al corso del cambio</t>
  </si>
  <si>
    <t>Parcel post index adjusted for exchange rate</t>
  </si>
  <si>
    <t>Schwefeloxide (SOx)</t>
  </si>
  <si>
    <t>Oxydes de soufre (SOx)</t>
  </si>
  <si>
    <t>Ossidi di zolfo (SOx)</t>
  </si>
  <si>
    <t>Sulphur oxides (SOx)</t>
  </si>
  <si>
    <t>Paketpostindex kaufkraftbereinigt</t>
  </si>
  <si>
    <t>Indice du prix des colis en parité de pouvoir d'achat</t>
  </si>
  <si>
    <t>Indice della posta-pacchi rettificato in base al potere d'acquisto</t>
  </si>
  <si>
    <t>Parcel post index adjusted for purchasing power</t>
  </si>
  <si>
    <t>Nicht-Methan Kohlenwasserstoffe (NMVOC)</t>
  </si>
  <si>
    <t>Hydrocarbures non méthaniques (HCNM)</t>
  </si>
  <si>
    <t>Idrocarburi non metanici (NMHC)</t>
  </si>
  <si>
    <t>Non-methane hydrocarbons (NMVOC)</t>
  </si>
  <si>
    <t>Anlagewert</t>
  </si>
  <si>
    <t>Valeur d'investissement</t>
  </si>
  <si>
    <t>Valore d'investimento</t>
  </si>
  <si>
    <t>Investment value</t>
  </si>
  <si>
    <t>Österreich</t>
  </si>
  <si>
    <t>Autriche</t>
  </si>
  <si>
    <t>Austria</t>
  </si>
  <si>
    <t>Feinstaub (PM10)</t>
  </si>
  <si>
    <t>Matières particulaires (PM10)</t>
  </si>
  <si>
    <t>Particolato (PM10)</t>
  </si>
  <si>
    <t>Particulate matter (PM10)</t>
  </si>
  <si>
    <t>Mietertrag intern</t>
  </si>
  <si>
    <t>Produits locatifs internes</t>
  </si>
  <si>
    <t>Reddito da locazioni interno</t>
  </si>
  <si>
    <t>Rental income – internal</t>
  </si>
  <si>
    <t>Belgien</t>
  </si>
  <si>
    <t>Belgique</t>
  </si>
  <si>
    <t>Belgio</t>
  </si>
  <si>
    <t>Belgium</t>
  </si>
  <si>
    <t>Mietertrag extern</t>
  </si>
  <si>
    <t>Produits locatifs externes</t>
  </si>
  <si>
    <t>Reddito da locazioni esterno</t>
  </si>
  <si>
    <t>Rental income – external</t>
  </si>
  <si>
    <t>Investitionsvolumen</t>
  </si>
  <si>
    <t>Volume d'investissements</t>
  </si>
  <si>
    <t>Volume investimenti</t>
  </si>
  <si>
    <t>Investment volume</t>
  </si>
  <si>
    <t>Unterhaltsvolumen</t>
  </si>
  <si>
    <t>Volume d'entretien</t>
  </si>
  <si>
    <t>Volume manutenzioni</t>
  </si>
  <si>
    <t>Maintenance volume</t>
  </si>
  <si>
    <t>Dänemark</t>
  </si>
  <si>
    <t>Danemark</t>
  </si>
  <si>
    <t>Danimarca</t>
  </si>
  <si>
    <t>Denmark</t>
  </si>
  <si>
    <t>Laufende Projekte</t>
  </si>
  <si>
    <t>Projets en cours</t>
  </si>
  <si>
    <t>Progetti in corso</t>
  </si>
  <si>
    <t>Current projects</t>
  </si>
  <si>
    <t xml:space="preserve">Kontakte User Help Desk </t>
  </si>
  <si>
    <t xml:space="preserve">Contacts User Help Desk </t>
  </si>
  <si>
    <t xml:space="preserve">Contatti User Help Desk </t>
  </si>
  <si>
    <t xml:space="preserve">Contacts on User Help Desk </t>
  </si>
  <si>
    <t>Finnland</t>
  </si>
  <si>
    <t>Finlande</t>
  </si>
  <si>
    <t>Finlandia</t>
  </si>
  <si>
    <t>Finland</t>
  </si>
  <si>
    <t>Betreute Geräte</t>
  </si>
  <si>
    <t>Appareils gérés</t>
  </si>
  <si>
    <t>Apparecchi sotto assistenza</t>
  </si>
  <si>
    <t>Monitored items of equipment</t>
  </si>
  <si>
    <t>Anzahl verschiedene Anwendungen</t>
  </si>
  <si>
    <t>Nombre d'applications différentes</t>
  </si>
  <si>
    <t>Numero di applicazioni diverse</t>
  </si>
  <si>
    <t>Number of different applications</t>
  </si>
  <si>
    <t>Grossbritanien</t>
  </si>
  <si>
    <t>Royaume-Uni</t>
  </si>
  <si>
    <t>Gran Bretagna</t>
  </si>
  <si>
    <t>United Kingdom</t>
  </si>
  <si>
    <t>Datensicherungsmenge pro Jahr</t>
  </si>
  <si>
    <t>Volume de données sauvegardées par année</t>
  </si>
  <si>
    <t>Numero di dati salvati all'anno</t>
  </si>
  <si>
    <t>Volume of data saved per year</t>
  </si>
  <si>
    <t>Irland</t>
  </si>
  <si>
    <t>Irlande</t>
  </si>
  <si>
    <t>Irlanda</t>
  </si>
  <si>
    <t>Ireland</t>
  </si>
  <si>
    <t>Erstlösungsrate</t>
  </si>
  <si>
    <t>Taux de résolution à la 1re intervention</t>
  </si>
  <si>
    <t>Tasso di risoluzione immediata</t>
  </si>
  <si>
    <t>First-level resolution rate</t>
  </si>
  <si>
    <t>Supporteinsätze</t>
  </si>
  <si>
    <t>Assistance</t>
  </si>
  <si>
    <t>Missioni di supporto</t>
  </si>
  <si>
    <t>Support calls</t>
  </si>
  <si>
    <t>Niederlande</t>
  </si>
  <si>
    <t>Pays-Bas</t>
  </si>
  <si>
    <t>Paesi Bassi</t>
  </si>
  <si>
    <t>Netherlands</t>
  </si>
  <si>
    <t>Fondsvolumen</t>
  </si>
  <si>
    <t>Volume de fonds</t>
  </si>
  <si>
    <t>Volume dei fondi</t>
  </si>
  <si>
    <t>Fund volumes</t>
  </si>
  <si>
    <t>Norwegen</t>
  </si>
  <si>
    <t>Norvège</t>
  </si>
  <si>
    <t>Norvegia</t>
  </si>
  <si>
    <t>Norway</t>
  </si>
  <si>
    <t>Weitere Paketprodukte</t>
  </si>
  <si>
    <t>Autres produits colis</t>
  </si>
  <si>
    <t>Altri prodotti posta-pacchi</t>
  </si>
  <si>
    <t>Other parcel products</t>
  </si>
  <si>
    <t>Swiss Express Privatkunden</t>
  </si>
  <si>
    <t>Swiss-Express Clientèle privée</t>
  </si>
  <si>
    <t>Clienti privati Swiss-Express</t>
  </si>
  <si>
    <t>Swiss-Express private customers</t>
  </si>
  <si>
    <t>Schweden</t>
  </si>
  <si>
    <t>Suède</t>
  </si>
  <si>
    <t>Svezia</t>
  </si>
  <si>
    <t>Sweden</t>
  </si>
  <si>
    <t xml:space="preserve">1) Erneuerbarer Strom ist für Treibhausgasbilanz mit Schweizer Absatzmix bilanziert. «naturemade star»-zertifizierter Strom ist klimaneutral bilanziert. </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</si>
  <si>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</si>
  <si>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</si>
  <si>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 xml:space="preserve">1) Renewable electricity is reported with Swiss sales mix for greenhouse gas performance. “Naturemade star” certified electricity is reported as carbon-neutral. </t>
  </si>
  <si>
    <t>Einzahlungs- und Überweisungsvolumen</t>
  </si>
  <si>
    <t>Volume des versements et des virements</t>
  </si>
  <si>
    <t>Volume di versamenti e bonifici</t>
  </si>
  <si>
    <t>Inpayments and transfers</t>
  </si>
  <si>
    <t>1) In Übereinstimmung mit dem Segmentausweis im Finanzbericht, d.h. Ausland = inkl. grenzüberschreitendem Verkehr</t>
  </si>
  <si>
    <t>1) En adéquation avec le segment 2 dans le rapport financier: l'étranger inclut le trafic transfrontalier.</t>
  </si>
  <si>
    <t>1) In conformità con il prospetto per segmento nel rapporto finanziario, quindi estero = incl. traffico transfrontaliero</t>
  </si>
  <si>
    <t>1) In accordance with the segment disclosure in the Financial Report, i.e. abroad = including cross-border traffic.</t>
  </si>
  <si>
    <t>1) Entschädigung Verwaltungsrat = Honorar plus Nebenleistungen,  Entschädigung Konzernleitung = Grundlohn plus variable Entlöhnung</t>
  </si>
  <si>
    <t>1) Indemnités du Conseil d'administration = honoraires plus prestations accessoires; indemnités de la Direction du groupe = salaire de base plus part variable.</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</si>
  <si>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</si>
  <si>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</si>
  <si>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1) Standards, Methoden und Umrechnungsfaktoren: GHG Protocol, Revised Edition (2004). Die Umrechnungsfaktoren stammen aus ecoinvent 2.2.</t>
  </si>
  <si>
    <t>1) Normes, méthodes et coefficients de conversion: protocole GHG, Revised Edition (2004). Les coefficients de conversion sont tirés d'ecoinvent 2.2.</t>
  </si>
  <si>
    <t>1) Standard, metodi e fattori di conversione: GHG Protocol, Revised Edition (2004). I fattori di conversione provengono da ecoinvent 2.2.</t>
  </si>
  <si>
    <t>1) Standards, methods and conversion factors: GHG Protocol, Revised Edition (2004). The conversion factors are taken from ecoinvent 2.2.</t>
  </si>
  <si>
    <t>2) Standards, Methoden und Emissionsfaktoren: GHG Protocol, Revised Edition (2004), ISO 14064–1. Als Konsolidierungsansatz wurde der Financial Control Approach gewählt. Die Emissionsfaktoren stammen aus ecoinvent 2.2.</t>
  </si>
  <si>
    <t>2) Normes, méthodes et coefficients d'émission: protocole GHG, Revised Edition (2004), ISO 14064–1. L'approche du contrôle financier (Financial Control Approach) a été choisie comme approche de consolidation. Les coefficients d'émission sont tirés d'ecoinvent 2.2.</t>
  </si>
  <si>
    <t>2) Standard, metodi e fattori di emissione: GHG Protocol, Revised Edition (2004), ISO 14064–1 Per il consolidamento è stato seguito il Financial Control Approach. I fattori di conversione provengono da ecoinvent 2.2.</t>
  </si>
  <si>
    <t>2) Standards, methods and emission factors: GHG Protocol, Revised Edition (2004), ISO 14064–1. The Financial Control Approach was chosen as the consolidation approach. The emission factors are taken from ecoinvent 2.2.</t>
  </si>
  <si>
    <t>1) ohne Lernpersonal</t>
  </si>
  <si>
    <t>1) Sans les apprentis</t>
  </si>
  <si>
    <t>1) Escluso il personale in formazione</t>
  </si>
  <si>
    <t>1) Excluding trainees</t>
  </si>
  <si>
    <t>1) Eine Personaleinheit entspricht einer Vollzeitstelle.</t>
  </si>
  <si>
    <t>1) Une unité de personnel correspond à un poste à plein temps.</t>
  </si>
  <si>
    <t>1) Un'unità di personale corrisponde a un impiego a tempo pieno.</t>
  </si>
  <si>
    <t>1) A full-time equivalent equates to one full-time position.</t>
  </si>
  <si>
    <t>1) Konzern Schweiz: Daten aus dem Personalsystem, aktuell ohne Daten zu 1033 Personaleinheiten bzw. 5835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</si>
  <si>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1)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et notime Schweiz AG</t>
  </si>
  <si>
    <t>1)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</si>
  <si>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1)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t>
  </si>
  <si>
    <t>1) Jahresdurchschnittswerte</t>
  </si>
  <si>
    <t>1) Valeurs annuelles moyennes</t>
  </si>
  <si>
    <t>1) Valori medi annuali</t>
  </si>
  <si>
    <t>1) Annual averages</t>
  </si>
  <si>
    <t>Überweisungen E-Finance (elektronischer Kanal)</t>
  </si>
  <si>
    <t>Virements e-finance (canal électronique)</t>
  </si>
  <si>
    <t>Bonifici e-finance (canale elettronico)</t>
  </si>
  <si>
    <t>E-finance transfers (electronic channel)</t>
  </si>
  <si>
    <t>2) Der reservierte Dienst ist die Dienstleistung der postalischen Grundversorgung, die ausschliesslich von der Schweizerischen Post angeboten wird und zu deren Erbringung die Post verpflichtet ist. Der reservierte Dienst entspricht dem Monopolbereich.</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</si>
  <si>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</si>
  <si>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</si>
  <si>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</si>
  <si>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2) ohne VR-Präsident</t>
  </si>
  <si>
    <t>2) sans le président/la présidente</t>
  </si>
  <si>
    <t>2) Presidente escluso</t>
  </si>
  <si>
    <t>2) excluding Chairman</t>
  </si>
  <si>
    <t>2) «naturemade star»-zertifizierter Ökostrom/Biogas</t>
  </si>
  <si>
    <t>2) Electricité verte / biogaz certifiés «naturemade star».</t>
  </si>
  <si>
    <t>2) Energia elettrica / ecologica certificata «naturemade star».</t>
  </si>
  <si>
    <t>2) “naturemade star” certified green power / biogas.</t>
  </si>
  <si>
    <t>3) Angepasste Werte für 2019: Sachdaten von im Zeitraum 2013–2019 akquirierten Konzerngesellschaften wurden rückwirkend für 2019 nacherfasst, da 2019 als Basisjahr für die Ziele 2024/2030 dient. Für die Jahre 2013 bis 2018 erfolgte keine Nacherfassung.</t>
  </si>
  <si>
    <t>3) Valeurs ajustées pour 2019: les données factuelles des sociétés du groupe acquises entre 2013 et 2019 ont été saisies ultérieurement avec effet rétroactif pour 2019, qui constitue en effet l’année de référence pour les objectifs 2024-2030. Aucune saisie n’est effectuée après coup pour les années 2013 à 2018.</t>
  </si>
  <si>
    <t>3)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t>
  </si>
  <si>
    <t>3) Adjusted figures for 2019: data for subsidiaries acquired in the period 2013 to 2019 have been entered retrospectively for 2019, as 2019 is being used as the base year for the 2024/2030 objectives. No retrospective entries were made for the years 2013 to 2018.</t>
  </si>
  <si>
    <t>2) Gesamtaustrittsrate = Personen im Monatslohn, die die Post innerhalb eines Kalenderjahres insgesamt verlassen haben, ausgedrückt in % des durchschnittlichen Personalbestandes</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</si>
  <si>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</si>
  <si>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</si>
  <si>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Overall departure rate = total number of persons on a monthly salary who leave Swiss Post within a period of one calendar year, expressed as % of average headcount.</t>
  </si>
  <si>
    <t>2) Konzern Schweiz: Daten aus dem Personalsystem, aktuell ohne Daten zu 1033 Personaleinheiten bzw. 5835 Personen der Konzerngesellschaften Botec Boncourt S.A., BLUESPED LOGISTICS Sàrl, Epsilon SA, Direct Mail Company AG, Direct Mail Logistik AG, Direct Mail Biel-Bienne AG, PubliBike AG, DESTINAS AG, KLARA Business AG, Relatra AG, BPS Speditions-Service AG, Arlesheim, BPS Speditions-Service AG, Pfungen, Walli-Trans AG, ASMIQ AG, notime AG und notime (Schweiz) AG.</t>
  </si>
  <si>
    <t>2)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et notime (Schweiz) AG.</t>
  </si>
  <si>
    <t>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t>
  </si>
  <si>
    <t>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t>
  </si>
  <si>
    <t>2) Jahresdurchschnittswerte</t>
  </si>
  <si>
    <t>2) Valeurs annuelles moyennes</t>
  </si>
  <si>
    <t>2) Valori medi annuali</t>
  </si>
  <si>
    <t>2) Annual averages</t>
  </si>
  <si>
    <t>2)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KLARA Business SA, Relatra AG, BPS Speditions-Service AG, Arlesheim, BPS Speditions-Service AG, Pfungen, Walli-Trans AG, ASMIQ AG, notime AG et notime (Schweiz) AG.</t>
  </si>
  <si>
    <t>Überweisungen EFT/POS (Handel, PST, Agenturen)</t>
  </si>
  <si>
    <t>Virements EFT/POS (commerces, offices de poste, agences)</t>
  </si>
  <si>
    <t>Bonifici EFT/POS (negozi, uffici postali e agenzie)</t>
  </si>
  <si>
    <t>EFT/POS transfers (retail, post offices, agencies)</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</si>
  <si>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</si>
  <si>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</si>
  <si>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</si>
  <si>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</si>
  <si>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</si>
  <si>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</si>
  <si>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</si>
  <si>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</si>
  <si>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3) «naturemade basic»-zertifizierter Strom aus erneuerbaren Energien</t>
  </si>
  <si>
    <t>3) Electricité certifiée «naturemade basic» provenant d'énergies renouvelables.</t>
  </si>
  <si>
    <t>3) Energia elettrica ecologica certificata «naturemade basic» da energie rinnovabili.</t>
  </si>
  <si>
    <t>3) “naturemade basic” certified power from renewable energy.</t>
  </si>
  <si>
    <t>3) Konzern Schweiz: Daten aus dem Personalsystem, aktuell ohne Daten zu 1033 Personaleinheiten bzw. 5835 Personen der Konzerngesellschaften Botec Boncourt S.A., BLUESPED LOGISTICS Sàrl, Epsilon SA, Direct Mail Company AG, Direct Mail Logistik AG, Direct Mail Biel-Bienne AG, PubliBike AG, DESTINAS AG, KLARA Business AG, Relatra AG, BPS Speditions-Service AG, Arlesheim, BPS Speditions-Service AG, Pfungen, Walli-Trans AG, ASMIQ AG, notime AG und notime (Schweiz) AG.</t>
  </si>
  <si>
    <t>3)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et notime (Schweiz) AG.</t>
  </si>
  <si>
    <t>3)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t>
  </si>
  <si>
    <t>3)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t>
  </si>
  <si>
    <t>3) ohne Lernpersonal</t>
  </si>
  <si>
    <t>3) Sans les apprentis</t>
  </si>
  <si>
    <t>3) Escluso il personale in formazione</t>
  </si>
  <si>
    <t>3) excluding trainees</t>
  </si>
  <si>
    <t>3) Eine Personaleinheit entspricht einer Vollzeitstelle</t>
  </si>
  <si>
    <t>3) Une unité de personnel correspond à un poste à plein temps.</t>
  </si>
  <si>
    <t>3) Un’unità di personale corrisponde a un impiego a tempo pieno</t>
  </si>
  <si>
    <t>3) One person corresponds to a full-time equivalent.</t>
  </si>
  <si>
    <t>3) Kader sind Mitarbeitende mit Leitungs-, Spezialisten- und höheren Sachbearbeitungsfunktionen.</t>
  </si>
  <si>
    <t>3) Les cadres sont des collaborateurs qui exercent des fonctions de direction ou de spécialistes ou d'autres fonctions supérieures.</t>
  </si>
  <si>
    <t>3) I quadri sono collaboratori con funzioni direttive, specialistiche o altamente qualificate.</t>
  </si>
  <si>
    <t>3) Members of management are employees with managerial, specialist and higher-level technical/clerical roles.</t>
  </si>
  <si>
    <t>Überweisungen Papier</t>
  </si>
  <si>
    <t>Virements papier</t>
  </si>
  <si>
    <t>Bonifici su carta</t>
  </si>
  <si>
    <t>Paper transfers</t>
  </si>
  <si>
    <t>4) ab 01.01.2016 wurde die Produkteverantwortung für Privatkunden-Produkte von PostNetz an PostMail und PostLogistics übergeben. PostNetz weist deshalb keinen Betriebsertrag reservierte Dienste mehr aus; er findet sich ausschliesslich im Betriebsertrag von PostMail wieder.</t>
  </si>
  <si>
    <t>4) La responsabilité des produits pour particuliers a été transférée de RéseauPostal à PostMail et à PostLogistics avec effet au 1er janvier 2016. RéseauPostal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</si>
  <si>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RetePostale a PostMail e PostLogistics. Di conseguenza RetePostale non presenta più la voce «Ricavi d'esercizio servizi riservati», che si trova esclusivamente nei ricavi d'esercizio di PostMail.</t>
  </si>
  <si>
    <t>4) Product responsibility for products aimed at private customers was transferred from PostalNetwork to PostLogistics and PostMail on 1 January 2016. PostalNetwork therefore no longer discloses any operating income from reserved services, which is recognized exclusively in operating income from PostMail.</t>
  </si>
  <si>
    <t>4) ohne Konzernleiter/-in</t>
  </si>
  <si>
    <t>4) sans le directeur général/la directrice générale</t>
  </si>
  <si>
    <t>4) direttore/direttrice escluso/a</t>
  </si>
  <si>
    <t>4) excluding CEO</t>
  </si>
  <si>
    <t>4) Wärmestrom ist im Gebäudestrom enthalten</t>
  </si>
  <si>
    <t>4) L'électricité thermique est comprise dans l'électricité des bâtiments.</t>
  </si>
  <si>
    <t>4) Il flusso termico è contenuto nella corrente dell'edificio.</t>
  </si>
  <si>
    <t>4) Electricity for heating is included in building electricity.</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</si>
  <si>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</si>
  <si>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</si>
  <si>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La quantità di CO2 compensata varia a seconda del prezzo di mercato dei certificati d'emissione. I supplementi «pro clima» pagati dai clienti vengono interamente investiti in progetti di compensazione. </t>
  </si>
  <si>
    <t xml:space="preserve">1) The CO2 offset volume varies with the price of CO2 certificates on the market. All “pro clima” surcharges to customers are invested in carbon offset projects. </t>
  </si>
  <si>
    <t>4) Anpassung Wert 2018 aufgrund nachträglicher Mutationen</t>
  </si>
  <si>
    <t>4) Ajustement de la valeur 2018 en raison de mutations ultérieures</t>
  </si>
  <si>
    <t>4) Adeguamento del valore 2018 a seguito di mutazioni successive</t>
  </si>
  <si>
    <t>4) Adjustment to the 2018 figure due to subsequent changes</t>
  </si>
  <si>
    <t>4) Ab dem Jahr 2012 besteht Swiss Post International nicht mehr als eigenständiges Segment. Die Werte wurden ab dem 1. Januar 2012 auf die Geschäftsbereiche PostMail und PostLogistics überführt.</t>
  </si>
  <si>
    <t>4) Depuis 2012, Swiss Post International ne constitue plus un segment autonome. Les valeurs la concernant ont été répercutées sur les unités d'affaires PostMail et PostLogistics à partir du 1er janvier 2012.</t>
  </si>
  <si>
    <t>4) Dall'anno 2012 Swiss Post International non è più un segmento a sé stante. Dal 1o gennaio 2012 i valori sono stati trasferiti alle unità PostMail e PostLogistics.</t>
  </si>
  <si>
    <t>4) As of 2012, Swiss Post International no longer exists as an independent segment. The figures were transferred to the Group units PostMail and PostLogistics on 1 January 2012.</t>
  </si>
  <si>
    <t>4) Anpassung Wert 2018 aufgrund Änderung der Berechnungsmethode</t>
  </si>
  <si>
    <t>4) Ajustement de la valeur 2018 en raison de changement de la méthode de calcul</t>
  </si>
  <si>
    <t>4) Adeguamento del valore 2018 a seguito della modifica del metodo di calcolo</t>
  </si>
  <si>
    <t>4) Adjustment of the 2018 figure due to a change in the calculation method</t>
  </si>
  <si>
    <t>Überweisungen Diverse</t>
  </si>
  <si>
    <t>Virements divers</t>
  </si>
  <si>
    <t>Bonifici (altro)</t>
  </si>
  <si>
    <t>Miscellaneous transfers</t>
  </si>
  <si>
    <t>5) Im Jahr 2007 wurden Konzerngesellschaften der Segmente PostMail (DocumentServices AG, SwissSign AG) und PostLogistics (yellowworld AG) neu dem Segment Swiss Post Solutions zugeordnet.</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</si>
  <si>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</si>
  <si>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</si>
  <si>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</si>
  <si>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5)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</si>
  <si>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5)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</si>
  <si>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5)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</si>
  <si>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5)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</si>
  <si>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4) Angepasste Werte für 2019: Sachdaten von im Zeitraum 2013–2019 akquirierten Konzerngesellschaften wurden rückwirkend für 2019 nacherfasst, da 2019 als Basisjahr für die Ziele 2024/2030 dient. Für die Jahre 2013 bis 2018 erfolgte keine Nacherfassung.</t>
  </si>
  <si>
    <t>4) Valeurs ajustées pour 2019: les données factuelles des sociétés du groupe acquises entre 2013 et 2019 ont été saisies ultérieurement avec effet rétroactif pour 2019, qui constitue en effet l’année de référence pour les objectifs 2024-2030. Aucune saisie n’est effectuée après coup pour les années 2013 à 2018.</t>
  </si>
  <si>
    <t>4)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t>
  </si>
  <si>
    <t>4) Adjusted figures for 2019: data for subsidiaries acquired in the period 2013 to 2019 have been entered retrospectively for 2019, as 2019 is being used as the base year for the 2024/2030 objectives. No retrospective entries were made for the years 2013 to 2018.</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</si>
  <si>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</si>
  <si>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</si>
  <si>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</si>
  <si>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</si>
  <si>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5) Der Konzernbereich Swiss Post Solutions existiert erst seit dem 1. Oktober 2007, weshalb für die Vorjahre keine Werte ausgewiesen werden können.</t>
  </si>
  <si>
    <t>5) L'unité du groupe Swiss Post Solutions n'existant que depuis le 1er octobre 2007, aucune valeur ne peut être présentée pour les années précédentes.</t>
  </si>
  <si>
    <t>5) Poiché l'unità del gruppo Swiss Post Solutions esiste solo dal 1o ottobre 2007, non è possibile indicare nessun valore per gli anni precedenti.</t>
  </si>
  <si>
    <t>5) The Swiss Post Solutions Group unit has only existed since 1 October 2007, which is why no figures are reported for the preceding years.</t>
  </si>
  <si>
    <t>5) Wert 2018 angepasst</t>
  </si>
  <si>
    <t>5) Valeur 2018 ajustée</t>
  </si>
  <si>
    <t>5) Valore 2018 adattato</t>
  </si>
  <si>
    <t>5) 2018 figure adjusted</t>
  </si>
  <si>
    <t>Einzahlungen</t>
  </si>
  <si>
    <t>Versamenti</t>
  </si>
  <si>
    <t>Inpayments</t>
  </si>
  <si>
    <t>6) normaliserte Werte 2017, 2015 und 2013</t>
  </si>
  <si>
    <t>6) Valeurs normalisées 2017, 2015 et 2013</t>
  </si>
  <si>
    <t>6) Valori 2017, 2015 e 2013 normalizzati.</t>
  </si>
  <si>
    <t>6) Normalized figures for 2017, 2015 and 2013.</t>
  </si>
  <si>
    <t>6) Durchschnittslohn ohne Konzernleitung, Verwaltungsrat und Lernpersonal</t>
  </si>
  <si>
    <t>6) Salaire moyen sans Direction du groupe, Conseil d'administration et apprentis</t>
  </si>
  <si>
    <t>6) Salario medio senza Direzione del gruppo, Consiglio di amministrazione e personale in formazione.</t>
  </si>
  <si>
    <t>6) Average salary excluding Executive Management, the Board of Directors and trainees.</t>
  </si>
  <si>
    <t>6) Die Kosten sind mit Durchschnittskosten pro Fall berechnet. Anzahl Berufsunfälle und Anzahl Bagatell-Unfälle multipliziert mit den durchschnittlichen Unfallkosten gemäss Berechnungen SUVA.</t>
  </si>
  <si>
    <t>6) Les coûts sont calculés à l'aide des coûts moyens par cas. Nombre d'accidents professionnels et nombre d'accidents-bagatelle, multipliés par les coûts moyens liés aux accidents selon calculs de la SUVA.</t>
  </si>
  <si>
    <t>6) Le spese sono calcolate sulla base dei costi medi per caso. Numero degli infortuni professionali e degli infortuni minori moltiplicato per i costi medi degli infortuni secondo i calcoli della SUVA.</t>
  </si>
  <si>
    <t>6) Costs are calculated based on the average costs per case. Number of occupational accidents and number of minor accidents multiplied by the average accident costs as per SUVA calculations.</t>
  </si>
  <si>
    <t>6) Konzern Schweiz mit Lehrvertrag Berufsbildung Post</t>
  </si>
  <si>
    <t>6) Groupe Suisse avec contrat d'apprentissage Formation professionnelle Poste</t>
  </si>
  <si>
    <t>6) Gruppo Svizzera contratto di tirocinio Formazione professionale Posta</t>
  </si>
  <si>
    <t>6) Switzerland Group with Swiss Post vocational training contract</t>
  </si>
  <si>
    <t>Summe</t>
  </si>
  <si>
    <t>Montant</t>
  </si>
  <si>
    <t>Totale</t>
  </si>
  <si>
    <t>Total</t>
  </si>
  <si>
    <t>7) Vorjahreswerte teilweise angepasst.</t>
  </si>
  <si>
    <t>7) Valeurs de l'exercice précédent partiellement adaptées.</t>
  </si>
  <si>
    <t>7) Valori dell'anno precedente in parte adattati.</t>
  </si>
  <si>
    <t>7) Previous year figures partly adjusted.</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</si>
  <si>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</si>
  <si>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</si>
  <si>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</si>
  <si>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</si>
  <si>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7)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</si>
  <si>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</si>
  <si>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7)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</si>
  <si>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</si>
  <si>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Anteil übernommene Lernende, die eine Anstellung wünschen</t>
  </si>
  <si>
    <t>7) Part des apprentis repris qui souhaitent être embauchés</t>
  </si>
  <si>
    <t>7) Percentuale di apprendisti ripresi che desiderano essere assunti.</t>
  </si>
  <si>
    <t>7) Percentage of trainees taken on who wish to be employed by the company</t>
  </si>
  <si>
    <t>Auszahlungsvolumen</t>
  </si>
  <si>
    <t>Volume des paiements</t>
  </si>
  <si>
    <t>Volume di pagamenti</t>
  </si>
  <si>
    <t>Outpayments</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</si>
  <si>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</si>
  <si>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</si>
  <si>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</si>
  <si>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</si>
  <si>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1) Angepasste Werte für 2019: Sachdaten von im Zeitraum 2013–2019 akquirierten Konzerngesellschaften wurden rückwirkend für 2019 nacherfasst, da 2019 als Basisjahr für die Ziele 2024/2030 dient. Für die Jahre 2013 bis 2018 erfolgte keine Nacherfassung.</t>
  </si>
  <si>
    <t>1) Valeurs ajustées pour 2019: les données factuelles des sociétés du groupe acquises entre 2013 et 2019 ont été saisies ultérieurement avec effet rétroactif pour 2019, qui constitue en effet l’année de référence pour les objectifs 2024-2030. Aucune saisie n’est effectuée après coup pour les années 2013 à 2018.</t>
  </si>
  <si>
    <t>1)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t>
  </si>
  <si>
    <t>1) Adjusted figures for 2019: data for subsidiaries acquired in the period 2013 to 2019 have been entered retrospectively for 2019, as 2019 is being used as the base year for the 2024/2030 objectives. No retrospective entries were made for the years 2013 to 2018.</t>
  </si>
  <si>
    <t>8) Ab 1.1.2016 ist die Personalkommission aufgehoben.</t>
  </si>
  <si>
    <t>8) La commission du personnel a été supprimée avec effet au 1er janvier 2016.</t>
  </si>
  <si>
    <t>8) La commissione del personale è stata soppressa a decorrere dal 1o gennaio 2016.</t>
  </si>
  <si>
    <t>8) The staff committee no longer exists as of 1 January 2016.</t>
  </si>
  <si>
    <t>8) Verschiebung der Funktion "Praxisintegriertes Bachelor-Studium" von Kaufm. Praktikum zu Informatiker/in ab 2020.</t>
  </si>
  <si>
    <t>8) Déplacement de la fonction «Parcours de bachelor intégré à la pratique» du stage commercial pratique vers le profil d’informaticien/informaticienne à compter de 2020.</t>
  </si>
  <si>
    <t>8) Spostamento della funzione «Bachelor con integrazione pratica» dallo stage pratico di commercio a informatica/o dal 2020.</t>
  </si>
  <si>
    <t>8) The function “Bachelor’s degree with integrated practical training” has been moved from the commercial employee apprenticeship to IT specialist from 2020.</t>
  </si>
  <si>
    <t>Bezüge am Postomat (ohne Bancomat)</t>
  </si>
  <si>
    <t>Retraits au Postomat (sans Bancomat)</t>
  </si>
  <si>
    <t>Prelievi al Postomat (Bancomat escluso)</t>
  </si>
  <si>
    <t>Withdrawals at Postomats (excl. Bancomats)</t>
  </si>
  <si>
    <t>9) 2017 und 2018: Über die Freigabe (Anspruch und Bemessung) des Leistungsanteils der Konzernleiterin und des ehemaligen Leiter PostAuto wird erst nach Abschluss der Untersuchungen zu den Verletzungen des Subventionsrechts in der Sparte des regionalen Personenverkehrs entschieden.»</t>
  </si>
  <si>
    <t>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t>
  </si>
  <si>
    <t>9) 2017 e 2018: la decisione (diritto e calcolo dell’importo) circa la componente legata al rendimento della direttrice generale e dell’ex responsabile AutoPostale verrà assunta solo al termine delle indagini sulle violazioni del diritto alle sovvenzioni nell’ambito del traffico regionale viaggiatori.</t>
  </si>
  <si>
    <t>9) 2017 and 2018: A decision regarding the approval (entitlement and calculation) of the performance-related component for the former CEO and the former Head of PostBus will not be reached until the investigations into the subsidy law breaches in the regional passenger transport segment have been completed.</t>
  </si>
  <si>
    <t>Auszahlungen in Poststellen/Agenturen</t>
  </si>
  <si>
    <t>Paiements dans les offices de poste/agences</t>
  </si>
  <si>
    <t>Pagamenti presso uffici postali / agenzie</t>
  </si>
  <si>
    <t>Outpayments at post offices/agencies</t>
  </si>
  <si>
    <t>ASR, ASR+, AS</t>
  </si>
  <si>
    <t>BPR, BPR+, BP</t>
  </si>
  <si>
    <t>PPR, PPR+, PP</t>
  </si>
  <si>
    <t>OSR, OSR+, OS</t>
  </si>
  <si>
    <t>1) Deckung gemäss IFRS (siehe Finanzbericht)</t>
  </si>
  <si>
    <t>1) Couverture selon les normes IFRS (voir rapport financier)</t>
  </si>
  <si>
    <t>1) Copertura secondo gli IFRS (cfr. Rapporto finanziario)</t>
  </si>
  <si>
    <t>1) Coverage in accordance with IFRS (see Financial Report).</t>
  </si>
  <si>
    <t>Rechtzeitig beim Empfänger ankommende Briefe Inland</t>
  </si>
  <si>
    <t>Lettres domestiques distribués dans les délais au destinataire</t>
  </si>
  <si>
    <t>Consegna puntuale dei lettere domestici al destinatario</t>
  </si>
  <si>
    <t>Domestic letters delivered punctually to the recipient</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</si>
  <si>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</si>
  <si>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</si>
  <si>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</si>
  <si>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</si>
  <si>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1) Die Emissionszahlen sind mittels Emissionsfaktoren aus der Transportleistung bzw. dem Energieträgerverbrauch berechnet. Sie umfassen auch die Vorstufen der Energiebereitstellung.</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</si>
  <si>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</si>
  <si>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</si>
  <si>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1) The emissions figures are calculated using emissions factors from transport services and energy consumption. They also include the upstream stages of the energy provision process</t>
  </si>
  <si>
    <t>1) Umfasst Personen in Elternschaft aufgrund von Mutterschutz, Elternurlaub, Geburt, Mutterschaftsurlaub und Adoption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</si>
  <si>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</si>
  <si>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</si>
  <si>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</si>
  <si>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et notime Schweiz AG.</t>
  </si>
  <si>
    <t>1)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</si>
  <si>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Zahlungsanweisung</t>
  </si>
  <si>
    <t>Mandats de paiement</t>
  </si>
  <si>
    <t>Vaglia di pagamento</t>
  </si>
  <si>
    <t>Outpayment order</t>
  </si>
  <si>
    <t>2) Deckungsgrad gemäss. Art. 44 der Verordnung über die berufliche Alters-, Hinterlassenen- und Invalidenvorsorge (BVV2)</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</si>
  <si>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</si>
  <si>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</si>
  <si>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</si>
  <si>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A-Post</t>
  </si>
  <si>
    <t>Courrier A</t>
  </si>
  <si>
    <t>Posta A</t>
  </si>
  <si>
    <t>A Mail</t>
  </si>
  <si>
    <t>2) Die Post stellt sicher, dass ihr gesamter Strombedarf innerhalb der Post durch Energien aus erneuerbaren Quellen aus der Schweiz gedeckt ist. Wo sie keinen erneuerbaren Strom aus der Grundversorgung beschafft, kauft sie Herkunftsnachweise ein.</t>
  </si>
  <si>
    <t>2) La Poste s’assure de couvrir l’intégralité de ses besoins en ayant recours à des sources d’énergie renouvelables d’origine suisse. Là où elle ne se procure pas d’énergie renouvelable issue du service universel, elle achète des garanties d’origine.</t>
  </si>
  <si>
    <t>2) La Posta garantisce che l’intero fabbisogno di corrente all’interno della Posta è coperto da fonti energetiche rinnovabili svizzere. Qualora non acquisti energia rinnovabile dal regime di servizio universale, si procura garanzie di origine.</t>
  </si>
  <si>
    <t>2) Swiss Post ensures that its total energy consumption within the company is covered by renewable energy sources from Switzerland. Where it does not procure renewable energy from the main public supply, it purchases guarantees of origin.</t>
  </si>
  <si>
    <t xml:space="preserve">2) Standards, Methoden und Emissionsfaktoren: Emissionsfaktoren stammen aus HBEFA 3.1, Mobitool Version 2010, ecoinvent 2.2 und weiteren statistischen Quellen. </t>
  </si>
  <si>
    <t xml:space="preserve">2) Normes, méthodes et coefficients d'émission: les coefficients d'émission sont tirés de HBEFA 3.1, Mobitool Version 2010, ecoinvent 2.2 et d'autres sources statistiques. </t>
  </si>
  <si>
    <t xml:space="preserve">2) Standard, metodi e fattori di emissione: i fattori di emissione provengono da HBEFA 3.1, Mobitool Version 2010, ecoinvent 2.2 e altre fonti statistiche. </t>
  </si>
  <si>
    <t xml:space="preserve">2) Standards, methods and emission factors: Emission factors are taken from HBEFA 3.1, Mobitool version 2010, ecoinvent 2.2 and other statistical sources. </t>
  </si>
  <si>
    <t>Check</t>
  </si>
  <si>
    <t>Chèques</t>
  </si>
  <si>
    <t>Assegni</t>
  </si>
  <si>
    <t>Cheque</t>
  </si>
  <si>
    <t>3) 2020 Deckungsgrad ungeprüft</t>
  </si>
  <si>
    <t>3) Degré de couverture non vérifié en 2020</t>
  </si>
  <si>
    <t>3) Grado di copertura non verificato in 2020</t>
  </si>
  <si>
    <t>3) In 2020 level of cover unaudited.</t>
  </si>
  <si>
    <t>B-Post</t>
  </si>
  <si>
    <t>Courrier B</t>
  </si>
  <si>
    <t>Posta B</t>
  </si>
  <si>
    <t>B Mail</t>
  </si>
  <si>
    <t>3) Herkunftsnachweise des CNG-Verbrauchs im Geschäftsreiseverkehr und 10% der Wärmeerzeugung innerhalb der Post in der Schweiz.</t>
  </si>
  <si>
    <t>3) Garanties d’origine pour la consommation de GNC dans les déplacements professionnels et 10% de la production de chaleur au sein de la Poste en Suisse.</t>
  </si>
  <si>
    <t>3) Garanzie di origine del consumo di CNG per il traffico relativo ai viaggi di lavoro e del 10% della produzione di calore nell’ambito della Posta sul territorio svizzero.</t>
  </si>
  <si>
    <t>3) Guarantees of origin for CNG consumption in business travel and 10% of the heat production within Swiss Post in Switzerland.</t>
  </si>
  <si>
    <t>3)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t>
  </si>
  <si>
    <t>Baranweisung</t>
  </si>
  <si>
    <t>Mandats en espèces</t>
  </si>
  <si>
    <t>Vaglia postale</t>
  </si>
  <si>
    <t>Cash outpayment order</t>
  </si>
  <si>
    <t>Rechtzeitig beim Empfänger ankommende Pakete Inland</t>
  </si>
  <si>
    <t>Colis domestiques distribués dans les délais au destinataire</t>
  </si>
  <si>
    <t>Consegna puntuale dei pacchi domestici al destinatario</t>
  </si>
  <si>
    <t>Domestic parcels delivered punctually to the recipient</t>
  </si>
  <si>
    <t>4) 20% des Stromverbrauchs innerhalb der Post in der Schweiz stammt aus «naturemade star»-zertifizierter Ökostrom.</t>
  </si>
  <si>
    <t>4) 20% de la consommation électrique de la Poste en Suisse provient d’électricité écologique certifiée «naturemade star».</t>
  </si>
  <si>
    <t>4) Il 20% del consumo energetico all’interno della Posta sul territorio nazionale è alimentato con energia ecologica certificata «naturemade star».</t>
  </si>
  <si>
    <t>4) 20% of electricity consumption within Swiss Post in Switzerland comes from “naturemade star”-certified green power.</t>
  </si>
  <si>
    <t>PostPac Priority</t>
  </si>
  <si>
    <t>PostPac PRIORITY</t>
  </si>
  <si>
    <t>PostPac Economy</t>
  </si>
  <si>
    <t>PostPac ECONOMY</t>
  </si>
  <si>
    <t>Headcount at Swiss Post Group</t>
  </si>
  <si>
    <t>1) Wertschöpfung = Betriebsergebnis + Personalaufwand + Abschreibungen – Ergebnis aus Verkauf von Sachanlagen, immatriellen Anlagen und Beteiligungen</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</si>
  <si>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</si>
  <si>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</si>
  <si>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Value added = operating profit + personnel expenses + depreciation – gain/loss on the sale of tangible fixed assets, intangible assets and participations.</t>
  </si>
  <si>
    <t>Wartezeiten am Schalter bis zur Bedienung</t>
  </si>
  <si>
    <t>Temps d'attente au guichet</t>
  </si>
  <si>
    <t>Tempi di attesa allo sportello prima di essere serviti</t>
  </si>
  <si>
    <t>Waiting times at the counter until served</t>
  </si>
  <si>
    <t>1) Die Personalumfrage wurde per 2009 neu konzipiert. Die Resultate lassen sich mit den Vorjahren nicht vergleichen.</t>
  </si>
  <si>
    <t>1) L'enquête auprès du personnel a été remaniée en 2009. Les résultats ne peuvent donc pas être comparés avec ceux des années précédentes.</t>
  </si>
  <si>
    <t>1) Poiché il sondaggio del personale è stato completamente rielaborato nel 2009, non è possibile confrontare i risultati con quelli ottenuti negli anni precedenti.</t>
  </si>
  <si>
    <t>1) The employee survey was redesigned in 2009. The results cannot be compared with previous years.</t>
  </si>
  <si>
    <t>unbefristet</t>
  </si>
  <si>
    <t>permanent</t>
  </si>
  <si>
    <t>permanente</t>
  </si>
  <si>
    <t>2) Löhne, Gehälter, gesetzliche und freiwillige Sozialabgabe, Personalvorsorgeleistungen, Aus- und Weiterbildung</t>
  </si>
  <si>
    <t>2) Salaires, appointements, charges sociales légales et volontaires, prestations de prévoyance en faveur du personnel, formation et perfectionnement</t>
  </si>
  <si>
    <t>2) Salari, stipendi, oneri sociali legali e facoltativi, prestazioni previdenziali, formazione e perfezionamento.</t>
  </si>
  <si>
    <t>2) Wages, salaries, statutory and voluntary social security contributions, employee benefit payments, basic and advanced training.</t>
  </si>
  <si>
    <t>Anteil der Kundinnen und Kunden, die innerhalb 7 Minuten bedient werden</t>
  </si>
  <si>
    <t>Part de clients qui attendent moins de 7 minutes</t>
  </si>
  <si>
    <t>Percentuale dei clienti che attendono fino a 7 minuti</t>
  </si>
  <si>
    <t>Percentage of customers served within 7 minutes</t>
  </si>
  <si>
    <t>2) Die Dimension wurde erstmals in der Personalumfrage 2006 erfasst.</t>
  </si>
  <si>
    <t>2) Cette dimension a été relevée pour la première fois dans l'enquête auprès du personnel 2006.</t>
  </si>
  <si>
    <t>2) Questo aspetto è stato rilevato per la prima volta in occasione del sondaggio del personale 2006.</t>
  </si>
  <si>
    <t>2) These aspects were covered for the first time in the employee survey 2006.</t>
  </si>
  <si>
    <t>befristet</t>
  </si>
  <si>
    <t>temporaire</t>
  </si>
  <si>
    <t>temporaneo</t>
  </si>
  <si>
    <t xml:space="preserve">temporary </t>
  </si>
  <si>
    <t>3) Zinsen und ähnliche Aufwendungen</t>
  </si>
  <si>
    <t>3) Intérêts et charges similaires</t>
  </si>
  <si>
    <t>3) Interessi e altri oneri.</t>
  </si>
  <si>
    <t>3) Interest and similar expenses.</t>
  </si>
  <si>
    <t>Anteil der Kundinnen und Kunden, die innerhalb 10 Minuten bedient werden</t>
  </si>
  <si>
    <t>Part de clients qui attendent moins de 10 minutes</t>
  </si>
  <si>
    <t>Percentuale dei clienti che attendono fino a 10 minuti</t>
  </si>
  <si>
    <t>Percentage of customers served within 10 minutes</t>
  </si>
  <si>
    <t>3) Der Konzernbereich Swiss Post Solutions existiert erst seit dem 1. Oktober 2007, weshalb für die Vorjahre keine Werte ausgewiesen werden können.</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</si>
  <si>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</si>
  <si>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</si>
  <si>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3) The Swiss Post Solutions Group unit has only existed since 1 October 2007, which is why no figures are reported for the preceding years.</t>
  </si>
  <si>
    <t>4) Ertragssteuern</t>
  </si>
  <si>
    <t>4) Impôts sur le bénéfice</t>
  </si>
  <si>
    <t>4) Imposte sull'utile.</t>
  </si>
  <si>
    <t>4) Income taxes.</t>
  </si>
  <si>
    <t>4) Die Personalumfrage im Jahr 2020 überarbeitet. Folglich sind die Resultate ab 2020 nicht mehr mit den Vorjahren vergleichbar.</t>
  </si>
  <si>
    <t>4) Le sondage du personnel a été remanié en 2020. Dès lors, les résultats ne peuvent donc plus être comparés à ceux des années précédentes.</t>
  </si>
  <si>
    <t>4) Nel 2020 il sondaggio del personale è stato rielaborato. Di conseguenza a partire dal 2020 i risultati non sono più confrontabili con quelli degli anni precedenti.</t>
  </si>
  <si>
    <t>4) The employee survey was restructured in 2020. This means the results from 2020 are no longer comparable with previous years.</t>
  </si>
  <si>
    <t>Anteil Ausland</t>
  </si>
  <si>
    <t>Part à l'étranger</t>
  </si>
  <si>
    <t>Quota all' estero</t>
  </si>
  <si>
    <t>Share abroad</t>
  </si>
  <si>
    <t>5) Gewinnabführung an den Bund</t>
  </si>
  <si>
    <t>5) Versement du bénéfice à la Confédération</t>
  </si>
  <si>
    <t>5) Versamento dell'utile alla Confederazione.</t>
  </si>
  <si>
    <t>5) Profit transferred to the Confederation.</t>
  </si>
  <si>
    <t>5) Werte wurden mit der Überarbeitung der Personalumfrage im Jahr 2020 nicht mehr erhoben.</t>
  </si>
  <si>
    <t>5) Suite au remaniement du sondage du personnel en 2020, ces valeurs n’ont pas été relevées.</t>
  </si>
  <si>
    <t>5) Valori non più rilevati con la rielaborazione del sondaggio del personale nel 2020.</t>
  </si>
  <si>
    <t>5) Figures are no longer recorded due to the restructuring of the employee survey in 2020.</t>
  </si>
  <si>
    <t>Logistik und Produktion</t>
  </si>
  <si>
    <t>Logistique et Production</t>
  </si>
  <si>
    <t>Logistica e produzione</t>
  </si>
  <si>
    <t>Logistics and production</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</si>
  <si>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</si>
  <si>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</si>
  <si>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«Altri»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</si>
  <si>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</si>
  <si>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Zustellung</t>
  </si>
  <si>
    <t>Distribution</t>
  </si>
  <si>
    <t>Recapito</t>
  </si>
  <si>
    <t>Delivery</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</si>
  <si>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</si>
  <si>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</si>
  <si>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</si>
  <si>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</si>
  <si>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Sortierung</t>
  </si>
  <si>
    <t>Tri</t>
  </si>
  <si>
    <t>Spartizione</t>
  </si>
  <si>
    <t>Sorting</t>
  </si>
  <si>
    <t>8) normaliserte Werte 2017, 2015 und 2013</t>
  </si>
  <si>
    <t>8) Valeurs normalisées 2017, 2015 et 2013</t>
  </si>
  <si>
    <t>8) Valori 2017, 2015 e 2013 normalizzati.</t>
  </si>
  <si>
    <t>8) Normalized figures for 2017, 2015 and 2013.</t>
  </si>
  <si>
    <t>Abwicklung Finanzdienstleistungen</t>
  </si>
  <si>
    <t>Fourniture de services financiers</t>
  </si>
  <si>
    <t>Esecuzione servizi finanziari</t>
  </si>
  <si>
    <t>Handling of financial services</t>
  </si>
  <si>
    <t>9) Vorjahreswerte teilweise angepasst.</t>
  </si>
  <si>
    <t>9) Valeurs de l'exercice précédent partiellement adaptées.</t>
  </si>
  <si>
    <t>9) Valori dell'anno precedente in parte adattati.</t>
  </si>
  <si>
    <t>9) Previous year figures partly adjusted.</t>
  </si>
  <si>
    <t>Warentransport</t>
  </si>
  <si>
    <t>Transport of goods</t>
  </si>
  <si>
    <t>Taggerechte Verarbeitung von Zahlungsbelegen von Filialen</t>
  </si>
  <si>
    <t>Traitement des justificatifs des filiales le jour prévu</t>
  </si>
  <si>
    <t>Trattamento puntuale di ricevute di pagamento di filiali</t>
  </si>
  <si>
    <t>Timely processing of payment slips at branches</t>
  </si>
  <si>
    <t>Weitere</t>
  </si>
  <si>
    <t>altri</t>
  </si>
  <si>
    <t>Taggerechte Verarbeitung von Zahlungsbelegen aus Zahlungsaufträgen</t>
  </si>
  <si>
    <t>Traitement des justificatifs des ordres de paiement le jour prévu</t>
  </si>
  <si>
    <t>Trattamento puntuale di ricevute di ordini di pagamento</t>
  </si>
  <si>
    <t>Timely processing of payment slips from payment orders</t>
  </si>
  <si>
    <t>Verkauf</t>
  </si>
  <si>
    <t>Vente</t>
  </si>
  <si>
    <t>Vendita</t>
  </si>
  <si>
    <t>Sales</t>
  </si>
  <si>
    <t>Taggerechte Verarbeitung von Zahlungsbelegen von Filialen (SCHAPO)</t>
  </si>
  <si>
    <t>Traitement des justificatifs des filiales (SCHAPO) le jour prévu</t>
  </si>
  <si>
    <t>Trattamento puntuale di ricevute di pagamento di filiali (SCHAPO)</t>
  </si>
  <si>
    <t>Timely processing of payment slips at branches (SCHAPO)</t>
  </si>
  <si>
    <t>Verkauf operativ</t>
  </si>
  <si>
    <t>Vente opérationnelle</t>
  </si>
  <si>
    <t>Vendite (livello operativo)</t>
  </si>
  <si>
    <t>Sales operations</t>
  </si>
  <si>
    <t>Marketing</t>
  </si>
  <si>
    <t>Informatik</t>
  </si>
  <si>
    <t>Informatique</t>
  </si>
  <si>
    <t>Informatica</t>
  </si>
  <si>
    <t>Infrastruktur und Sicherheit</t>
  </si>
  <si>
    <t>Infrastructure et sécurité</t>
  </si>
  <si>
    <t>Infrastruttura e sicurezza</t>
  </si>
  <si>
    <t>Infrastructure and security</t>
  </si>
  <si>
    <t>Betrieb und Unterhalt, Hausdienst</t>
  </si>
  <si>
    <t>Exploitation et entretien, service domestique</t>
  </si>
  <si>
    <t>Esercizio e manutenzione, servizio di manutenzione</t>
  </si>
  <si>
    <t>Operation and maintenance, facility services</t>
  </si>
  <si>
    <t>Management- und Konzernfunktionen</t>
  </si>
  <si>
    <t>Fonctions de gestion et fonctions Groupe</t>
  </si>
  <si>
    <t>Funzioni direttive e Funzioni Gruppo</t>
  </si>
  <si>
    <t>Management and Group functions</t>
  </si>
  <si>
    <t>Diverse Funktionen</t>
  </si>
  <si>
    <t>Autres fonctions</t>
  </si>
  <si>
    <t>Varie funzioni</t>
  </si>
  <si>
    <t>Miscellaneous functions</t>
  </si>
  <si>
    <t>Männer</t>
  </si>
  <si>
    <t>Frauen</t>
  </si>
  <si>
    <t>Beschäftigungsgrad</t>
  </si>
  <si>
    <t>Taux d'occupation</t>
  </si>
  <si>
    <t>Grado di occupazione</t>
  </si>
  <si>
    <t>Level of employment</t>
  </si>
  <si>
    <t>Beschäftigungsgrad unter 50%, gesamt</t>
  </si>
  <si>
    <t>Taux d'occupation inférieur à 50%, total</t>
  </si>
  <si>
    <t>Grado di occupazione inferiore al 50%, complessivo</t>
  </si>
  <si>
    <t>Less than 50% of regular working hours, total</t>
  </si>
  <si>
    <t>Beschäftigungsgrad 50% bis 89%, gesamt</t>
  </si>
  <si>
    <t>Taux d'occupation entre 50% et 89%, total</t>
  </si>
  <si>
    <t>Grado di occupazione dal 50% all'89%, complessivo</t>
  </si>
  <si>
    <t>50% to 89% of regular working hours, total</t>
  </si>
  <si>
    <t>Beschäftigungsgrad ab 90% (Vollzeit), gesamt</t>
  </si>
  <si>
    <t>Taux d'occupation égal ou supérieur à 90% (plein temps), total</t>
  </si>
  <si>
    <t>Grado di occupazione dal 90% (tempo pieno), complessivo</t>
  </si>
  <si>
    <t>90% of regular working hours and over (full time), total</t>
  </si>
  <si>
    <t>Beschäftigungsgrad Männer</t>
  </si>
  <si>
    <t>Taux d'occupation des hommes</t>
  </si>
  <si>
    <t>Grado di occupazione, uomini</t>
  </si>
  <si>
    <t>Level of employment, men</t>
  </si>
  <si>
    <t>Beschäftigungsgrad unter 50%, Männer</t>
  </si>
  <si>
    <t>Taux d'occupation inférieur à 50%, hommes</t>
  </si>
  <si>
    <t>Grado di occupazione inferiore al 50%, uomini</t>
  </si>
  <si>
    <t>Less than 50% of regular working hours, men</t>
  </si>
  <si>
    <t>Beschäftigungsgrad 50% bis 89%, Männer</t>
  </si>
  <si>
    <t>Taux d'occupation entre 50% et 89%, hommes</t>
  </si>
  <si>
    <t>Grado di occupazione dal 50% all'89%, uomini</t>
  </si>
  <si>
    <t>50% to 89% of regular working hours, men</t>
  </si>
  <si>
    <t>Beschäftigungsgrad ab 90% (Vollzeit), Männer</t>
  </si>
  <si>
    <t>Taux d'occupation égal ou supérieur à 90% (plein temps), hommes</t>
  </si>
  <si>
    <t>Grado di occupazione dal 90% (tempo pieno), uomini</t>
  </si>
  <si>
    <t>90% of regular working hours and over (full time), men</t>
  </si>
  <si>
    <t>Beschäftigungsgrad Frauen</t>
  </si>
  <si>
    <t>Taux d'occupation des femmes</t>
  </si>
  <si>
    <t>Grado di occupazione, donne</t>
  </si>
  <si>
    <t>Level of employment, women</t>
  </si>
  <si>
    <t>Beschäftigungsgrad unter 50%, Frauen</t>
  </si>
  <si>
    <t>Taux d'occupation inférieur à 50%, femmes</t>
  </si>
  <si>
    <t>Grado di occupazione inferiore al 50%, donne</t>
  </si>
  <si>
    <t>Less than 50% of regular working hours, women</t>
  </si>
  <si>
    <t>Beschäftigungsgrad 50% bis 89%, Frauen</t>
  </si>
  <si>
    <t>Taux d'occupation entre 50% et 89%, femmes</t>
  </si>
  <si>
    <t>Grado di occupazione dal 50% all'89%, donne</t>
  </si>
  <si>
    <t>50% to 89% of regular working hours, women</t>
  </si>
  <si>
    <t>1) Ab 1.1.2015 ist das Wirtschaftssponsoring expliziter Bestandteil des Sponsoring der Schweizerischen Post.</t>
  </si>
  <si>
    <t>1) Depuis le 1er janvier 2015, le sponsoring économique fait explicitement partie du sponsoring de la Poste.</t>
  </si>
  <si>
    <t>1) Dal 1o gennaio 2015 lo sponsoring nel settore economico fa esplicitamente parte dell'attività di sponsoring della Posta.</t>
  </si>
  <si>
    <t>1) Business sponsoring has been an explicit part of sponsoring at Swiss Post since 1 January 2015.</t>
  </si>
  <si>
    <t>Beschäftigungsgrad ab 90% (Vollzeit), Frauen</t>
  </si>
  <si>
    <t>Taux d'occupation égal ou supérieur à 90% (plein temps), femmes</t>
  </si>
  <si>
    <t>Grado di occupazione dal 90% (tempo pieno), donne</t>
  </si>
  <si>
    <t>90% of regular working hours and over (full time), women</t>
  </si>
  <si>
    <t>Beschäftigungsgrad Kader</t>
  </si>
  <si>
    <t>Taux d'occupation des cadres</t>
  </si>
  <si>
    <t>Grado di occupazione, quadri</t>
  </si>
  <si>
    <t>Level of employment, management</t>
  </si>
  <si>
    <t>Beschäftigungsgrad unter 90% (Teilzeit), Kader</t>
  </si>
  <si>
    <t>Taux d'occupation inférieur à 90% (temps partiel), cadres</t>
  </si>
  <si>
    <t>Grado di occupazione inferiore al 90% (tempo parziale), quadri</t>
  </si>
  <si>
    <t>Less than 90% of regular working hours (part-time), management</t>
  </si>
  <si>
    <t>1) Die Berechnungsmethode zur Ermittlung der Anzahl Orte mit Hausservice wurde 2019 angepasst. Die Werte 2016 - 2018 wurden vergleichbar gemacht.</t>
  </si>
  <si>
    <t>1) La méthode de calcul du nombre de localités proposant le service à domicile a été adaptée en 2019. Les valeurs 2016 - 2018 ont été rendues comparables.</t>
  </si>
  <si>
    <t>1) Il metodo di calcolo per determinare il numero di località con servizio a domicilio è stato modificato nel 2019. I valori 2016 - 2018 sono stati resi raffrontabili.</t>
  </si>
  <si>
    <t>1) The method for calculating the number of locations with home delivery service was changed in 2019. The figures for 2016 to 2018 were made comparable.</t>
  </si>
  <si>
    <t>Beschäftigungsgrad unter 90% (Teilzeit), Kader, Männer</t>
  </si>
  <si>
    <t>Taux d'occupation inférieur à 90% (temps partiel), cadres, hommes</t>
  </si>
  <si>
    <t>Grado di occupazione inferiore al 90% (tempo parziale), quadri, uomini</t>
  </si>
  <si>
    <t>Less than 90% of regular working hours (part-time), management, men</t>
  </si>
  <si>
    <t>2) Ab 2017 werden bei den Geschäftskundenstellen auch die von PostMail und PostLogistics mitberücksichtigt.</t>
  </si>
  <si>
    <t>2) Y compris les points clientèle commerciale de PostMail et de PostLogistics à compter de 2017</t>
  </si>
  <si>
    <t>2) Dal 2017 nei punti clienti commerciali sono considerati anche quelli di PostMail e PostLogistics.</t>
  </si>
  <si>
    <t>2) From 2017 the PostMail and PostLogistics counters for business customers are also taken into consideration.</t>
  </si>
  <si>
    <t>Beschäftigungsgrad unter 90% (Teilzeit), Kader, Frauen</t>
  </si>
  <si>
    <t>Taux d'occupation inférieur à 90% (temps partiel), cadres, femmes</t>
  </si>
  <si>
    <t>Grado di occupazione inferiore al 90% (tempo parziale), quadri, donne</t>
  </si>
  <si>
    <t>Less than 90% of regular working hours (part-time), management, women</t>
  </si>
  <si>
    <t>Befristet</t>
  </si>
  <si>
    <t>Provisoire</t>
  </si>
  <si>
    <t>Temporaneo</t>
  </si>
  <si>
    <t>Temporary</t>
  </si>
  <si>
    <t>Unbefristet</t>
  </si>
  <si>
    <t>Permanente</t>
  </si>
  <si>
    <t>Permanent</t>
  </si>
  <si>
    <t>Bundespersonalgesetz</t>
  </si>
  <si>
    <t>Loi sur le personnel de la Confédération</t>
  </si>
  <si>
    <t>Legge sul personale federale</t>
  </si>
  <si>
    <t>Public Officials Act</t>
  </si>
  <si>
    <t>1) Excluding trainees.</t>
  </si>
  <si>
    <t>GAV Post</t>
  </si>
  <si>
    <t>CCT Poste</t>
  </si>
  <si>
    <t>CCL Posta</t>
  </si>
  <si>
    <t>Swiss Post collective employment contract (CEC)</t>
  </si>
  <si>
    <t>2) Eine Personaleinheit entspricht einer Vollzeitstelle.</t>
  </si>
  <si>
    <t>2) Une unité de personnel correspond à un poste à plein temps.</t>
  </si>
  <si>
    <t>2) Un'unità di personale corrisponde a un impiego a tempo pieno.</t>
  </si>
  <si>
    <t>2) A full-time equivalent equates to one full-time position.</t>
  </si>
  <si>
    <t>Obligationenrecht</t>
  </si>
  <si>
    <t>Code des obligations</t>
  </si>
  <si>
    <t>Codice delle obbligazioni</t>
  </si>
  <si>
    <t>Swiss Code of Obligations</t>
  </si>
  <si>
    <t>3) Jahresdurchschnittswerte</t>
  </si>
  <si>
    <t>3) Valeurs annuelles moyennes</t>
  </si>
  <si>
    <t>3) Valori medi annuali.</t>
  </si>
  <si>
    <t>3) Annual averages.</t>
  </si>
  <si>
    <t>GAV Aushilfen</t>
  </si>
  <si>
    <t>CCT Auxiliaires</t>
  </si>
  <si>
    <t>CCL per il personale ausiliario</t>
  </si>
  <si>
    <t>CEC, auxiliary staff</t>
  </si>
  <si>
    <t>4) Die Anzahl Beschäftigte in den Kantonen basiert ab 2015 auf der STATENT-Auswertung.</t>
  </si>
  <si>
    <t>4) Depuis 2015, le nombre d'employés dans les cantons se fonde sur l'analyse STATENT.</t>
  </si>
  <si>
    <t>4) Dal 2015 il numero di collaboratori nei Cantoni si basa sul rilevamento STATENT.</t>
  </si>
  <si>
    <t>4) From 2015, the number of employees in the cantons is based on the STATENT report.</t>
  </si>
  <si>
    <t>GAV Konzerngesellschaften</t>
  </si>
  <si>
    <t>CCT sociétés du groupe</t>
  </si>
  <si>
    <t>CCL società del gruppo</t>
  </si>
  <si>
    <t>CEC, subsidiaries</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</si>
  <si>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</si>
  <si>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</si>
  <si>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</si>
  <si>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</si>
  <si>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Post CH AG</t>
  </si>
  <si>
    <t>Poste CH SA</t>
  </si>
  <si>
    <t>Posta CH SA</t>
  </si>
  <si>
    <t>Post CH Ltd</t>
  </si>
  <si>
    <t>6)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</si>
  <si>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6)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</si>
  <si>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6)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SA, PubliBike SA, Destinas AG, Eden-Trans GmbH, Relatra AG, BPS Speditions-Service AG, Arlesheim, BPS Speditions-Service AG, Pfungen, Walli-Trans AG, Asmiq AG, notime AG e notime Schweiz AG.</t>
  </si>
  <si>
    <t>6)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</si>
  <si>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PostFinance AG</t>
  </si>
  <si>
    <t>PostFinance SA</t>
  </si>
  <si>
    <t>PostFinance Ltd</t>
  </si>
  <si>
    <t>7) Im Segment PostMail wurde bei zwei Tochtergesellschaften die Berechnung des Durchschnittbestands auf Vollzeitstellen (ohne Lernpersonal) überarbeitet, was zur Anpassung des Werts 2018 führte. Im Segment PostAuto wurde das Jahr 2018 aufgrund der Klassifizierung der CarPosal-France-Gruppe als zur Veräusserung gehaltene Abgangsgruppe und aufgegebener Geschäftsbereich angepasst.</t>
  </si>
  <si>
    <t>7)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t>
  </si>
  <si>
    <t>7)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t>
  </si>
  <si>
    <t>7)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t>
  </si>
  <si>
    <t>Konzerngesellschaften Schweiz</t>
  </si>
  <si>
    <t>Sociétés du groupe en Suisse</t>
  </si>
  <si>
    <t>Società del gruppo Svizzera</t>
  </si>
  <si>
    <t>Swiss subsidiaries</t>
  </si>
  <si>
    <t>8) Da die Betriebsstätten von SPS in Deutschland und Österreich keine eigenständige Rechtsform haben, werden die Mitarbeiter der Betriebsstätten zum Total Arbeitsplätze der Schweiz gerechnet. Die Anpassung erfolgt rückwirkend per 2019.</t>
  </si>
  <si>
    <t xml:space="preserve">8) Étant donné que les sites de SPS en Allemagne et en Autriche ne sont pas dotés de forme juridique à part entière, les collaborateurs de ces entités sont intégrés dans le nombre total de postes de travail en Suisse. Les valeurs sont ajustées avec effet rétroactif en 2019. </t>
  </si>
  <si>
    <t>8) Poiché i centri d’esercizio di SPS in Germania e in Austria non hanno una propria forma giuridica, i collaboratori di questi centri sono stati conteggiati nel totale dei posti di lavori in Svizzera. La modifica è applicata retroattivamente al 2019.</t>
  </si>
  <si>
    <t>8) As SPS’s permanent establishments in Germany and Austria do not have an autonomous legal form, the employees at these permanent establishments are included in the total number of jobs in Switzerland. The adjustment applies retroactively from 2019.</t>
  </si>
  <si>
    <t>Ausländisches Arbeitsrecht</t>
  </si>
  <si>
    <t>Droit du travail étranger</t>
  </si>
  <si>
    <t>Diritto del lavoro estero</t>
  </si>
  <si>
    <t>Foreign labour law</t>
  </si>
  <si>
    <t>Anzahl Lieferanten Schweiz</t>
  </si>
  <si>
    <t>Nombre de fournisseurs Suisse</t>
  </si>
  <si>
    <t>Numero di fornitori (Svizzera)</t>
  </si>
  <si>
    <t>Number of suppliers in Switzerland</t>
  </si>
  <si>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</si>
  <si>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</si>
  <si>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2018).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</si>
  <si>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2018). Switzerland = 100 (by definition).</t>
  </si>
  <si>
    <t>Anzahl Lieferanten Ausland</t>
  </si>
  <si>
    <t>Nombre de fournisseurs Etranger</t>
  </si>
  <si>
    <t>Numero di fornitori (estero)</t>
  </si>
  <si>
    <t>Number of suppliers abroad</t>
  </si>
  <si>
    <t>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</si>
  <si>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</si>
  <si>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2018). Svizzera = 100 (per definizione)</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</si>
  <si>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2018). Switzerland = 100 (by definition).</t>
  </si>
  <si>
    <t>Beschaffungsvolumen Konzern</t>
  </si>
  <si>
    <t>Volume d'achats du groupe</t>
  </si>
  <si>
    <t>Volumi d'acquisto del gruppo</t>
  </si>
  <si>
    <t>Group procurement volumes</t>
  </si>
  <si>
    <t>3) Vorjahreswerte teilweise angepasst.</t>
  </si>
  <si>
    <t>3) Valeurs de l'exercice précédent partiellement adaptées.</t>
  </si>
  <si>
    <t>3) Valori dell'anno precedente in parte adattati.</t>
  </si>
  <si>
    <t>3) Previous year figures partly adjusted.</t>
  </si>
  <si>
    <t>Privatkunden</t>
  </si>
  <si>
    <t>Clients privés</t>
  </si>
  <si>
    <t>Clienti privati</t>
  </si>
  <si>
    <t>Private customers</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</si>
  <si>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</si>
  <si>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</si>
  <si>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1) Gli invii giungono al destinatario puntualmente quando vengono recapitati il giorno successivo nel caso della Posta A (Priority) o entro il terzo giorno lavorativo successivo all'impostazione nel caso della Posta B (Economy).</t>
  </si>
  <si>
    <t>1) Punctual delivery means the next day for A Mail (Priority) and no later than the third working day after mailing for B Mail (Economy).</t>
  </si>
  <si>
    <t>Kleine und mittlere Unternehmen</t>
  </si>
  <si>
    <t>Petites et moyennes entreprises</t>
  </si>
  <si>
    <t>Piccole e medie imprese</t>
  </si>
  <si>
    <t>Small and medium-sized enterprises</t>
  </si>
  <si>
    <t>Freizeitreisende</t>
  </si>
  <si>
    <t>Voyageurs de loisirs</t>
  </si>
  <si>
    <t>Turisti</t>
  </si>
  <si>
    <t>Leisure travellers</t>
  </si>
  <si>
    <t>Pendler</t>
  </si>
  <si>
    <t>Clients pendulaires</t>
  </si>
  <si>
    <t>Pendolari</t>
  </si>
  <si>
    <t>Commuters</t>
  </si>
  <si>
    <t>Geschäftskunden</t>
    <phoneticPr fontId="14" type="noConversion"/>
  </si>
  <si>
    <t>Clients commerciaux</t>
  </si>
  <si>
    <t>Clienti commerciali</t>
  </si>
  <si>
    <t>Business customers</t>
  </si>
  <si>
    <t>1) Ab dem Jahr 2012 besteht Swiss Post International nicht mehr als eigenständiges Segment. Die Werte wurden ab dem 1. Januar 2012 auf die Geschäftsbereiche PostMail und PostLogistics überführt.</t>
  </si>
  <si>
    <t>1) Depuis 2012, Swiss Post International ne constitue plus un segment autonome. Les valeurs la concernant ont été répercutées sur les unités d'affaires PostMail et PostLogistics à partir du 1er janvier 2012.</t>
  </si>
  <si>
    <t>1) Dall'anno 2012 Swiss Post International non è più un segmento a sé stante. Dal 1o gennaio 2012 i valori sono stati trasferiti alle unità PostMail e PostLogistics.</t>
  </si>
  <si>
    <t>1) As of 2012, Swiss Post International no longer exists as an independent segment. The figures were transferred to the Group units PostMail and PostLogistics on 1 January 2012.</t>
  </si>
  <si>
    <t>1) Die Wartezeiten werden vom Geschäftsbereich PostNetz in 290 Filialen mit Hilfe des Ticketsystems erhoben.</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</si>
  <si>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</si>
  <si>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</si>
  <si>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</si>
  <si>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2) Vorjahreswerte angepasst</t>
  </si>
  <si>
    <t>2) Valeurs de l'exercice précédent ajustées.</t>
  </si>
  <si>
    <t>2) Valori dell'anno precedente adattati.</t>
  </si>
  <si>
    <t>2) Previous year figures adjusted</t>
  </si>
  <si>
    <t>3) Das Passivgeschäft umfasst die Entgegennahme von Kundengeldern.</t>
  </si>
  <si>
    <t>3) Les opérations passives comprennent la prise en charge des fonds des clients.</t>
  </si>
  <si>
    <t>3) Le operazioni passive comprendono l'accettazione di depositi della clientela.</t>
  </si>
  <si>
    <t>3) Deposit-taking business comprises the receipt of customer deposits.</t>
  </si>
  <si>
    <t>4) 2013 provisorischer Ist-Wert (Nov. 2013), Vorjahre angepasst infolge Überführung in PostFinance AG Ende Juni 2013.</t>
  </si>
  <si>
    <t>4) Valeur effective 2013 provisoire (novembre 2013); exercices précédents ajustés après le changement de raison sociale en PostFinance SA fin juin 2013.</t>
  </si>
  <si>
    <t>4) Valore effettivo 2013 provvisorio (nov. 2013), anni precedenti adattati in seguito al cambiamento della ragione sociale in PostFinance SA a fine giugno 2013</t>
  </si>
  <si>
    <t>4) 2013 provisional actual figure (Nov. 2013). Previous years adjusted following transfer to PostFinance Ltd at end of June 2013.</t>
  </si>
  <si>
    <t>5) Absoluter Marktanteil, d.h. Umsatzvolumen PostAuto am Marktvolumen (Umsatz)</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</si>
  <si>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</si>
  <si>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</si>
  <si>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5) Absolute market share, i.e. PostBus sales volume as percentage of market volume (turnover).</t>
  </si>
  <si>
    <t>6) Zwischen 2010 bis und mit 2013: inkl. Privatkunden unter Hoheit PostNetz</t>
  </si>
  <si>
    <t>6) Entre 2010 à et avec 2013: y compris les clients privés gérés par RéseauPostal.</t>
  </si>
  <si>
    <t>6) Tra il 2010 e il 2013: incl. clienti privati sotto la responsabilità di RetePostale</t>
  </si>
  <si>
    <t>6) Between 2010 an 2013: including private customers under PostNet</t>
  </si>
  <si>
    <t>7) Ab 2014 werden die Mengen TNT nicht mehr in die Marktanteilsberechnung einbezogen, so dass dieser mit den ausgewiesenen Mengen übereinstimmen. Als Vergleichsgrösse wurde das Jahr 2013 zusätzlich aufbereitet. Die Werte 2005 bis 2012 sind nicht vergleichbar.</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</si>
  <si>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</si>
  <si>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</si>
  <si>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7) From 2014 the TNT volumes are no longer included in the market share calculation, so that a match exists with the quantities shown. The year 2013 has additionally been presented for comparison purposes. The figures from 2005 to 2012 are not comparable.</t>
  </si>
  <si>
    <t>8) Die Erhebung des Marktanteils Passivgeschäft von PostFinance wurde ab 1.1.2016 eingestellt.</t>
  </si>
  <si>
    <t>8) Depuis le 1er janvier 2016, la part de marché des opérations passives de PostFinance n'est plus relevée.</t>
  </si>
  <si>
    <t>8) Il rilevamento della quota di mercato operazioni passive di PostFinance è stato soppresso a partire dal 1o gennaio 2016.</t>
  </si>
  <si>
    <t>8) Market share figures for the deposit-taking business at PostFinance have no longer been recorded since 1 January 2016.</t>
  </si>
  <si>
    <t>1) Vorjahreswerte teilweise angepasst.</t>
  </si>
  <si>
    <t>1) Valeurs de l'exercice précédent partiellement adaptées.</t>
  </si>
  <si>
    <t>1) Valori dell'anno precedente in parte adattati.</t>
  </si>
  <si>
    <t>1) Previous year figures partly adjusted.</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</si>
  <si>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</si>
  <si>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</si>
  <si>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</si>
  <si>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1) Timely processing: Written payment orders are processed on the same day they arrive by post at one of PostFinance's Operations Centers. Payments at branches are processed one working day after the inpayment is made at a branch.</t>
  </si>
  <si>
    <t>2) Die Erhebung zur Taggerechten Verarbeitung von Zahlungsbelegen wurde 2018 eingestellt.</t>
  </si>
  <si>
    <t>2) Le relevé du traitement le jour prévu de titres de paiement a été suspendu en 2018.</t>
  </si>
  <si>
    <t>2) Nel 2018 il rilevamento circa il trattamento puntuale di giustificativi di pagamento è stato sospeso.</t>
  </si>
  <si>
    <t>2) Collection of data regarding timely processing of payment slips was discontinued in 2018.</t>
  </si>
  <si>
    <t>1) Im ausgewiesenen Cashflow 2019 - 2012 werden die Veränderungen der Positionen aus Finanzdienstleistungen (PostFinance) berücksichtigt.</t>
  </si>
  <si>
    <t>1) Les cash-flows 2019 - 2012 tiennent compte des variations de postes des services financiers (PostFinance).</t>
  </si>
  <si>
    <t>1) Il cash flow 2019 - 2012 presentato tiene ora conto delle variazioni delle voci relative ai servizi finanziari (PostFinance).</t>
  </si>
  <si>
    <t>1) The changes in the items from financial services (PostFinance) are reported in the cash flow statement for 2019 - 2012.</t>
  </si>
  <si>
    <t>2) Vorjahreswerte teilweise angepasst.</t>
  </si>
  <si>
    <t>2) Valeurs de l'exercice précédent partiellement adaptées.</t>
  </si>
  <si>
    <t>2) Valori dell'anno precedente in parte adattati.</t>
  </si>
  <si>
    <t>2) Previous year figures partly adjusted.</t>
  </si>
  <si>
    <t>1) Vom 1.1.2010 bis 31.12.2015 lag die Produkteverantwortung für Privatkunden Produkte bei PostNetz. Am 1.1.2016 wurde die Produkteverantwortung für Privatkunden Produkte von PostNetz an PostMail und PostLogistics übergeben.</t>
  </si>
  <si>
    <t>1) Du 1.1.2010 au 31.12.2015 la responsabilité des produits pour particuliers été attribuée au RéseauPostal. A partir du 1er janvier 2016 la responsabilité des produits pour particuliers a été transférée de RéseauPostal à PostMail et à PostLogistics.</t>
  </si>
  <si>
    <t>1) Dalle 1.1.2010 alle 31.12.2015 la responsabilità dei prodotti per i clienti privati è stata da RetePostale. A partire dal 1o gennaio 2016 la responsabilità dei prodotti per i clienti privati è stata transferita da RetePostale a PostMail e PostLogistics.</t>
  </si>
  <si>
    <t>1) From 1 January 2010 to 31 December 2015 product responsibility for products aimed at private customers was allocated to PostalNetwork. As of 1 January 2016 product responsibility for products aimed at private customers was transferred from PostalNetzwork to PostMail and PostLogistics.</t>
  </si>
  <si>
    <t>2) Wert 2017 angepasst.</t>
  </si>
  <si>
    <t>2) Valeur de 2017 ajustée.</t>
  </si>
  <si>
    <t>2) Valore 2017 adattato.</t>
  </si>
  <si>
    <t>2) 2017 figure adjusted</t>
  </si>
  <si>
    <t>3) Ab dem Jahr 2012 besteht Swiss Post International nicht mehr als eigenständiges Segment. Die Geschäftstätigkeiten wurden ab dem 1. Januar 2012 auf die Geschäftsbereiche PostMail und PostLogistics überführt. Die Kenngrössen werden weiterhin erhoben.</t>
  </si>
  <si>
    <t>3) Depuis 2012, Swiss Post International ne constitue plus un segment autonome. Ses activités commerciales ont été transférées aux unités d'affaires PostMail et PostLogistics à partir du 1er janvier 2012. Les indicateurs continuent d'être relevés.</t>
  </si>
  <si>
    <t>3) Dall'anno 2012 Swiss Post International non è più un segmento a sé stante. Dal 1o gennaio 2012 le attività sono state trasferite alle unità PostMail e PostLogistics. I dati continuano a essere rilevati.</t>
  </si>
  <si>
    <t>3) As of 2012, Swiss Post International no longer exists as an independent segment. The business activities were transferred to the Group units PostMail and PostLogistics on 1 January 2012. The key figures continue to be calculated.</t>
  </si>
  <si>
    <t>4) Ab 2010 Swiss Express und nur noch Geschäftskunden, bis 2009 Expresssendungen (Swiss Express "Mond")</t>
  </si>
  <si>
    <t>4) Depuis 2010, Swiss-Express et clients commerciaux uniquement; jusqu'en 2009, envois express (Swiss-Express «Lune»).</t>
  </si>
  <si>
    <t>4) Dal 2010 Swiss-Express e solo clienti commerciali, fino al 2009 invii espresso (Swiss-Express «Luna»)</t>
  </si>
  <si>
    <t>4) From 2010 Swiss Express and only business customers, up to 2009 express consignments (Swiss Express “Moon”).</t>
  </si>
  <si>
    <t>6) Die Kennzahl „bearbeitete Vorgänge“ wurde bis im Jahr 2016 „geführte Telefonate“ benannt. Ab 2017 sind die geführten Telefonate Bestandteil der Kennzahl „bearbeitete Vorgänge“.</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</si>
  <si>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</si>
  <si>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</si>
  <si>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</si>
  <si>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7) PostNetz hat 2019 eine erfolgsneutrale Anapssung im Ausweis des Nettoumsatzes aus Verträgen mit Kunden aus Handelswaren und des dazugehörigen Handelswarenaufwands vorgenommen.</t>
  </si>
  <si>
    <t>7) RéseauPostal a modifié, sans effet sur le résultat, la présentation du chiffre d’affaires net reposant sur les contrats conclus avec des clients dans le domaine des biens commercialisés, ainsi que celle des charges liées à ces biens commercialisés.</t>
  </si>
  <si>
    <t>7) Nel 2019 RetePostale ha apportato una modifica alla presentazione del fatturato netto, senza effetto sul risultato, derivante da contratti con clienti per beni commerciali e dei corrispondenti costi per beni commerciali.</t>
  </si>
  <si>
    <t>7) In 2019, PostalNetwork modified the disclosure of net revenue from contracts with customers from resale merchandise and the associated resale merchandise expenses, without affecting profit or loss.</t>
  </si>
  <si>
    <t>8) Die Kundenvermögensentwicklung löst 2019 den Neugeldzufluss als Kennzahl ab.</t>
  </si>
  <si>
    <t>8) En 2019, l’indicateur de l’évolution du patrimoine des clients remplace celui de l’afflux de nouveaux capitaux.</t>
  </si>
  <si>
    <t>8) Nel 2019 l’andamento dei patrimoni dei clienti viene presentato come nuovo indice in sostituzione dell’afflusso di nuovi fondi.</t>
  </si>
  <si>
    <t>8) Growth in customer assets replaced inflow of new money as a key figure in 2019.</t>
  </si>
  <si>
    <t>9) Der Vorjahreswert 2018 wurde angepasst.</t>
  </si>
  <si>
    <t>9) La valeur de l’exercice 2018 a été ajustée.</t>
  </si>
  <si>
    <t>9) Il valore dell’anno precedente (2018) è stato adeguato.</t>
  </si>
  <si>
    <t>9) The previous year’s figure of 2018 has been adjusted.</t>
  </si>
  <si>
    <t>10) Für das Jahr 2019 wurde erstmals eine angepasste Berechnungsbasis und Berechnungsmethodik verwendet. Ein Vergleich mit den Vorjahren ist deshalb nicht möglich.</t>
  </si>
  <si>
    <t>10) Pour 2019, une base et une méthode de calcul modifiées ont été utilisées pour la première fois. Par conséquent, une comparaison avec les années précédentes n’est pas possible.</t>
  </si>
  <si>
    <t>10) Nel 2019 sono stati adottati per la prima volta una base e un sistema di calcolo modificati. Non è possibile pertanto effettuare un confronto con gli anni precedenti.</t>
  </si>
  <si>
    <t>10) A modified calculation basis and method of calculating was used for the first time in 2019. This means that a comparison with previous years is not possible.</t>
  </si>
  <si>
    <t>11) Werte in der Schweiz</t>
  </si>
  <si>
    <t>11) Valeurs en Suisse</t>
  </si>
  <si>
    <t>11) Valori in Svizzera</t>
  </si>
  <si>
    <t>11) Figures in Switzerland.</t>
  </si>
  <si>
    <t>12) Konzern Schweiz</t>
  </si>
  <si>
    <t>12) Groupe Suisse</t>
  </si>
  <si>
    <t>12) Gruppo Svizzera</t>
  </si>
  <si>
    <t>12) Group in Switzerland.</t>
  </si>
  <si>
    <t>13) Neue Berechnungsgrundlage für 2007, Werte nicht vergleichbar mit Vorjahren</t>
  </si>
  <si>
    <t>13) Nouvelle base de calcul pour 2007; les valeurs ne peuvent pas comparées avec celles des exercices précédents.</t>
  </si>
  <si>
    <t>13) Nuove basi di calcolo per il 2007, valori non confrontabili con quelli degli anni precedenti</t>
  </si>
  <si>
    <t>13) New calculation basis for 2007, figures not comparable with prior years.</t>
  </si>
  <si>
    <t>14) Im Jahr 2019 wurde ein neues Servicemodell und eine Vereinfachung des Leistungskatalogs eingeführt. Die Vergleichbarkeit mit den Vorjahreswerten ist eingeschränkt.</t>
  </si>
  <si>
    <t>14)  En 2019, un nouveau modèle de service a été introduit et le catalogue des prestations a été simplifié. La comparaison avec les valeurs de l’exercice précédent est limitée.</t>
  </si>
  <si>
    <t>14) Nel 2019 è stato introdotto un nuovo modello di servizio con una semplificazione del catalogo delle prestazioni. Di conseguenza, i valori sono raffrontabili soltanto in misura limitata con quelli degli anni precedenti.</t>
  </si>
  <si>
    <t>14) A new service model and simplification of the service catalogue was introduced in 2019. Comparability with the previous year’s figures is limited.</t>
  </si>
  <si>
    <t>15) Im Jahr 2019 wurden die Supporteinsätze neu als vor Ort Einsätze Fieldservice-Techniker definiert. Die Vergleichbarkeit mit den Vorjahren ist eingeschränkt.</t>
  </si>
  <si>
    <t>15) En 2019, les services d’assistance ont été redéfinis techniciens de service sur site. La comparaison avec les valeurs des exercices précédents est limitée.</t>
  </si>
  <si>
    <t>15) Nel 2019 gli interventi di assistenza sono stati ridefiniti come interventi in loco dei tecnici del Servizio sul campo. Di conseguenza, il confronto con gli anni precedenti è possibile soltanto in misura limitata.</t>
  </si>
  <si>
    <t>15) Support calls were redefined as on-site interventions by field service technicians in 2019. Comparability with previous years is limited.</t>
  </si>
  <si>
    <t>16) Der Vorjahreswert 2019 wurde angepasst. Bei den Lebensversicherungen wird ab 2020 das gezillmerte Deckungskapital mit dem Rückkaufwert der Lebensversicherungen ersetzt.</t>
  </si>
  <si>
    <t>16) La valeur de l’année précédente (2019) a été ajustée. En ce qui concerne les assurances-vie, est prise en compte, depuis 2020, la valeur de rachat et non plus la réserve mathématique zillmérisée.</t>
  </si>
  <si>
    <t>16) Il valore del precedente anno 2019 è stato rettificato. A partire dal 2020, per le assicurazioni sulla vita la riserva matematica zillmerata è sostituita dal valore di riscatto delle assicurazioni stesse.</t>
  </si>
  <si>
    <t>16) The prior-year figure for 2019 has been adjusted. For the life insurance, the zillmerized actuarial reserves will be replaced by the surrender value of the life insurance from 2020.</t>
  </si>
  <si>
    <t>17) Ab dem Jahr 2020 werden die Fondsvolumen inkl. Drittfonds ausgewiesen.</t>
  </si>
  <si>
    <t>17) À compter de 2020, les volumes de fonds incluent les fonds émis par des tiers.</t>
  </si>
  <si>
    <t>17) A partire dal 2020 nei volumi dei fondi sono inclusi i fondi di terzi.</t>
  </si>
  <si>
    <t>17) From 2020, the fund volumes, including third-party funds, will be recognized.</t>
  </si>
  <si>
    <t>18) Der Vorjahreswert 2019 wurde angepasst. Die Zählsystematik wurde von Anzahl Sendungen auf Anzahl Packstücke umgestellt. Die Werte 2019 und 2020 sind nicht mit den Vorjahreswerten vergleichbar.</t>
  </si>
  <si>
    <t>18) La valeur de l’année précédente (2019) a été ajustée, de même que le système de dénombrement, qui ne se base plus sur le nombre d’envois mais sur le nombre de colis. Les valeurs de 2019 et de 2020 ne peuvent pas être comparées aux valeurs des années précédentes.</t>
  </si>
  <si>
    <t>18) Il valore del precedente anno 2019 è stato rettificato. Il metodo di calcolo è passato dal numero di invii al numero di pacchi. I valori del 2019 e del 2020 non sono più confrontabili con quelli degli anni precedenti.</t>
  </si>
  <si>
    <t>18) The prior-year figure for 2019 has been adjusted. The counting system has been changed from the number of consignments to the number of parcels. The figures for 2019 and 2020 cannot be compared with the figures for previous years.</t>
  </si>
  <si>
    <t>19) Wert 2019 angepasst.</t>
  </si>
  <si>
    <t>19) Valeur de 2019 ajustée.</t>
  </si>
  <si>
    <t>19) Valore 2019 adattato.</t>
  </si>
  <si>
    <t>19) 2019 figure adjusted</t>
  </si>
  <si>
    <t>20) Die Definition der Paketmenge wurde 2020 angepasst.
Sie umfasst die Anzahl Pakete In-/Ausland inkl. Express und
Logistikdienstleistungen. Die Werte 2016 bis 2019 wurden angepasst.</t>
  </si>
  <si>
    <t>20) La définition du volume de colis a été modifiée en 2020.
Elle inclut le nombre de colis en Suisse et à l’étranger, y compris les envois express et les prestations logistiques. 
Les valeurs de la période 2016-2019 ont été ajustées.</t>
  </si>
  <si>
    <t>20) La definizione del volume dei pacchi è stata rettificata nel 2020.
Tale valore comprende ora il quantitativo di pacchi per Svizzera/estero,
invii espresso e servizi logistici inclusi. I valori dal 2016 al 2019 sono stati modificati.</t>
  </si>
  <si>
    <t>20) The definition of the parcel volume was amended in 2020. It covers the number of parcels in Switzerland and abroad, including express and logistics services. The figures for 2016 to 2019 have been adjusted.</t>
  </si>
  <si>
    <t>1) Escluso il personale in formazione.</t>
  </si>
  <si>
    <t>3) Valori medi annuali</t>
  </si>
  <si>
    <t>3) Annual averages</t>
  </si>
  <si>
    <t>4) Im Segment PostMail wurde bei zwei Tochtergesellschaften die Berechnung des Durchschnittbestands auf Vollzeitstellen (ohne Lernpersonal) überarbeitet, was zur Anpassung des Werts 2018 führte. Im Segment PostAuto wurde das Jahr 2018 aufgrund der Klassifizierung der CarPosal-France-Gruppe als zur Veräusserung gehaltene Abgangsgruppe und aufgegebener Geschäftsbereich angepasst.</t>
  </si>
  <si>
    <t>4)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t>
  </si>
  <si>
    <t>4)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t>
  </si>
  <si>
    <t>4)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t>
  </si>
  <si>
    <t>6) Auswertbare Daten ab 2010.</t>
  </si>
  <si>
    <t>6) Données exploitables à partir de 2010.</t>
  </si>
  <si>
    <t>6) Dati valutabili a partire dal 2010</t>
  </si>
  <si>
    <t>6) Evaluable data from 2010.</t>
  </si>
  <si>
    <t>7) Durch die Einführung einer neuen Funktionsarchitektur ab 2020 nicht mehr auswertbar</t>
  </si>
  <si>
    <t>7) Les données ne sont plus exploitables en raison de l’introduction d'une nouvelle structure des fonctions à partir de 2020.</t>
  </si>
  <si>
    <t>7) Dati non più valutabili a causa dell’introduzione di una nuova architettura delle funzioni a partire dal 2020</t>
  </si>
  <si>
    <t>7) No longer evaluable from 2020 due to the introduction of a new function architecture.</t>
  </si>
  <si>
    <t>3) Eine Personaleinheit entspricht einer Vollzeitstelle.</t>
  </si>
  <si>
    <t>3) Un'unità di personale corrisponde a un impiego a tempo pieno.</t>
  </si>
  <si>
    <t>3) A full-time equivalent equates to one full-time position.</t>
  </si>
  <si>
    <t>2)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</si>
  <si>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</si>
  <si>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2)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</si>
  <si>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2)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</si>
  <si>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4) Kader sind Mitarbeitende mit Leitungs-, Spezialisten- und höheren Sachbearbeitungsfunktionen.</t>
  </si>
  <si>
    <t>4) Les cadres sont des collaborateurs qui exercent des fonctions de direction ou de spécialistes ou d'autres fonctions supérieures.</t>
  </si>
  <si>
    <t>4) I quadri sono collaboratori con funzioni direttive, specialistiche o altamente qualificate.</t>
  </si>
  <si>
    <t>4) Members of management are employees with managerial, specialist and higher-level technical/clerical roles.</t>
  </si>
  <si>
    <t>5) PostAuto AG, PostFinance AG, Swiss Post Solutions AG, SecurePost AG, Post Immobilien Management und Services AG, Post Company Cars AG, Presto Presse-Vertriebs AG</t>
  </si>
  <si>
    <t>5) CarPostal SA, PostFinance SA, Swiss Post Solutions SA, SecurePost SA, Poste Immobilier Management et Services SA, Post Company Cars SA, Presto Presse-Vertriebs AG.</t>
  </si>
  <si>
    <t>5) AutoPostale SA, PostFinance SA, Swiss Post Solutions SA, SecurePost SA, Posta Immobili Management e Servizi SA, Post Company Cars SA, Presto Presse-Vertriebs AG</t>
  </si>
  <si>
    <t>5) PostBus Ltd, PostFinance Ltd, Swiss Post Solutions Ltd, SecurePost Ltd, Post Real Estate Management and Services Ltd, Post Company Cars Ltd, Presto Presse-Vertriebs AG.</t>
  </si>
  <si>
    <t>6) Anlässlich der Berichterstattung fürs Jahr 2013 wurden die entsprechenden Zahlen rückwirkend bis 2010 korrigiert, da die Presto Presse-Vertriebs AG bislang unter GAV Aushilfen ausgewiesen wurde.</t>
  </si>
  <si>
    <t>6) Pour le rapport de l'exercice 2013, les chiffres correspondants ont été corrigés rétroactivement jusqu'en 2010, car Presto Presse-Vertriebs AG figurait jusqu'alors sous CCT Auxiliaires.</t>
  </si>
  <si>
    <t>6) In occasione del rapporto per l'anno 2013 le cifre corrispondenti sono state corrette retroattivamente fino al 2010 in quanto Presto Presse-Vertriebs AG figurava nel CCL per personale ausiliario fino a tale data.</t>
  </si>
  <si>
    <t>6) For the 2013 annual reporting, the corresponding figures were corrected with retroactive effect to 2010 as Presto Presse-Vertriebs AG was previously reported under CEC, auxiliary staff.</t>
  </si>
  <si>
    <t>7) Post CH AG ohne in- und ausländische Konzerngesellschaften</t>
  </si>
  <si>
    <t>7) Poste CH SA sans les sociétés du groupe en Suisse et à l'étranger.</t>
  </si>
  <si>
    <t>7) Posta CH SA senza le società del gruppo in Svizzera e all'estero</t>
  </si>
  <si>
    <t>7) Post CH Ltd excluding domestic and foreign subsidiaries</t>
  </si>
  <si>
    <t>8) PostFinance AG inkl. Debitoren Service AG und Twint AG</t>
  </si>
  <si>
    <t>8) PostFinance SA, y compris Débiteurs Services SA et Twint SA.</t>
  </si>
  <si>
    <t>8) PostFinance SA incl. Servizi debitori SA e TWINT AG.</t>
  </si>
  <si>
    <t>8) PostFinance Ltd including Debtors Service Ltd and TWINT Ltd.</t>
  </si>
  <si>
    <t>9)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</si>
  <si>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9)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</si>
  <si>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9)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</si>
  <si>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9)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</si>
  <si>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1) Die Werte ab 1.1.2016 entsprechen dem beschaffungsrelevanten Rechnungsvolumen mit externen Kreditoren (ohne Steuern, Zölle, SUVA, Pensionskasse, sonstige Vorsorge, öffentliche Gebühren, Durchlaufposten, CPD-Sammelkonten, usw.).</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</si>
  <si>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</si>
  <si>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</si>
  <si>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</si>
  <si>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2) Der vermehrte Einsatz von standardisierten Kreditorencordes (MDG-S) führte ab 2019 zur geringeren Anzahl beschaffungsrelevanter Lieferanten.</t>
  </si>
  <si>
    <t>2) L’utilisation accrue de codes créditeurs (MDG-S) a eu pour effet à partir de 2019 une baisse du nombre des fournisseurs pertinents pour les achats.</t>
  </si>
  <si>
    <t>2) Il maggiore ricorso a codici creditori standardizzati (MDG-S) si è tradotto a partire dal 2019 in un numero inferiore di fornitori rilevanti a livello di acquisti.</t>
  </si>
  <si>
    <t>2) The increased use of standardized accounts payable codes (MDG-S) resulted in a lower number of procurement-relevant suppliers from 2019.</t>
  </si>
  <si>
    <t>1) Mit der Kundenzufriedenheitsmessung werden die Kundinnen und Kunden jährlich über ihre Zufriedenheit mit den Dienstleistungen der Post befragt. Die Resultate wurden bis 31.12.2015 in einem durchschnittlichen Indexwert aus Erwartungserfüllung, Nähe zum idealen Dienstleister und Gesamtzufriedenheit abgebildet. Ab 1.1.2016 wird der Indexwert der Gesamtzufriedenheit ausgewiesen.</t>
  </si>
  <si>
    <t>1) La satisfaction des clients vis-à-vis des prestations de la Poste est mesurée chaque année au moyen d’une enquête ad hoc. Jusqu’au 31.12.2015, les résultats de cette enquête étaient présentés sous la forme d’une valeur d’indices moyenne exprimant la satisfaction des attentes, la proximité avec le prestataire idéal et la satisfaction globale. Depuis le 1.1.2016, la valeur d’indice correspond à la satisfaction globale.</t>
  </si>
  <si>
    <t xml:space="preserve">1) Il rilevamento della soddisfazione della clientela analizza ogni anno qual è il grado di soddisfazione dei clienti nei confronti dei servizi della Posta. Fino al 31 dicembre 2015 i risultati sono stati rappresentati in un valore indicizzato medio formato da Soddisfazione delle aspettative, Vicinanza all’ideale e Soddisfazione complessiva. Dall’1º gennaio 2016 viene rappresentato l’indice della Soddisfazione complessiva. </t>
  </si>
  <si>
    <t>1) The customer satisfaction survey rates customers’ satisfaction with Swiss Post services on an annual basis. Until 31.12.2015, the results were stated as an average index figure based on fulfilment of expectations, proximity to the ideal service provider and overall satisfaction. From 1.1.2016, the index figure of overall satisfaction will be stated.</t>
  </si>
  <si>
    <t>2) Seit 2019 befragt PostNetz seine Kundinnen und Kunden nur noch online. Der Vorjahreswert 2018 wurde zur besseren Vergleichbarkeit angepasst. Die Werte vor 2018 sind nicht vergleichbar.</t>
  </si>
  <si>
    <t>2) Depuis 2019, RéseauPostal réalise son enquête auprès de la clientèle uniquement en ligne. La valeur de l’exercice 2018 a été ajustée à des fins de comparabilité. Les valeurs antérieures à 2018 ne sont pas comparables.</t>
  </si>
  <si>
    <t>2) Dal 2019 RetePostale effettua con i suoi clienti solo sondaggi online. Il valore dell’anno precedente (2018) è stato adattato per una migliore comparabilità. I valori precedenti al 2018 non sono raffrontabili.</t>
  </si>
  <si>
    <t>2) Since 2019 PostalNetwork has only conducted its customer survey online. The prior-year figure for 2018 was modified for better comparability. The figures before 2018 are not comparable.</t>
  </si>
  <si>
    <t>3) Aufgrund einer neuen Erhebungsmethode 2018 kann hier kein zum Vorjahr vergleichbarer Wert ausgewiesen werden.</t>
  </si>
  <si>
    <t>3) En raison de l'introduction d'une nouvelle méthode de relevé en 2018, aucune valeur offrant une base de comparaison avec l'année antérieure ne peut être proposée.</t>
  </si>
  <si>
    <t>3) A causa dell’introduzione nel 2018 di un nuovo metodo di rilevamento non è possibile indicare un valore comparabile con quello dell'anno precedente.</t>
  </si>
  <si>
    <t>3) Due to a new survey method, a figure comparable to that of the previous year cannot be given here.</t>
  </si>
  <si>
    <t>4) Aufgrund von Änderungen in der Stichprobenziehung sind die Resultate des Jahres 2015 nicht mit jenen der Vorjahre vergleichbar.</t>
  </si>
  <si>
    <t>4) Le tirage au sort de l'échantillon ayant été modifié; les résultats de 2015 ne peuvent donc pas être comparés avec ceux des années précédentes.</t>
  </si>
  <si>
    <t>4) A causa di variazioni nel campionamento, i risultati del 2015 non sono confrontabili con quelli degli anni precedenti.</t>
  </si>
  <si>
    <t>4) The 2015 results are not comparable with those of previous years due to changes in the sampling procedure.</t>
  </si>
  <si>
    <t>5) Post CH AG ohne in- und ausländische Konzerngesellschaften</t>
  </si>
  <si>
    <t>5) Poste CH SA sans les sociétés du groupe en Suisse et à l'étranger.</t>
  </si>
  <si>
    <t>5) Posta CH SA senza le società del gruppo in Svizzera e all'estero.</t>
  </si>
  <si>
    <t>5) Post CH Ltd excluding domestic and foreign subsidiaries.</t>
  </si>
  <si>
    <t>6) 2007 wurde zum ersten Mal die Kundenzufriedenheit für den Konzernbereich PostLogistics gemessen; die Werte der vorangehenden Jahre sind diejenigen der ehemaligen Paketpost.</t>
  </si>
  <si>
    <t>6) La satisfaction des clients de l'unité du groupe PostLogistics a été mesurée pour la première fois en 2007; les valeurs des années précédentes sont celles de l'ancienne unité PosteColis.</t>
  </si>
  <si>
    <t>6) La soddisfazione della clientela nei confronti dell'unità del gruppo PostLogistics è stata misurata per la prima volta nel 2007; i valori degli anni precedenti si riferiscono alla vecchia unità PostaPacchi.</t>
  </si>
  <si>
    <t>6) Customer satisfaction for the PostLogistics Group unit was measured for the first time in 2007. The figures for the preceding years are for the former PostParcels.</t>
  </si>
  <si>
    <t>7)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</si>
  <si>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7)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</si>
  <si>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7)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</si>
  <si>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7)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</si>
</sst>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_ ;_ * \-#,##0_ ;_ * &quot;-&quot;??_ ;_ @_ "/>
    <numFmt numFmtId="166" formatCode="0.0"/>
    <numFmt numFmtId="167" formatCode="_ * #,##0.0_ ;_ * \-#,##0.0_ ;_ * &quot;-&quot;??_ ;_ @_ "/>
    <numFmt numFmtId="168" formatCode="#,##0.0"/>
  </numFmts>
  <fonts count="5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
      <sz val="11"/>
      <color theme="1"/>
      <name val="Frutiger 45 Light"/>
      <family val="2"/>
      <scheme val="minor"/>
    </font>
    <font>
      <sz val="10"/>
      <color theme="1"/>
      <name val="Frutiger 45 Light"/>
      <family val="2"/>
      <scheme val="minor"/>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6">
    <border>
      <left/>
      <right/>
      <top/>
      <bottom/>
      <diagonal/>
    </border>
    <border>
      <left style="thin">
        <color theme="0"/>
      </left>
      <right/>
      <top/>
      <bottom/>
      <diagonal/>
    </border>
    <border>
      <left style="thin">
        <color auto="1"/>
      </left>
      <right/>
      <top/>
      <bottom/>
      <diagonal/>
    </border>
    <border>
      <left/>
      <right style="thin">
        <color auto="1"/>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9">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xf numFmtId="0" fontId="49" fillId="0" borderId="0"/>
    <xf numFmtId="164" fontId="49" fillId="0" borderId="0" applyFont="0" applyFill="0" applyBorder="0" applyAlignment="0" applyProtection="0"/>
    <xf numFmtId="9" fontId="49" fillId="0" borderId="0" applyFont="0" applyFill="0" applyBorder="0" applyAlignment="0" applyProtection="0"/>
  </cellStyleXfs>
  <cellXfs count="501">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6"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5"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7"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6"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6"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6"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6" fontId="1" fillId="0" borderId="0" xfId="0" applyNumberFormat="1" applyFont="1" applyFill="1" applyBorder="1" applyProtection="1">
      <protection hidden="1"/>
    </xf>
    <xf numFmtId="166"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6" fontId="14" fillId="0" borderId="0" xfId="0" quotePrefix="1" applyNumberFormat="1" applyFont="1" applyFill="1" applyAlignment="1" applyProtection="1">
      <alignment horizontal="right"/>
      <protection hidden="1"/>
    </xf>
    <xf numFmtId="166"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6" fontId="0" fillId="0" borderId="0" xfId="0" applyNumberFormat="1" applyFill="1" applyProtection="1">
      <protection hidden="1"/>
    </xf>
    <xf numFmtId="0" fontId="1" fillId="0" borderId="0" xfId="0" applyFont="1" applyFill="1" applyBorder="1" applyAlignment="1" applyProtection="1">
      <alignment horizontal="right"/>
      <protection hidden="1"/>
    </xf>
    <xf numFmtId="166" fontId="1" fillId="0" borderId="0" xfId="4" applyNumberFormat="1" applyFont="1" applyFill="1" applyBorder="1" applyAlignment="1" applyProtection="1">
      <alignment horizontal="right"/>
      <protection hidden="1"/>
    </xf>
    <xf numFmtId="166"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6" fontId="14" fillId="0" borderId="0" xfId="1" applyNumberFormat="1" applyFont="1" applyFill="1" applyAlignment="1" applyProtection="1">
      <alignment horizontal="right"/>
      <protection hidden="1"/>
    </xf>
    <xf numFmtId="166" fontId="0" fillId="0" borderId="0" xfId="1" applyNumberFormat="1" applyFont="1" applyFill="1" applyAlignment="1" applyProtection="1">
      <alignment horizontal="right"/>
      <protection hidden="1"/>
    </xf>
    <xf numFmtId="166"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6" fontId="0" fillId="0" borderId="0" xfId="0" quotePrefix="1" applyNumberFormat="1" applyFont="1" applyAlignment="1" applyProtection="1">
      <alignment horizontal="right"/>
      <protection hidden="1"/>
    </xf>
    <xf numFmtId="166" fontId="0" fillId="0" borderId="0" xfId="0" quotePrefix="1"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6" fontId="0" fillId="6" borderId="0" xfId="0" applyNumberFormat="1" applyFont="1" applyFill="1" applyAlignment="1">
      <alignment horizontal="right"/>
    </xf>
    <xf numFmtId="168" fontId="0" fillId="0" borderId="0" xfId="0" applyNumberFormat="1" applyFont="1" applyFill="1" applyAlignment="1" applyProtection="1">
      <alignment horizontal="right"/>
      <protection hidden="1"/>
    </xf>
    <xf numFmtId="168" fontId="0" fillId="3" borderId="0" xfId="0" applyNumberFormat="1" applyFont="1" applyFill="1" applyAlignment="1" applyProtection="1">
      <alignment horizontal="right"/>
      <protection hidden="1"/>
    </xf>
    <xf numFmtId="0" fontId="5" fillId="0" borderId="0" xfId="0" applyFont="1" applyFill="1" applyAlignment="1" applyProtection="1">
      <alignment vertical="center"/>
      <protection hidden="1"/>
    </xf>
    <xf numFmtId="0" fontId="19" fillId="0" borderId="0" xfId="0" applyFont="1" applyFill="1" applyProtection="1">
      <protection hidden="1"/>
    </xf>
    <xf numFmtId="1" fontId="12" fillId="0" borderId="0" xfId="0" applyNumberFormat="1" applyFont="1" applyFill="1" applyAlignment="1" applyProtection="1">
      <alignment horizontal="right"/>
      <protection hidden="1"/>
    </xf>
    <xf numFmtId="1" fontId="3" fillId="0" borderId="0" xfId="0" applyNumberFormat="1" applyFont="1" applyFill="1" applyAlignment="1" applyProtection="1">
      <alignment horizontal="right"/>
      <protection hidden="1"/>
    </xf>
    <xf numFmtId="1" fontId="3" fillId="0" borderId="0" xfId="0" applyNumberFormat="1" applyFont="1" applyFill="1" applyProtection="1">
      <protection hidden="1"/>
    </xf>
    <xf numFmtId="1" fontId="14" fillId="0" borderId="0" xfId="0" applyNumberFormat="1" applyFont="1" applyFill="1" applyAlignment="1" applyProtection="1">
      <alignment horizontal="right" vertical="top"/>
      <protection hidden="1"/>
    </xf>
    <xf numFmtId="1" fontId="0" fillId="0" borderId="0" xfId="0" applyNumberFormat="1" applyFont="1" applyFill="1" applyProtection="1">
      <protection hidden="1"/>
    </xf>
    <xf numFmtId="1" fontId="0" fillId="0" borderId="0" xfId="0" quotePrefix="1" applyNumberFormat="1" applyFont="1" applyFill="1" applyAlignment="1" applyProtection="1">
      <alignment horizontal="right"/>
      <protection hidden="1"/>
    </xf>
    <xf numFmtId="0" fontId="19" fillId="0" borderId="0" xfId="0" applyFont="1" applyFill="1" applyAlignment="1" applyProtection="1">
      <alignment horizontal="left" indent="1"/>
      <protection hidden="1"/>
    </xf>
    <xf numFmtId="1" fontId="0" fillId="0" borderId="0" xfId="0" quotePrefix="1" applyNumberFormat="1" applyFont="1" applyAlignment="1" applyProtection="1">
      <alignment horizontal="right"/>
      <protection hidden="1"/>
    </xf>
    <xf numFmtId="1" fontId="0" fillId="5" borderId="0" xfId="0" applyNumberFormat="1" applyFont="1" applyFill="1" applyAlignment="1" applyProtection="1">
      <alignment horizontal="right"/>
      <protection hidden="1"/>
    </xf>
    <xf numFmtId="168" fontId="14" fillId="0" borderId="0" xfId="0" quotePrefix="1" applyNumberFormat="1" applyFont="1" applyFill="1" applyAlignment="1" applyProtection="1">
      <alignment horizontal="right"/>
      <protection hidden="1"/>
    </xf>
    <xf numFmtId="168" fontId="14" fillId="0" borderId="0" xfId="1" quotePrefix="1" applyNumberFormat="1" applyFont="1" applyFill="1" applyAlignment="1" applyProtection="1">
      <alignment horizontal="right"/>
      <protection hidden="1"/>
    </xf>
    <xf numFmtId="168" fontId="14" fillId="0" borderId="0" xfId="1" applyNumberFormat="1" applyFont="1" applyFill="1" applyAlignment="1" applyProtection="1">
      <alignment horizontal="right"/>
      <protection hidden="1"/>
    </xf>
    <xf numFmtId="168" fontId="0" fillId="0" borderId="0" xfId="1" applyNumberFormat="1" applyFont="1" applyFill="1" applyAlignment="1" applyProtection="1">
      <alignment horizontal="right"/>
      <protection hidden="1"/>
    </xf>
    <xf numFmtId="168" fontId="0" fillId="0" borderId="0" xfId="0" applyNumberFormat="1" applyFill="1" applyAlignment="1" applyProtection="1">
      <alignment horizontal="right"/>
      <protection hidden="1"/>
    </xf>
    <xf numFmtId="168" fontId="0" fillId="5" borderId="0" xfId="0" applyNumberFormat="1" applyFill="1" applyAlignment="1" applyProtection="1">
      <alignment horizontal="right"/>
      <protection hidden="1"/>
    </xf>
    <xf numFmtId="168" fontId="0" fillId="0" borderId="0" xfId="0" quotePrefix="1" applyNumberFormat="1" applyFill="1" applyAlignment="1" applyProtection="1">
      <alignment horizontal="right"/>
      <protection hidden="1"/>
    </xf>
    <xf numFmtId="168" fontId="0" fillId="5" borderId="0" xfId="0" quotePrefix="1" applyNumberFormat="1" applyFill="1" applyAlignment="1" applyProtection="1">
      <alignment horizontal="right"/>
      <protection hidden="1"/>
    </xf>
    <xf numFmtId="168" fontId="14" fillId="0" borderId="0" xfId="0" applyNumberFormat="1" applyFont="1" applyFill="1" applyAlignment="1" applyProtection="1">
      <alignment horizontal="right"/>
      <protection hidden="1"/>
    </xf>
    <xf numFmtId="168" fontId="0" fillId="0" borderId="0" xfId="0" applyNumberFormat="1" applyFont="1" applyAlignment="1" applyProtection="1">
      <alignment horizontal="right"/>
      <protection hidden="1"/>
    </xf>
    <xf numFmtId="168" fontId="1" fillId="0" borderId="0" xfId="0" quotePrefix="1" applyNumberFormat="1" applyFont="1" applyFill="1" applyBorder="1" applyAlignment="1" applyProtection="1">
      <alignment horizontal="right"/>
      <protection hidden="1"/>
    </xf>
    <xf numFmtId="168" fontId="1" fillId="0" borderId="0" xfId="0" applyNumberFormat="1" applyFont="1" applyFill="1" applyBorder="1" applyAlignment="1" applyProtection="1">
      <alignment horizontal="right"/>
      <protection hidden="1"/>
    </xf>
    <xf numFmtId="166" fontId="1" fillId="0" borderId="0" xfId="0" quotePrefix="1" applyNumberFormat="1" applyFont="1" applyFill="1" applyBorder="1" applyAlignment="1" applyProtection="1">
      <alignment horizontal="right"/>
      <protection hidden="1"/>
    </xf>
    <xf numFmtId="1" fontId="14" fillId="0" borderId="0" xfId="0" quotePrefix="1" applyNumberFormat="1" applyFont="1" applyFill="1" applyAlignment="1" applyProtection="1">
      <alignment horizontal="right"/>
      <protection hidden="1"/>
    </xf>
    <xf numFmtId="1" fontId="1" fillId="0" borderId="0" xfId="0" quotePrefix="1" applyNumberFormat="1" applyFont="1" applyFill="1" applyBorder="1" applyAlignment="1" applyProtection="1">
      <alignment horizontal="right"/>
      <protection hidden="1"/>
    </xf>
    <xf numFmtId="168" fontId="0" fillId="5" borderId="0" xfId="0" applyNumberFormat="1" applyFont="1" applyFill="1" applyAlignment="1" applyProtection="1">
      <alignment horizontal="right"/>
      <protection hidden="1"/>
    </xf>
    <xf numFmtId="168" fontId="14" fillId="0" borderId="0" xfId="0" applyNumberFormat="1" applyFont="1" applyFill="1" applyProtection="1">
      <protection hidden="1"/>
    </xf>
    <xf numFmtId="168" fontId="14" fillId="0" borderId="0" xfId="1" applyNumberFormat="1" applyFont="1" applyFill="1" applyBorder="1" applyAlignment="1" applyProtection="1">
      <alignment horizontal="right"/>
      <protection hidden="1"/>
    </xf>
    <xf numFmtId="168" fontId="14" fillId="5" borderId="0" xfId="1" applyNumberFormat="1" applyFont="1" applyFill="1" applyAlignment="1" applyProtection="1">
      <alignment horizontal="right"/>
      <protection hidden="1"/>
    </xf>
    <xf numFmtId="168" fontId="1" fillId="0" borderId="0" xfId="0" applyNumberFormat="1" applyFont="1" applyFill="1" applyProtection="1">
      <protection hidden="1"/>
    </xf>
    <xf numFmtId="168" fontId="1" fillId="0" borderId="0" xfId="0" quotePrefix="1" applyNumberFormat="1" applyFont="1" applyFill="1" applyAlignment="1" applyProtection="1">
      <alignment horizontal="right"/>
      <protection hidden="1"/>
    </xf>
    <xf numFmtId="168" fontId="0" fillId="0" borderId="0" xfId="0" quotePrefix="1" applyNumberFormat="1" applyFont="1" applyAlignment="1" applyProtection="1">
      <alignment horizontal="right"/>
      <protection hidden="1"/>
    </xf>
    <xf numFmtId="166" fontId="14" fillId="5" borderId="0" xfId="0" applyNumberFormat="1" applyFont="1" applyFill="1" applyAlignment="1" applyProtection="1">
      <alignment horizontal="right"/>
      <protection hidden="1"/>
    </xf>
    <xf numFmtId="1" fontId="14" fillId="5" borderId="0" xfId="0" applyNumberFormat="1" applyFont="1" applyFill="1" applyAlignment="1" applyProtection="1">
      <alignment horizontal="right" vertical="top"/>
      <protection hidden="1"/>
    </xf>
    <xf numFmtId="1" fontId="14" fillId="5" borderId="0" xfId="0" quotePrefix="1" applyNumberFormat="1" applyFont="1" applyFill="1" applyAlignment="1" applyProtection="1">
      <alignment horizontal="right" vertical="top"/>
      <protection hidden="1"/>
    </xf>
    <xf numFmtId="168" fontId="0" fillId="0" borderId="0" xfId="0" quotePrefix="1" applyNumberFormat="1" applyFont="1" applyFill="1" applyAlignment="1" applyProtection="1">
      <alignment horizontal="right"/>
      <protection hidden="1"/>
    </xf>
    <xf numFmtId="168" fontId="0" fillId="0" borderId="0" xfId="0" applyNumberFormat="1" applyFont="1" applyFill="1" applyProtection="1">
      <protection hidden="1"/>
    </xf>
    <xf numFmtId="168" fontId="1" fillId="0" borderId="0" xfId="1" applyNumberFormat="1" applyFont="1" applyFill="1" applyAlignment="1" applyProtection="1">
      <alignment horizontal="right"/>
      <protection hidden="1"/>
    </xf>
    <xf numFmtId="168" fontId="0" fillId="6" borderId="0" xfId="0" applyNumberFormat="1" applyFont="1" applyFill="1" applyAlignment="1" applyProtection="1">
      <alignment horizontal="right"/>
      <protection hidden="1"/>
    </xf>
    <xf numFmtId="1" fontId="1" fillId="0" borderId="0" xfId="1" applyNumberFormat="1" applyFont="1" applyFill="1" applyAlignment="1" applyProtection="1">
      <alignment horizontal="right"/>
      <protection hidden="1"/>
    </xf>
    <xf numFmtId="1" fontId="0" fillId="6" borderId="0" xfId="0" applyNumberFormat="1" applyFont="1" applyFill="1" applyAlignment="1" applyProtection="1">
      <alignment horizontal="right"/>
      <protection hidden="1"/>
    </xf>
    <xf numFmtId="3" fontId="0" fillId="0" borderId="0" xfId="0" applyNumberFormat="1" applyFont="1" applyFill="1" applyProtection="1">
      <protection hidden="1"/>
    </xf>
    <xf numFmtId="3" fontId="16" fillId="0" borderId="0" xfId="0" applyNumberFormat="1" applyFont="1" applyFill="1" applyAlignment="1" applyProtection="1">
      <alignment horizontal="right"/>
      <protection hidden="1"/>
    </xf>
    <xf numFmtId="3" fontId="0" fillId="6" borderId="0" xfId="0" applyNumberFormat="1" applyFont="1" applyFill="1" applyAlignment="1" applyProtection="1">
      <alignment horizontal="right"/>
      <protection hidden="1"/>
    </xf>
    <xf numFmtId="166" fontId="0" fillId="0" borderId="0" xfId="0" applyNumberFormat="1" applyFont="1" applyFill="1" applyAlignment="1" applyProtection="1">
      <alignment horizontal="right"/>
      <protection hidden="1"/>
    </xf>
    <xf numFmtId="166" fontId="1" fillId="0" borderId="0" xfId="1" applyNumberFormat="1" applyFont="1" applyFill="1" applyAlignment="1" applyProtection="1">
      <alignment horizontal="right"/>
      <protection hidden="1"/>
    </xf>
    <xf numFmtId="3" fontId="0" fillId="0" borderId="0" xfId="0" applyNumberFormat="1" applyFont="1" applyProtection="1">
      <protection hidden="1"/>
    </xf>
    <xf numFmtId="3" fontId="0" fillId="0" borderId="0" xfId="0" quotePrefix="1" applyNumberFormat="1" applyFont="1" applyFill="1" applyAlignment="1" applyProtection="1">
      <alignment horizontal="right"/>
      <protection hidden="1"/>
    </xf>
    <xf numFmtId="3" fontId="14" fillId="6" borderId="0" xfId="0" applyNumberFormat="1" applyFont="1" applyFill="1" applyAlignment="1" applyProtection="1">
      <alignment horizontal="right" vertical="top"/>
      <protection hidden="1"/>
    </xf>
    <xf numFmtId="168" fontId="0" fillId="0" borderId="0" xfId="0" applyNumberFormat="1" applyFont="1" applyProtection="1">
      <protection hidden="1"/>
    </xf>
    <xf numFmtId="168" fontId="14" fillId="0" borderId="0" xfId="0" applyNumberFormat="1" applyFont="1" applyFill="1" applyAlignment="1" applyProtection="1">
      <alignment horizontal="right" vertical="top"/>
      <protection hidden="1"/>
    </xf>
    <xf numFmtId="168" fontId="14" fillId="6" borderId="0" xfId="0" applyNumberFormat="1" applyFont="1" applyFill="1" applyAlignment="1" applyProtection="1">
      <alignment horizontal="right" vertical="top"/>
      <protection hidden="1"/>
    </xf>
    <xf numFmtId="168" fontId="47" fillId="6" borderId="0" xfId="0" applyNumberFormat="1" applyFont="1" applyFill="1" applyAlignment="1">
      <alignment horizontal="right"/>
    </xf>
    <xf numFmtId="168" fontId="0" fillId="0" borderId="0" xfId="1" quotePrefix="1" applyNumberFormat="1" applyFont="1" applyFill="1" applyAlignment="1" applyProtection="1">
      <alignment horizontal="right"/>
      <protection hidden="1"/>
    </xf>
    <xf numFmtId="168" fontId="14" fillId="0" borderId="0" xfId="0" applyNumberFormat="1" applyFont="1" applyAlignment="1" applyProtection="1">
      <alignment horizontal="right"/>
      <protection hidden="1"/>
    </xf>
    <xf numFmtId="168" fontId="0" fillId="6" borderId="0" xfId="0" applyNumberFormat="1" applyFont="1" applyFill="1" applyAlignment="1">
      <alignment horizontal="right"/>
    </xf>
    <xf numFmtId="3" fontId="0" fillId="0" borderId="0" xfId="0" quotePrefix="1" applyNumberFormat="1" applyFont="1" applyAlignment="1" applyProtection="1">
      <alignment horizontal="right"/>
      <protection hidden="1"/>
    </xf>
    <xf numFmtId="3" fontId="14" fillId="6" borderId="0" xfId="0" applyNumberFormat="1" applyFont="1" applyFill="1" applyAlignment="1" applyProtection="1">
      <alignment horizontal="right"/>
      <protection hidden="1"/>
    </xf>
    <xf numFmtId="3" fontId="3" fillId="0" borderId="0" xfId="0" applyNumberFormat="1" applyFont="1" applyAlignment="1" applyProtection="1">
      <alignment horizontal="right"/>
      <protection hidden="1"/>
    </xf>
    <xf numFmtId="3" fontId="12" fillId="6" borderId="0" xfId="0" applyNumberFormat="1" applyFont="1" applyFill="1" applyAlignment="1" applyProtection="1">
      <alignment horizontal="right"/>
      <protection hidden="1"/>
    </xf>
    <xf numFmtId="168" fontId="0" fillId="4" borderId="0" xfId="0" applyNumberFormat="1" applyFont="1" applyFill="1" applyAlignment="1" applyProtection="1">
      <alignment horizontal="right"/>
      <protection hidden="1"/>
    </xf>
    <xf numFmtId="168" fontId="14" fillId="0" borderId="0" xfId="0" applyNumberFormat="1" applyFont="1" applyFill="1" applyBorder="1" applyAlignment="1" applyProtection="1">
      <alignment horizontal="right"/>
      <protection hidden="1"/>
    </xf>
    <xf numFmtId="1" fontId="1" fillId="0" borderId="0" xfId="0" applyNumberFormat="1" applyFont="1" applyFill="1" applyAlignment="1" applyProtection="1">
      <alignment horizontal="right"/>
      <protection hidden="1"/>
    </xf>
    <xf numFmtId="1" fontId="14" fillId="0" borderId="0" xfId="5" applyNumberFormat="1" applyFill="1" applyAlignment="1" applyProtection="1">
      <alignment horizontal="right"/>
      <protection hidden="1"/>
    </xf>
    <xf numFmtId="1" fontId="0" fillId="4" borderId="0" xfId="0" applyNumberFormat="1" applyFont="1" applyFill="1" applyAlignment="1" applyProtection="1">
      <alignment horizontal="right"/>
      <protection hidden="1"/>
    </xf>
    <xf numFmtId="4" fontId="1" fillId="0" borderId="0" xfId="0" applyNumberFormat="1" applyFont="1" applyFill="1" applyBorder="1" applyProtection="1">
      <protection hidden="1"/>
    </xf>
    <xf numFmtId="4" fontId="1" fillId="0" borderId="0" xfId="0" applyNumberFormat="1" applyFont="1" applyFill="1" applyAlignment="1" applyProtection="1">
      <alignment horizontal="right"/>
      <protection hidden="1"/>
    </xf>
    <xf numFmtId="4" fontId="1" fillId="0" borderId="0" xfId="1" applyNumberFormat="1" applyFont="1" applyFill="1" applyAlignment="1" applyProtection="1">
      <alignment horizontal="right"/>
      <protection hidden="1"/>
    </xf>
    <xf numFmtId="4" fontId="14" fillId="4" borderId="0" xfId="0" applyNumberFormat="1" applyFont="1" applyFill="1" applyAlignment="1" applyProtection="1">
      <alignment horizontal="right"/>
      <protection hidden="1"/>
    </xf>
    <xf numFmtId="4" fontId="14" fillId="4" borderId="0" xfId="0" applyNumberFormat="1" applyFont="1" applyFill="1" applyAlignment="1" applyProtection="1">
      <alignment horizontal="right" vertical="top"/>
      <protection hidden="1"/>
    </xf>
    <xf numFmtId="3" fontId="1" fillId="0" borderId="0" xfId="0" quotePrefix="1" applyNumberFormat="1" applyFont="1" applyFill="1" applyBorder="1" applyAlignment="1" applyProtection="1">
      <alignment horizontal="right"/>
      <protection hidden="1"/>
    </xf>
    <xf numFmtId="4" fontId="0" fillId="4" borderId="0" xfId="0" applyNumberFormat="1" applyFont="1" applyFill="1" applyAlignment="1" applyProtection="1">
      <alignment horizontal="right"/>
      <protection hidden="1"/>
    </xf>
    <xf numFmtId="4" fontId="14" fillId="0" borderId="0" xfId="0" quotePrefix="1" applyNumberFormat="1" applyFont="1" applyFill="1" applyAlignment="1" applyProtection="1">
      <alignment horizontal="right"/>
      <protection hidden="1"/>
    </xf>
    <xf numFmtId="4" fontId="1" fillId="0" borderId="0" xfId="0" quotePrefix="1" applyNumberFormat="1" applyFont="1" applyFill="1" applyBorder="1" applyAlignment="1" applyProtection="1">
      <alignment horizontal="right"/>
      <protection hidden="1"/>
    </xf>
    <xf numFmtId="2" fontId="0" fillId="0" borderId="0" xfId="0" applyNumberFormat="1" applyFont="1" applyFill="1" applyAlignment="1" applyProtection="1">
      <alignment horizontal="right"/>
      <protection hidden="1"/>
    </xf>
    <xf numFmtId="2" fontId="0" fillId="4" borderId="0" xfId="0" applyNumberFormat="1" applyFont="1" applyFill="1" applyAlignment="1" applyProtection="1">
      <alignment horizontal="right"/>
      <protection hidden="1"/>
    </xf>
    <xf numFmtId="3" fontId="0" fillId="0" borderId="0" xfId="0" applyNumberFormat="1" applyFont="1" applyFill="1" applyBorder="1" applyAlignment="1" applyProtection="1">
      <alignment horizontal="right"/>
      <protection hidden="1"/>
    </xf>
    <xf numFmtId="3" fontId="14" fillId="0" borderId="0" xfId="0" applyNumberFormat="1" applyFont="1" applyFill="1" applyBorder="1" applyAlignment="1" applyProtection="1">
      <alignment horizontal="right"/>
      <protection hidden="1"/>
    </xf>
    <xf numFmtId="3" fontId="0" fillId="0" borderId="0" xfId="0" applyNumberFormat="1" applyFill="1" applyBorder="1" applyAlignment="1" applyProtection="1">
      <alignment horizontal="right"/>
      <protection hidden="1"/>
    </xf>
    <xf numFmtId="3" fontId="0" fillId="4" borderId="0" xfId="0" applyNumberFormat="1" applyFill="1" applyBorder="1" applyAlignment="1" applyProtection="1">
      <alignment horizontal="right"/>
      <protection hidden="1"/>
    </xf>
    <xf numFmtId="168" fontId="14" fillId="4" borderId="0" xfId="0" applyNumberFormat="1" applyFont="1" applyFill="1" applyAlignment="1" applyProtection="1">
      <alignment horizontal="right" vertical="top"/>
      <protection hidden="1"/>
    </xf>
    <xf numFmtId="0" fontId="29" fillId="0" borderId="0" xfId="0" applyFont="1" applyFill="1" applyAlignment="1" applyProtection="1">
      <alignment horizontal="right"/>
      <protection hidden="1"/>
    </xf>
    <xf numFmtId="166" fontId="0" fillId="6" borderId="0" xfId="0" applyNumberFormat="1" applyFont="1" applyFill="1" applyAlignment="1" applyProtection="1">
      <alignment horizontal="right"/>
      <protection hidden="1"/>
    </xf>
    <xf numFmtId="0" fontId="29" fillId="0" borderId="0" xfId="2" applyFont="1" applyFill="1" applyAlignment="1" applyProtection="1">
      <alignment horizontal="right"/>
      <protection hidden="1"/>
    </xf>
    <xf numFmtId="2" fontId="1" fillId="0" borderId="0" xfId="1" applyNumberFormat="1" applyFont="1" applyFill="1" applyAlignment="1" applyProtection="1">
      <alignment horizontal="right"/>
      <protection hidden="1"/>
    </xf>
    <xf numFmtId="0" fontId="14" fillId="5" borderId="0" xfId="0" quotePrefix="1" applyNumberFormat="1" applyFont="1" applyFill="1" applyAlignment="1" applyProtection="1">
      <alignment horizontal="right"/>
      <protection hidden="1"/>
    </xf>
    <xf numFmtId="0" fontId="0" fillId="0" borderId="4" xfId="0" applyFont="1" applyBorder="1"/>
    <xf numFmtId="0" fontId="0" fillId="0" borderId="5" xfId="0" applyFont="1" applyBorder="1"/>
    <xf numFmtId="3" fontId="0" fillId="3" borderId="0" xfId="0" applyNumberFormat="1" applyFont="1" applyFill="1" applyAlignment="1" applyProtection="1">
      <alignment horizontal="right"/>
      <protection hidden="1"/>
    </xf>
    <xf numFmtId="2" fontId="0" fillId="3" borderId="0" xfId="0" applyNumberFormat="1" applyFont="1" applyFill="1" applyAlignment="1" applyProtection="1">
      <alignment horizontal="right"/>
      <protection hidden="1"/>
    </xf>
    <xf numFmtId="2" fontId="14" fillId="3" borderId="0" xfId="0" applyNumberFormat="1" applyFont="1" applyFill="1" applyAlignment="1" applyProtection="1">
      <alignment horizontal="right"/>
      <protection hidden="1"/>
    </xf>
    <xf numFmtId="3" fontId="14" fillId="3" borderId="0" xfId="0" applyNumberFormat="1" applyFont="1" applyFill="1" applyAlignment="1" applyProtection="1">
      <alignment horizontal="right" vertical="top"/>
      <protection hidden="1"/>
    </xf>
    <xf numFmtId="2" fontId="14" fillId="0" borderId="0" xfId="0" applyNumberFormat="1" applyFont="1" applyFill="1" applyAlignment="1" applyProtection="1">
      <alignment horizontal="right"/>
      <protection hidden="1"/>
    </xf>
    <xf numFmtId="2" fontId="14" fillId="0" borderId="0" xfId="0" quotePrefix="1" applyNumberFormat="1" applyFont="1" applyFill="1" applyAlignment="1" applyProtection="1">
      <alignment horizontal="right"/>
      <protection hidden="1"/>
    </xf>
    <xf numFmtId="165" fontId="1" fillId="0" borderId="0" xfId="1" applyNumberFormat="1" applyFont="1" applyFill="1" applyAlignment="1" applyProtection="1">
      <alignment horizontal="right"/>
      <protection hidden="1"/>
    </xf>
    <xf numFmtId="1" fontId="14" fillId="0" borderId="0" xfId="1" applyNumberFormat="1" applyFont="1" applyFill="1" applyProtection="1">
      <protection hidden="1"/>
    </xf>
    <xf numFmtId="1" fontId="14" fillId="0" borderId="0" xfId="1" applyNumberFormat="1" applyFont="1" applyFill="1" applyAlignment="1" applyProtection="1">
      <alignment horizontal="right"/>
      <protection hidden="1"/>
    </xf>
    <xf numFmtId="3" fontId="14" fillId="0" borderId="0" xfId="1" applyNumberFormat="1" applyFont="1" applyFill="1" applyProtection="1">
      <protection hidden="1"/>
    </xf>
    <xf numFmtId="3" fontId="14" fillId="0" borderId="0" xfId="1" applyNumberFormat="1" applyFont="1" applyFill="1" applyAlignment="1" applyProtection="1">
      <alignment horizontal="right"/>
      <protection hidden="1"/>
    </xf>
    <xf numFmtId="3" fontId="0" fillId="6" borderId="0" xfId="0" quotePrefix="1" applyNumberFormat="1" applyFont="1" applyFill="1" applyAlignment="1" applyProtection="1">
      <alignment horizontal="right"/>
      <protection hidden="1"/>
    </xf>
    <xf numFmtId="0" fontId="0" fillId="0" borderId="0" xfId="0" applyFont="1" applyFill="1"/>
    <xf numFmtId="0" fontId="0" fillId="0" borderId="5" xfId="0" applyFont="1" applyFill="1" applyBorder="1"/>
    <xf numFmtId="0" fontId="0" fillId="0" borderId="4" xfId="0" applyFont="1" applyFill="1" applyBorder="1"/>
    <xf numFmtId="0" fontId="38" fillId="0" borderId="0" xfId="0" applyFont="1" applyFill="1" applyProtection="1">
      <protection hidden="1"/>
    </xf>
    <xf numFmtId="3" fontId="0" fillId="5" borderId="0" xfId="0" applyNumberFormat="1" applyFill="1" applyAlignment="1" applyProtection="1">
      <alignment horizontal="right"/>
      <protection hidden="1"/>
    </xf>
    <xf numFmtId="3" fontId="0" fillId="5" borderId="0" xfId="0" applyNumberFormat="1" applyFont="1" applyFill="1" applyAlignment="1" applyProtection="1">
      <alignment horizontal="right"/>
      <protection hidden="1"/>
    </xf>
    <xf numFmtId="0" fontId="50" fillId="0" borderId="0" xfId="0" applyFont="1" applyFill="1" applyAlignment="1" applyProtection="1">
      <alignment horizontal="right"/>
      <protection hidden="1"/>
    </xf>
    <xf numFmtId="0" fontId="14" fillId="0" borderId="0" xfId="0" applyFont="1"/>
    <xf numFmtId="0" fontId="14" fillId="0" borderId="0" xfId="0" applyFont="1" applyAlignment="1"/>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Fill="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Fill="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3" fillId="0" borderId="0" xfId="0" applyFont="1" applyAlignment="1" applyProtection="1">
      <alignment vertical="top"/>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9">
    <cellStyle name="Komma" xfId="1" builtinId="3"/>
    <cellStyle name="Komma 2" xfId="7" xr:uid="{00000000-0005-0000-0000-000000000000}"/>
    <cellStyle name="Link" xfId="2" builtinId="8"/>
    <cellStyle name="Prozent" xfId="4" builtinId="5"/>
    <cellStyle name="Prozent 2" xfId="8" xr:uid="{00000000-0005-0000-0000-000005000000}"/>
    <cellStyle name="Standard" xfId="0" builtinId="0"/>
    <cellStyle name="Standard 2" xfId="6" xr:uid="{00000000-0005-0000-0000-000006000000}"/>
    <cellStyle name="Standard 2 2" xfId="5" xr:uid="{00000000-0005-0000-0000-000007000000}"/>
    <cellStyle name="Standard 7" xfId="3" xr:uid="{00000000-0005-0000-0000-000008000000}"/>
  </cellStyles>
  <dxfs count="271">
    <dxf>
      <numFmt numFmtId="3" formatCode="#,##0"/>
    </dxf>
    <dxf>
      <numFmt numFmtId="168" formatCode="#,##0.0"/>
    </dxf>
    <dxf>
      <numFmt numFmtId="4" formatCode="#,##0.00"/>
    </dxf>
    <dxf>
      <numFmt numFmtId="3" formatCode="#,##0"/>
    </dxf>
    <dxf>
      <fill>
        <patternFill>
          <bgColor theme="2" tint="0.59996337778862885"/>
        </patternFill>
      </fill>
    </dxf>
    <dxf>
      <numFmt numFmtId="4" formatCode="#,##0.00"/>
    </dxf>
    <dxf>
      <numFmt numFmtId="3" formatCode="#,##0"/>
    </dxf>
    <dxf>
      <numFmt numFmtId="168" formatCode="#,##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168" formatCode="#,##0.0"/>
    </dxf>
    <dxf>
      <numFmt numFmtId="168" formatCode="#,##0.0"/>
    </dxf>
    <dxf>
      <numFmt numFmtId="168" formatCode="#,##0.0"/>
    </dxf>
    <dxf>
      <numFmt numFmtId="3" formatCode="#,##0"/>
    </dxf>
    <dxf>
      <numFmt numFmtId="168" formatCode="#,##0.0"/>
    </dxf>
    <dxf>
      <numFmt numFmtId="168" formatCode="#,##0.0"/>
    </dxf>
    <dxf>
      <numFmt numFmtId="168" formatCode="#,##0.0"/>
    </dxf>
    <dxf>
      <numFmt numFmtId="168" formatCode="#,##0.0"/>
    </dxf>
    <dxf>
      <numFmt numFmtId="3" formatCode="#,##0"/>
    </dxf>
    <dxf>
      <numFmt numFmtId="4" formatCode="#,##0.00"/>
    </dxf>
    <dxf>
      <numFmt numFmtId="168" formatCode="#,##0.0"/>
    </dxf>
    <dxf>
      <numFmt numFmtId="3" formatCode="#,##0"/>
    </dxf>
    <dxf>
      <fill>
        <patternFill>
          <bgColor theme="2" tint="0.59996337778862885"/>
        </patternFill>
      </fill>
    </dxf>
    <dxf>
      <numFmt numFmtId="168" formatCode="#,##0.0"/>
    </dxf>
    <dxf>
      <numFmt numFmtId="168" formatCode="#,##0.0"/>
    </dxf>
    <dxf>
      <numFmt numFmtId="3" formatCode="#,##0"/>
    </dxf>
    <dxf>
      <numFmt numFmtId="168" formatCode="#,##0.0"/>
    </dxf>
    <dxf>
      <numFmt numFmtId="168" formatCode="#,##0.0"/>
    </dxf>
    <dxf>
      <numFmt numFmtId="168" formatCode="#,##0.0"/>
    </dxf>
    <dxf>
      <numFmt numFmtId="168" formatCode="#,##0.0"/>
    </dxf>
    <dxf>
      <numFmt numFmtId="3" formatCode="#,##0"/>
    </dxf>
    <dxf>
      <numFmt numFmtId="4" formatCode="#,##0.00"/>
    </dxf>
    <dxf>
      <numFmt numFmtId="168" formatCode="#,##0.0"/>
    </dxf>
    <dxf>
      <numFmt numFmtId="3" formatCode="#,##0"/>
    </dxf>
    <dxf>
      <fill>
        <patternFill>
          <bgColor theme="2" tint="0.59996337778862885"/>
        </patternFill>
      </fill>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BAADC9"/>
      <color rgb="FF99B6C8"/>
      <color rgb="FF004976"/>
      <color rgb="FF99D5D2"/>
      <color rgb="FF66C0BC"/>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prachen" displayName="Sprachen" ref="A1:B5" totalsRowShown="0">
  <autoFilter ref="A1:B5" xr:uid="{00000000-0009-0000-0100-000003000000}"/>
  <tableColumns count="2">
    <tableColumn id="1" xr3:uid="{00000000-0010-0000-0000-000001000000}" name="Sprache"/>
    <tableColumn id="2" xr3:uid="{00000000-0010-0000-0000-000002000000}" name="Sprache ID"/>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extbausteine_102" displayName="Textbausteine_102" ref="M1:Q345" totalsRowShown="0">
  <autoFilter ref="M1:Q345" xr:uid="{00000000-0009-0000-0100-00000B000000}"/>
  <tableColumns count="5">
    <tableColumn id="1" xr3:uid="{00000000-0010-0000-0900-000001000000}" name="Text ID">
      <calculatedColumnFormula>ROW()-1</calculatedColumnFormula>
    </tableColumn>
    <tableColumn id="2" xr3:uid="{00000000-0010-0000-0900-000002000000}" name="De"/>
    <tableColumn id="3" xr3:uid="{00000000-0010-0000-0900-000003000000}" name="Fr"/>
    <tableColumn id="4" xr3:uid="{00000000-0010-0000-0900-000004000000}" name="It"/>
    <tableColumn id="5" xr3:uid="{00000000-0010-0000-0900-000005000000}" name="En"/>
  </tableColumns>
  <tableStyleInfo name="TableStyleMedium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extbausteine_401" displayName="Textbausteine_401" ref="AW1:BA156" totalsRowShown="0">
  <autoFilter ref="AW1:BA156" xr:uid="{00000000-0009-0000-0100-00000D000000}"/>
  <tableColumns count="5">
    <tableColumn id="1" xr3:uid="{00000000-0010-0000-0A00-000001000000}" name="Text ID">
      <calculatedColumnFormula>ROW()-1</calculatedColumnFormula>
    </tableColumn>
    <tableColumn id="2" xr3:uid="{00000000-0010-0000-0A00-000002000000}" name="De"/>
    <tableColumn id="3" xr3:uid="{00000000-0010-0000-0A00-000003000000}" name="Fr"/>
    <tableColumn id="4" xr3:uid="{00000000-0010-0000-0A00-000004000000}" name="It"/>
    <tableColumn id="5" xr3:uid="{00000000-0010-0000-0A00-000005000000}" name="En"/>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extbausteine_403" displayName="Textbausteine_403" ref="BC1:BG151" totalsRowShown="0">
  <autoFilter ref="BC1:BG151" xr:uid="{00000000-0009-0000-0100-00000E000000}"/>
  <tableColumns count="5">
    <tableColumn id="1" xr3:uid="{00000000-0010-0000-0B00-000001000000}" name="Text ID">
      <calculatedColumnFormula>ROW()-1</calculatedColumnFormula>
    </tableColumn>
    <tableColumn id="2" xr3:uid="{00000000-0010-0000-0B00-000002000000}" name="De"/>
    <tableColumn id="3" xr3:uid="{00000000-0010-0000-0B00-000003000000}" name="Fr"/>
    <tableColumn id="4" xr3:uid="{00000000-0010-0000-0B00-000004000000}" name="It"/>
    <tableColumn id="5" xr3:uid="{00000000-0010-0000-0B00-000005000000}" name="En"/>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extbausteine_405" displayName="Textbausteine_405" ref="BO1:BS151" totalsRowShown="0">
  <autoFilter ref="BO1:BS151" xr:uid="{00000000-0009-0000-0100-00000F000000}"/>
  <tableColumns count="5">
    <tableColumn id="1" xr3:uid="{00000000-0010-0000-0C00-000001000000}" name="Text ID">
      <calculatedColumnFormula>ROW()-1</calculatedColumnFormula>
    </tableColumn>
    <tableColumn id="2" xr3:uid="{00000000-0010-0000-0C00-000002000000}" name="De"/>
    <tableColumn id="3" xr3:uid="{00000000-0010-0000-0C00-000003000000}" name="Fr"/>
    <tableColumn id="4" xr3:uid="{00000000-0010-0000-0C00-000004000000}" name="It"/>
    <tableColumn id="5" xr3:uid="{00000000-0010-0000-0C00-000005000000}" name="En"/>
  </tableColumns>
  <tableStyleInfo name="TableStyleMedium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extbausteine_404_" displayName="Textbausteine_404_" ref="BI1:BM151" totalsRowShown="0">
  <autoFilter ref="BI1:BM151" xr:uid="{00000000-0009-0000-0100-000008000000}"/>
  <tableColumns count="5">
    <tableColumn id="1" xr3:uid="{00000000-0010-0000-0D00-000001000000}" name="Text ID">
      <calculatedColumnFormula>ROW()-1</calculatedColumnFormula>
    </tableColumn>
    <tableColumn id="2" xr3:uid="{00000000-0010-0000-0D00-000002000000}" name="De"/>
    <tableColumn id="3" xr3:uid="{00000000-0010-0000-0D00-000003000000}" name="Fr"/>
    <tableColumn id="4" xr3:uid="{00000000-0010-0000-0D00-000004000000}" name="It"/>
    <tableColumn id="5" xr3:uid="{00000000-0010-0000-0D00-000005000000}" name="E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ewählte_Sprache" displayName="Gewählte_Sprache" ref="D1:D2" totalsRowShown="0">
  <autoFilter ref="D1:D2" xr:uid="{00000000-0009-0000-0100-000004000000}"/>
  <tableColumns count="1">
    <tableColumn id="1" xr3:uid="{00000000-0010-0000-0100-000001000000}" name="Gewählte_Sprache">
      <calculatedColumnFormula>VLOOKUP(Inhaltsverzeichnis!$F$2,Sprachen[],2,FALSE)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extbausteine_Menu" displayName="Textbausteine_Menu" ref="A1:E67" totalsRowShown="0">
  <autoFilter ref="A1:E67" xr:uid="{00000000-0009-0000-0100-000001000000}"/>
  <tableColumns count="5">
    <tableColumn id="1" xr3:uid="{00000000-0010-0000-0200-000001000000}" name="Text ID">
      <calculatedColumnFormula>ROW()-1</calculatedColumnFormula>
    </tableColumn>
    <tableColumn id="2" xr3:uid="{00000000-0010-0000-0200-000002000000}" name="De"/>
    <tableColumn id="3" xr3:uid="{00000000-0010-0000-0200-000003000000}" name="Fr"/>
    <tableColumn id="4" xr3:uid="{00000000-0010-0000-0200-000004000000}" name="It"/>
    <tableColumn id="5" xr3:uid="{00000000-0010-0000-0200-000005000000}" name="En"/>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extbausteine_Inhalt" displayName="Textbausteine_Inhalt" ref="G1:K20" totalsRowShown="0">
  <autoFilter ref="G1:K20" xr:uid="{00000000-0009-0000-0100-000002000000}"/>
  <tableColumns count="5">
    <tableColumn id="1" xr3:uid="{00000000-0010-0000-0300-000001000000}" name="Text ID">
      <calculatedColumnFormula>ROW()-1</calculatedColumnFormula>
    </tableColumn>
    <tableColumn id="2" xr3:uid="{00000000-0010-0000-0300-000002000000}" name="De"/>
    <tableColumn id="3" xr3:uid="{00000000-0010-0000-0300-000003000000}" name="Fr"/>
    <tableColumn id="4" xr3:uid="{00000000-0010-0000-0300-000004000000}" name="It"/>
    <tableColumn id="5" xr3:uid="{00000000-0010-0000-0300-000005000000}" name="En"/>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extbausteine_201" displayName="Textbausteine_201" ref="S1:W160" totalsRowShown="0">
  <autoFilter ref="S1:W160" xr:uid="{00000000-0009-0000-0100-000005000000}"/>
  <tableColumns count="5">
    <tableColumn id="1" xr3:uid="{00000000-0010-0000-0400-000001000000}" name="Text ID">
      <calculatedColumnFormula>ROW()-1</calculatedColumnFormula>
    </tableColumn>
    <tableColumn id="2" xr3:uid="{00000000-0010-0000-0400-000002000000}" name="De"/>
    <tableColumn id="3" xr3:uid="{00000000-0010-0000-0400-000003000000}" name="Fr"/>
    <tableColumn id="4" xr3:uid="{00000000-0010-0000-0400-000004000000}" name="It"/>
    <tableColumn id="5" xr3:uid="{00000000-0010-0000-0400-000005000000}" name="En"/>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extbausteine_202" displayName="Textbausteine_202" ref="Y1:AC151" totalsRowShown="0">
  <autoFilter ref="Y1:AC151" xr:uid="{00000000-0009-0000-0100-000006000000}"/>
  <tableColumns count="5">
    <tableColumn id="1" xr3:uid="{00000000-0010-0000-0500-000001000000}" name="Text ID">
      <calculatedColumnFormula>ROW()-1</calculatedColumnFormula>
    </tableColumn>
    <tableColumn id="2" xr3:uid="{00000000-0010-0000-0500-000002000000}" name="De"/>
    <tableColumn id="3" xr3:uid="{00000000-0010-0000-0500-000003000000}" name="Fr"/>
    <tableColumn id="4" xr3:uid="{00000000-0010-0000-0500-000004000000}" name="It"/>
    <tableColumn id="5" xr3:uid="{00000000-0010-0000-0500-000005000000}" name="En"/>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extbausteine_203" displayName="Textbausteine_203" ref="AE1:AI254" totalsRowShown="0">
  <autoFilter ref="AE1:AI254" xr:uid="{00000000-0009-0000-0100-000007000000}"/>
  <tableColumns count="5">
    <tableColumn id="1" xr3:uid="{00000000-0010-0000-0600-000001000000}" name="Text ID">
      <calculatedColumnFormula>ROW()-1</calculatedColumnFormula>
    </tableColumn>
    <tableColumn id="2" xr3:uid="{00000000-0010-0000-0600-000002000000}" name="De"/>
    <tableColumn id="3" xr3:uid="{00000000-0010-0000-0600-000003000000}" name="Fr"/>
    <tableColumn id="4" xr3:uid="{00000000-0010-0000-0600-000004000000}" name="It"/>
    <tableColumn id="5" xr3:uid="{00000000-0010-0000-0600-000005000000}" name="En"/>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extbausteine_302" displayName="Textbausteine_302" ref="AK1:AO151" totalsRowShown="0">
  <autoFilter ref="AK1:AO151" xr:uid="{00000000-0009-0000-0100-000009000000}"/>
  <tableColumns count="5">
    <tableColumn id="1" xr3:uid="{00000000-0010-0000-0700-000001000000}" name="Text ID">
      <calculatedColumnFormula>ROW()-1</calculatedColumnFormula>
    </tableColumn>
    <tableColumn id="2" xr3:uid="{00000000-0010-0000-0700-000002000000}" name="De"/>
    <tableColumn id="3" xr3:uid="{00000000-0010-0000-0700-000003000000}" name="Fr"/>
    <tableColumn id="4" xr3:uid="{00000000-0010-0000-0700-000004000000}" name="It"/>
    <tableColumn id="5" xr3:uid="{00000000-0010-0000-0700-000005000000}" name="En"/>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extbausteine_305" displayName="Textbausteine_305" ref="AQ1:AU151" totalsRowShown="0">
  <autoFilter ref="AQ1:AU151" xr:uid="{00000000-0009-0000-0100-00000A000000}"/>
  <tableColumns count="5">
    <tableColumn id="1" xr3:uid="{00000000-0010-0000-0800-000001000000}" name="Text ID">
      <calculatedColumnFormula>ROW()-1</calculatedColumnFormula>
    </tableColumn>
    <tableColumn id="2" xr3:uid="{00000000-0010-0000-0800-000002000000}" name="De"/>
    <tableColumn id="3" xr3:uid="{00000000-0010-0000-0800-000003000000}" name="Fr"/>
    <tableColumn id="4" xr3:uid="{00000000-0010-0000-0800-000004000000}" name="It"/>
    <tableColumn id="5" xr3:uid="{00000000-0010-0000-0800-000005000000}"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4976"/>
  </sheetPr>
  <dimension ref="A2:F40"/>
  <sheetViews>
    <sheetView showGridLines="0" showRowColHeaders="0" tabSelected="1" zoomScaleNormal="100" workbookViewId="0">
      <selection activeCell="F2" sqref="F2"/>
    </sheetView>
  </sheetViews>
  <sheetFormatPr baseColWidth="10" defaultColWidth="10.796875" defaultRowHeight="13" customHeight="1"/>
  <cols>
    <col min="1" max="2" width="2.3984375" style="145" customWidth="1"/>
    <col min="3" max="3" width="43.3984375" style="145" customWidth="1"/>
    <col min="4" max="4" width="73.19921875" style="295" customWidth="1"/>
    <col min="5" max="5" width="25.59765625" style="310" customWidth="1"/>
    <col min="6" max="6" width="14.19921875" style="304" customWidth="1"/>
    <col min="7" max="16384" width="10.796875" style="145"/>
  </cols>
  <sheetData>
    <row r="2" spans="1:6" s="149" customFormat="1" ht="26" customHeight="1">
      <c r="A2" s="476"/>
      <c r="B2" s="485" t="str">
        <f>UPPER(VLOOKUP(1,Textbausteine_Menu[],Hilfsgrössen!$D$2,FALSE))</f>
        <v>CIFRE CHIAVE DEL RENDICONTO ANNUALE 2020</v>
      </c>
      <c r="C2" s="485"/>
      <c r="D2" s="485"/>
      <c r="E2" s="311"/>
      <c r="F2" s="302" t="s">
        <v>0</v>
      </c>
    </row>
    <row r="3" spans="1:6" s="150" customFormat="1" ht="26" customHeight="1">
      <c r="A3" s="478"/>
      <c r="B3" s="487" t="str">
        <f>UPPER(VLOOKUP(2,Textbausteine_Menu[],Hilfsgrössen!$D$2,FALSE))</f>
        <v>LA POSTA</v>
      </c>
      <c r="C3" s="487"/>
      <c r="D3" s="300"/>
      <c r="E3" s="312"/>
      <c r="F3" s="303"/>
    </row>
    <row r="6" spans="1:6" s="297" customFormat="1" ht="13" customHeight="1">
      <c r="A6" s="477"/>
      <c r="B6" s="486" t="str">
        <f>VLOOKUP(3,Textbausteine_Menu[],Hilfsgrössen!$D$2,FALSE)</f>
        <v>Informazioni generali</v>
      </c>
      <c r="C6" s="486"/>
      <c r="D6" s="301" t="str">
        <f>VLOOKUP(31,Textbausteine_Menu[],Hilfsgrössen!$D$2,FALSE)</f>
        <v>Divulgazioni</v>
      </c>
      <c r="E6" s="313" t="s">
        <v>1</v>
      </c>
      <c r="F6" s="305" t="s">
        <v>2</v>
      </c>
    </row>
    <row r="7" spans="1:6" ht="39">
      <c r="C7" s="145" t="str">
        <f>VLOOKUP(7,Textbausteine_Menu[],Hilfsgrössen!$D$2,FALSE)</f>
        <v>102 – Divulgazioni generali</v>
      </c>
      <c r="D7" s="298"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Quote di mercato, Finanziamento, Cash flow e investimenti, Evoluzione dei volumi, Volume traffico dei pagamenti, Organico, Distribuzione per genere, Tempo parziale, Rapporto d'impiego, Catena di distribuzione, Soddisfazione dei clienti</v>
      </c>
      <c r="E7" s="310" t="s">
        <v>3</v>
      </c>
      <c r="F7" s="304" t="s">
        <v>4</v>
      </c>
    </row>
    <row r="8" spans="1:6" ht="13" hidden="1" customHeight="1">
      <c r="C8" s="145" t="str">
        <f>VLOOKUP(52,Textbausteine_Menu[],Hilfsgrössen!$D$2,FALSE)</f>
        <v>103 – Approccio di gestione</v>
      </c>
      <c r="E8" s="310" t="s">
        <v>5</v>
      </c>
      <c r="F8" s="304" t="s">
        <v>6</v>
      </c>
    </row>
    <row r="11" spans="1:6" s="297" customFormat="1" ht="13" customHeight="1">
      <c r="A11" s="477"/>
      <c r="B11" s="486" t="str">
        <f>VLOOKUP(4,Textbausteine_Menu[],Hilfsgrössen!$D$2,FALSE)</f>
        <v>Temi economici</v>
      </c>
      <c r="C11" s="486"/>
      <c r="D11" s="301" t="str">
        <f>VLOOKUP(31,Textbausteine_Menu[],Hilfsgrössen!$D$2,FALSE)</f>
        <v>Divulgazioni</v>
      </c>
      <c r="E11" s="313" t="s">
        <v>1</v>
      </c>
      <c r="F11" s="305" t="s">
        <v>2</v>
      </c>
    </row>
    <row r="12" spans="1:6" ht="26" customHeight="1">
      <c r="C12" s="299" t="str">
        <f>VLOOKUP(8,Textbausteine_Menu[],Hilfsgrössen!$D$2,FALSE)</f>
        <v>201 – Prestazioni economiche</v>
      </c>
      <c r="D12" s="298" t="str">
        <f>VLOOKUP(1,Textbausteine_201[],Hilfsgrössen!$D$2,FALSE)&amp;", "&amp;VLOOKUP(2,Textbausteine_201[],Hilfsgrössen!$D$2,FALSE)&amp;", "&amp;VLOOKUP(3,Textbausteine_201[],Hilfsgrössen!$D$2,FALSE)</f>
        <v>Risultato finanziario, Cassa pensioni, Distribuzione del valore aggiunto</v>
      </c>
      <c r="E12" s="310" t="s">
        <v>7</v>
      </c>
      <c r="F12" s="304" t="s">
        <v>8</v>
      </c>
    </row>
    <row r="13" spans="1:6" ht="26" customHeight="1">
      <c r="C13" s="299" t="str">
        <f>VLOOKUP(9,Textbausteine_Menu[],Hilfsgrössen!$D$2,FALSE)</f>
        <v>202 – Presenza sul mercato</v>
      </c>
      <c r="D13" s="298" t="str">
        <f>VLOOKUP(1,Textbausteine_202[],Hilfsgrössen!$D$2,FALSE)</f>
        <v>Indennità</v>
      </c>
      <c r="E13" s="310" t="s">
        <v>3</v>
      </c>
      <c r="F13" s="304" t="s">
        <v>9</v>
      </c>
    </row>
    <row r="14" spans="1:6" ht="39">
      <c r="C14" s="299" t="str">
        <f>VLOOKUP(10,Textbausteine_Menu[],Hilfsgrössen!$D$2,FALSE)</f>
        <v>203 – Impatti economici indiretti</v>
      </c>
      <c r="D14" s="298"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Beneficenza e sponsoring, Punti di accesso, Posti di lavoro nelle regioni, Confronto dei prezzi dei servizi postali, Tempi di consegna per i servizi postali, Tempi di attesa nelle filiali, Tempi di trattamento dei servizi finanziari</v>
      </c>
      <c r="F14" s="304" t="s">
        <v>10</v>
      </c>
    </row>
    <row r="15" spans="1:6" ht="13" hidden="1" customHeight="1">
      <c r="C15" s="145" t="str">
        <f>VLOOKUP(11,Textbausteine_Menu[],Hilfsgrössen!$D$2,FALSE)</f>
        <v>205 – Lotta contro la corruzione</v>
      </c>
      <c r="E15" s="310" t="s">
        <v>11</v>
      </c>
      <c r="F15" s="304" t="s">
        <v>6</v>
      </c>
    </row>
    <row r="16" spans="1:6" ht="13" hidden="1" customHeight="1">
      <c r="C16" s="145" t="str">
        <f>VLOOKUP(12,Textbausteine_Menu[],Hilfsgrössen!$D$2,FALSE)</f>
        <v>206 – Comportamento anticoncorrenziale</v>
      </c>
      <c r="F16" s="304" t="s">
        <v>6</v>
      </c>
    </row>
    <row r="19" spans="2:6" s="297" customFormat="1" ht="13" customHeight="1">
      <c r="B19" s="486" t="str">
        <f>VLOOKUP(5,Textbausteine_Menu[],Hilfsgrössen!$D$2,FALSE)</f>
        <v>Temi ambientali</v>
      </c>
      <c r="C19" s="486"/>
      <c r="D19" s="301" t="str">
        <f>VLOOKUP(31,Textbausteine_Menu[],Hilfsgrössen!$D$2,FALSE)</f>
        <v>Divulgazioni</v>
      </c>
      <c r="E19" s="313" t="s">
        <v>1</v>
      </c>
      <c r="F19" s="305" t="s">
        <v>2</v>
      </c>
    </row>
    <row r="20" spans="2:6" ht="13" hidden="1" customHeight="1">
      <c r="C20" s="145" t="str">
        <f>VLOOKUP(13,Textbausteine_Menu[],Hilfsgrössen!$D$2,FALSE)</f>
        <v>301 – Materiale</v>
      </c>
      <c r="E20" s="310" t="s">
        <v>12</v>
      </c>
      <c r="F20" s="304" t="s">
        <v>13</v>
      </c>
    </row>
    <row r="21" spans="2:6" ht="26" customHeight="1">
      <c r="C21" s="299" t="str">
        <f>VLOOKUP(14,Textbausteine_Menu[],Hilfsgrössen!$D$2,FALSE)</f>
        <v>302 – Energia</v>
      </c>
      <c r="D21" s="295" t="str">
        <f>VLOOKUP(1,Textbausteine_302[],Hilfsgrössen!$D$2,FALSE)&amp;", "&amp;VLOOKUP(2,Textbausteine_302[],Hilfsgrössen!$D$2,FALSE)</f>
        <v>Consumo energetico all'interno e al di fuori dell'organizzazione, Altre cifre sull'energia</v>
      </c>
      <c r="E21" s="310" t="s">
        <v>14</v>
      </c>
      <c r="F21" s="304" t="s">
        <v>15</v>
      </c>
    </row>
    <row r="22" spans="2:6" ht="26" customHeight="1">
      <c r="C22" s="296" t="str">
        <f>VLOOKUP(15,Textbausteine_Menu[],Hilfsgrössen!$D$2,FALSE)</f>
        <v>305 – Emissioni</v>
      </c>
      <c r="D22" s="295" t="str">
        <f>VLOOKUP(1,Textbausteine_305[],Hilfsgrössen!$D$2,FALSE)&amp;", "&amp;VLOOKUP(2,Textbausteine_305[],Hilfsgrössen!$D$2,FALSE)&amp;", "&amp;VLOOKUP(3,Textbausteine_305[],Hilfsgrössen!$D$2,FALSE)&amp;", "&amp;VLOOKUP(4,Textbausteine_305[],Hilfsgrössen!$D$2,FALSE)&amp;", "&amp;VLOOKUP(5,Textbausteine_305[],Hilfsgrössen!$D$2,FALSE)</f>
        <v>Emissioni di gas serra, Intensità delle emissioni di gas serra, Emissioni di gas serra compensate, Altre cifre sui gas serra, Emissioni di inquinanti atmosferici</v>
      </c>
      <c r="E22" s="310" t="s">
        <v>14</v>
      </c>
      <c r="F22" s="304" t="s">
        <v>16</v>
      </c>
    </row>
    <row r="23" spans="2:6" ht="13" hidden="1" customHeight="1">
      <c r="C23" s="145" t="str">
        <f>VLOOKUP(16,Textbausteine_Menu[],Hilfsgrössen!$D$2,FALSE)</f>
        <v>308 – Valutazione ambientale dei fornitori</v>
      </c>
      <c r="E23" s="310" t="s">
        <v>12</v>
      </c>
    </row>
    <row r="26" spans="2:6" s="297" customFormat="1" ht="13" customHeight="1">
      <c r="B26" s="486" t="str">
        <f>VLOOKUP(6,Textbausteine_Menu[],Hilfsgrössen!$D$2,FALSE)</f>
        <v>Temi sociali</v>
      </c>
      <c r="C26" s="486"/>
      <c r="D26" s="301" t="str">
        <f>VLOOKUP(31,Textbausteine_Menu[],Hilfsgrössen!$D$2,FALSE)</f>
        <v>Divulgazioni</v>
      </c>
      <c r="E26" s="313" t="s">
        <v>1</v>
      </c>
      <c r="F26" s="305" t="s">
        <v>2</v>
      </c>
    </row>
    <row r="27" spans="2:6" ht="26" customHeight="1">
      <c r="C27" s="296" t="str">
        <f>VLOOKUP(17,Textbausteine_Menu[],Hilfsgrössen!$D$2,FALSE)</f>
        <v>401 – Occupazione</v>
      </c>
      <c r="D27" s="295" t="str">
        <f>VLOOKUP(1,Textbausteine_401[],Hilfsgrössen!$D$2,FALSE)&amp;", "&amp;VLOOKUP(2,Textbausteine_401[],Hilfsgrössen!$D$2,FALSE)&amp;", "&amp;VLOOKUP(3,Textbausteine_401[],Hilfsgrössen!$D$2,FALSE)</f>
        <v>Fluttuazione del personale e partenze, Congedo parentale, Soddisfazione del personale, motivazione e impegno</v>
      </c>
      <c r="E27" s="310" t="s">
        <v>3</v>
      </c>
    </row>
    <row r="28" spans="2:6" ht="13" hidden="1" customHeight="1">
      <c r="C28" s="145" t="str">
        <f>VLOOKUP(18,Textbausteine_Menu[],Hilfsgrössen!$D$2,FALSE)</f>
        <v>402 – Relazioni datore di lavoro/dipendente</v>
      </c>
      <c r="E28" s="310" t="s">
        <v>17</v>
      </c>
    </row>
    <row r="29" spans="2:6" ht="26" customHeight="1">
      <c r="C29" s="296" t="str">
        <f>VLOOKUP(19,Textbausteine_Menu[],Hilfsgrössen!$D$2,FALSE)</f>
        <v>403 – Salute e sicurezza sul posto di lavoro</v>
      </c>
      <c r="D29" s="295" t="str">
        <f>VLOOKUP(1,Textbausteine_403[],Hilfsgrössen!$D$2,FALSE)</f>
        <v>Gestione della salute</v>
      </c>
    </row>
    <row r="30" spans="2:6" ht="26" customHeight="1">
      <c r="C30" s="296" t="str">
        <f>VLOOKUP(20,Textbausteine_Menu[],Hilfsgrössen!$D$2,FALSE)</f>
        <v>404 – Formazione e istruzione</v>
      </c>
      <c r="D30" s="295" t="str">
        <f>VLOOKUP(1,Textbausteine_404_[],Hilfsgrössen!$D$2,FALSE)&amp;", "&amp;VLOOKUP(2,Textbausteine_404_[],Hilfsgrössen!$D$2,FALSE)&amp;", "&amp;VLOOKUP(3,Textbausteine_404_[],Hilfsgrössen!$D$2,FALSE)</f>
        <v>Personale in formazione, Nuove leve, Centro carriera</v>
      </c>
      <c r="E30" s="310" t="s">
        <v>3</v>
      </c>
      <c r="F30" s="304" t="s">
        <v>18</v>
      </c>
    </row>
    <row r="31" spans="2:6" ht="26" customHeight="1">
      <c r="C31" s="296" t="str">
        <f>VLOOKUP(21,Textbausteine_Menu[],Hilfsgrössen!$D$2,FALSE)</f>
        <v>405 – Diversità e pari opportunità</v>
      </c>
      <c r="D31" s="295" t="str">
        <f>VLOOKUP(1,Textbausteine_405[],Hilfsgrössen!$D$2,FALSE)&amp;", "&amp;VLOOKUP(2,Textbausteine_405[],Hilfsgrössen!$D$2,FALSE)&amp;", "&amp;VLOOKUP(3,Textbausteine_405[],Hilfsgrössen!$D$2,FALSE)&amp;", "&amp;VLOOKUP(4,Textbausteine_405[],Hilfsgrössen!$D$2,FALSE)</f>
        <v>Donne nel management, Plurilinguismo, Nazionalità, Demografia (distribuzione in base all'età)</v>
      </c>
      <c r="E31" s="310" t="s">
        <v>3</v>
      </c>
      <c r="F31" s="304" t="s">
        <v>19</v>
      </c>
    </row>
    <row r="32" spans="2:6" ht="13" hidden="1" customHeight="1">
      <c r="C32" s="145" t="str">
        <f>VLOOKUP(22,Textbausteine_Menu[],Hilfsgrössen!$D$2,FALSE)</f>
        <v>406 – Non discriminazione</v>
      </c>
      <c r="E32" s="310" t="s">
        <v>3</v>
      </c>
      <c r="F32" s="304" t="s">
        <v>20</v>
      </c>
    </row>
    <row r="33" spans="3:6" ht="13" hidden="1" customHeight="1">
      <c r="C33" s="145" t="str">
        <f>VLOOKUP(23,Textbausteine_Menu[],Hilfsgrössen!$D$2,FALSE)</f>
        <v>407 – Libertà di associazione e diritto alla contrattazione collettiva</v>
      </c>
      <c r="E33" s="310" t="s">
        <v>17</v>
      </c>
      <c r="F33" s="304" t="s">
        <v>4</v>
      </c>
    </row>
    <row r="34" spans="3:6" ht="13" hidden="1" customHeight="1">
      <c r="C34" s="145" t="str">
        <f>VLOOKUP(24,Textbausteine_Menu[],Hilfsgrössen!$D$2,FALSE)</f>
        <v>408 – Lavoro minorile</v>
      </c>
      <c r="E34" s="310" t="s">
        <v>21</v>
      </c>
      <c r="F34" s="304" t="s">
        <v>22</v>
      </c>
    </row>
    <row r="35" spans="3:6" ht="13" hidden="1" customHeight="1">
      <c r="C35" s="145" t="str">
        <f>VLOOKUP(25,Textbausteine_Menu[],Hilfsgrössen!$D$2,FALSE)</f>
        <v>409 – Lavoro forzato o obbligatorio</v>
      </c>
      <c r="E35" s="310" t="s">
        <v>23</v>
      </c>
      <c r="F35" s="304" t="s">
        <v>4</v>
      </c>
    </row>
    <row r="36" spans="3:6" ht="13" hidden="1" customHeight="1">
      <c r="C36" s="145" t="str">
        <f>VLOOKUP(26,Textbausteine_Menu[],Hilfsgrössen!$D$2,FALSE)</f>
        <v>412 – Valutazione dei diritti umani</v>
      </c>
      <c r="E36" s="310" t="s">
        <v>24</v>
      </c>
    </row>
    <row r="37" spans="3:6" ht="13" hidden="1" customHeight="1">
      <c r="C37" s="145" t="str">
        <f>VLOOKUP(27,Textbausteine_Menu[],Hilfsgrössen!$D$2,FALSE)</f>
        <v>413 – Comunità locali</v>
      </c>
      <c r="E37" s="310" t="s">
        <v>24</v>
      </c>
      <c r="F37" s="304" t="s">
        <v>25</v>
      </c>
    </row>
    <row r="38" spans="3:6" ht="13" hidden="1" customHeight="1">
      <c r="C38" s="145" t="str">
        <f>VLOOKUP(28,Textbausteine_Menu[],Hilfsgrössen!$D$2,FALSE)</f>
        <v>414 – Valutazione sociale dei fornitori</v>
      </c>
      <c r="E38" s="310" t="s">
        <v>26</v>
      </c>
      <c r="F38" s="304" t="s">
        <v>20</v>
      </c>
    </row>
    <row r="39" spans="3:6" ht="13" hidden="1" customHeight="1">
      <c r="C39" s="145" t="str">
        <f>VLOOKUP(29,Textbausteine_Menu[],Hilfsgrössen!$D$2,FALSE)</f>
        <v>418 – Privacy dei clienti</v>
      </c>
      <c r="F39" s="304" t="s">
        <v>6</v>
      </c>
    </row>
    <row r="40" spans="3:6" ht="13" hidden="1" customHeight="1">
      <c r="C40" s="145" t="str">
        <f>VLOOKUP(30,Textbausteine_Menu[],Hilfsgrössen!$D$2,FALSE)</f>
        <v>419 – Conformità socioeconomica</v>
      </c>
      <c r="F40" s="304" t="s">
        <v>6</v>
      </c>
    </row>
  </sheetData>
  <sheetProtection algorithmName="SHA-512" hashValue="uXa0xKxzH7BPAbMqnoBuRi7kH+TnKxzw03Pqi53x0kMdH8jmnNFacFuOY30pgTMIxSCFOIhoKBmKnaxpvgyVng==" saltValue="KNr+/euqgQRktVPr68f29Q=="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xr:uid="{00000000-0002-0000-0000-000000000000}"/>
  </dataValidations>
  <hyperlinks>
    <hyperlink ref="F6" r:id="rId1" display="SDG" xr:uid="{00000000-0004-0000-0000-000000000000}"/>
    <hyperlink ref="E6" r:id="rId2" display="UNGC" xr:uid="{00000000-0004-0000-0000-000001000000}"/>
    <hyperlink ref="F11" r:id="rId3" display="SDG" xr:uid="{00000000-0004-0000-0000-000002000000}"/>
    <hyperlink ref="E11" r:id="rId4" display="UNGC" xr:uid="{00000000-0004-0000-0000-000003000000}"/>
    <hyperlink ref="F19" r:id="rId5" display="SDG" xr:uid="{00000000-0004-0000-0000-000004000000}"/>
    <hyperlink ref="E19" r:id="rId6" display="UNGC" xr:uid="{00000000-0004-0000-0000-000005000000}"/>
    <hyperlink ref="F26" r:id="rId7" display="SDG" xr:uid="{00000000-0004-0000-0000-000006000000}"/>
    <hyperlink ref="E26" r:id="rId8" display="UNGC" xr:uid="{00000000-0004-0000-0000-000007000000}"/>
    <hyperlink ref="C7" location="GRI_102" display="GRI_102" xr:uid="{00000000-0004-0000-0000-000008000000}"/>
    <hyperlink ref="C12" location="GRI_201" display="GRI_201" xr:uid="{00000000-0004-0000-0000-000009000000}"/>
    <hyperlink ref="C13" location="GRI_202" display="GRI_202" xr:uid="{00000000-0004-0000-0000-00000A000000}"/>
    <hyperlink ref="C14" location="GRI_203" display="GRI_203" xr:uid="{00000000-0004-0000-0000-00000B000000}"/>
    <hyperlink ref="C21" location="GRI_302" display="GRI_302" xr:uid="{00000000-0004-0000-0000-00000C000000}"/>
    <hyperlink ref="C22" location="GRI_305" display="GRI_305" xr:uid="{00000000-0004-0000-0000-00000D000000}"/>
    <hyperlink ref="C27" location="GRI_401" display="GRI_401" xr:uid="{00000000-0004-0000-0000-00000E000000}"/>
    <hyperlink ref="C29" location="GRI_403" display="GRI_403" xr:uid="{00000000-0004-0000-0000-00000F000000}"/>
    <hyperlink ref="C31" location="GRI_405" display="GRI_405" xr:uid="{00000000-0004-0000-0000-000010000000}"/>
    <hyperlink ref="C30" location="GRI_404" display="GRI_404" xr:uid="{00000000-0004-0000-0000-000011000000}"/>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6">
    <tabColor rgb="FF9E2A2F"/>
  </sheetPr>
  <dimension ref="A2:CE143"/>
  <sheetViews>
    <sheetView showGridLines="0" showRowColHeaders="0" zoomScale="90" zoomScaleNormal="90" workbookViewId="0">
      <pane xSplit="7" topLeftCell="X1" activePane="topRight" state="frozen"/>
      <selection activeCell="B3" sqref="B3:C3"/>
      <selection pane="topRight"/>
    </sheetView>
  </sheetViews>
  <sheetFormatPr baseColWidth="10" defaultColWidth="10.796875" defaultRowHeight="13" customHeight="1"/>
  <cols>
    <col min="1" max="1" width="2.3984375" style="90" customWidth="1"/>
    <col min="2" max="2" width="2.3984375" style="1" customWidth="1"/>
    <col min="3" max="3" width="73.19921875" style="9" customWidth="1"/>
    <col min="4" max="4" width="23.59765625" style="1" customWidth="1"/>
    <col min="5" max="5" width="10" style="37" customWidth="1"/>
    <col min="6" max="6" width="14.19921875" style="37" customWidth="1"/>
    <col min="7" max="7" width="2.3984375" style="47" customWidth="1"/>
    <col min="8" max="13" width="11.796875" style="106" customWidth="1"/>
    <col min="14" max="14" width="11.796875" style="20" customWidth="1"/>
    <col min="15" max="15" width="11.796875" style="106" customWidth="1"/>
    <col min="16" max="82" width="11.796875" style="11" customWidth="1"/>
    <col min="83" max="16384" width="10.796875" style="1"/>
  </cols>
  <sheetData>
    <row r="2" spans="1:83" s="152" customFormat="1" ht="26" customHeight="1">
      <c r="A2" s="87"/>
      <c r="B2" s="500" t="str">
        <f>UPPER(RIGHT(Inhaltsverzeichnis!$C$30,LEN(Inhaltsverzeichnis!$C$30)-FIND(" – ",Inhaltsverzeichnis!$C$30,1)-2))</f>
        <v>FORMAZIONE E ISTRUZIONE</v>
      </c>
      <c r="C2" s="500"/>
      <c r="D2" s="489" t="str">
        <f>VLOOKUP(35,Textbausteine_Menu[],Hilfsgrössen!$D$2,FALSE)</f>
        <v>torna alla tabella dei contenuti</v>
      </c>
      <c r="E2" s="490"/>
      <c r="F2" s="144" t="s">
        <v>0</v>
      </c>
      <c r="G2" s="168"/>
      <c r="H2" s="135"/>
      <c r="I2" s="135"/>
      <c r="J2" s="135"/>
      <c r="K2" s="135"/>
      <c r="L2" s="135"/>
      <c r="M2" s="135"/>
      <c r="N2" s="115"/>
      <c r="O2" s="135"/>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480"/>
    </row>
    <row r="3" spans="1:83" s="153" customFormat="1" ht="26" customHeight="1">
      <c r="A3" s="88"/>
      <c r="B3" s="494" t="str">
        <f>UPPER("GRI "&amp;LEFT(Inhaltsverzeichnis!$C$30,3))</f>
        <v>GRI 404</v>
      </c>
      <c r="C3" s="494"/>
      <c r="D3" s="481"/>
      <c r="E3" s="38"/>
      <c r="F3" s="38"/>
      <c r="G3" s="45"/>
      <c r="H3" s="135"/>
      <c r="I3" s="135"/>
      <c r="J3" s="135"/>
      <c r="K3" s="135"/>
      <c r="L3" s="135"/>
      <c r="M3" s="135"/>
      <c r="N3" s="115"/>
      <c r="O3" s="135"/>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481"/>
    </row>
    <row r="6" spans="1:83" s="31" customFormat="1" ht="13" customHeight="1">
      <c r="A6" s="89"/>
      <c r="B6" s="31" t="str">
        <f>VLOOKUP(31,Textbausteine_Menu[],Hilfsgrössen!$D$2,FALSE)</f>
        <v>Divulgazioni</v>
      </c>
      <c r="C6" s="6"/>
      <c r="E6" s="39"/>
      <c r="F6" s="39"/>
      <c r="G6" s="46"/>
      <c r="H6" s="106"/>
      <c r="I6" s="106"/>
      <c r="J6" s="106"/>
      <c r="K6" s="106"/>
      <c r="L6" s="106"/>
      <c r="M6" s="106"/>
      <c r="N6" s="20"/>
      <c r="O6" s="106"/>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row>
    <row r="7" spans="1:83" ht="13" customHeight="1">
      <c r="B7" s="2"/>
      <c r="C7" s="147" t="str">
        <f>VLOOKUP(1,Textbausteine_404_[],Hilfsgrössen!$D$2,FALSE)</f>
        <v>Personale in formazione</v>
      </c>
      <c r="D7" s="4"/>
    </row>
    <row r="8" spans="1:83" ht="13" customHeight="1">
      <c r="B8" s="2"/>
      <c r="C8" s="147" t="str">
        <f>VLOOKUP(2,Textbausteine_404_[],Hilfsgrössen!$D$2,FALSE)</f>
        <v>Nuove leve</v>
      </c>
      <c r="D8" s="4"/>
    </row>
    <row r="9" spans="1:83" ht="13" customHeight="1">
      <c r="B9" s="2"/>
      <c r="C9" s="147" t="str">
        <f>VLOOKUP(3,Textbausteine_404_[],Hilfsgrössen!$D$2,FALSE)</f>
        <v>Centro carriera</v>
      </c>
    </row>
    <row r="10" spans="1:83" ht="13" customHeight="1">
      <c r="B10" s="2"/>
    </row>
    <row r="11" spans="1:83" ht="13" customHeight="1">
      <c r="B11" s="2"/>
    </row>
    <row r="12" spans="1:83" s="31" customFormat="1" ht="13" customHeight="1">
      <c r="A12" s="56" t="s">
        <v>27</v>
      </c>
      <c r="B12" s="488" t="str">
        <f>$C$7</f>
        <v>Personale in formazione</v>
      </c>
      <c r="C12" s="488"/>
      <c r="D12" s="6" t="str">
        <f>VLOOKUP(32,Textbausteine_Menu[],Hilfsgrössen!$D$2,FALSE)</f>
        <v>Unità</v>
      </c>
      <c r="E12" s="39" t="str">
        <f>VLOOKUP(33,Textbausteine_Menu[],Hilfsgrössen!$D$2,FALSE)</f>
        <v>Note</v>
      </c>
      <c r="F12" s="39" t="str">
        <f>VLOOKUP(34,Textbausteine_Menu[],Hilfsgrössen!$D$2,FALSE)</f>
        <v>GRI</v>
      </c>
      <c r="G12" s="47"/>
      <c r="H12" s="31">
        <v>2004</v>
      </c>
      <c r="I12" s="116">
        <v>2005</v>
      </c>
      <c r="J12" s="116">
        <v>2006</v>
      </c>
      <c r="K12" s="116">
        <v>2007</v>
      </c>
      <c r="L12" s="116">
        <v>2008</v>
      </c>
      <c r="M12" s="116">
        <v>2009</v>
      </c>
      <c r="N12" s="116">
        <v>2010</v>
      </c>
      <c r="O12" s="116">
        <v>2011</v>
      </c>
      <c r="P12" s="116">
        <v>2012</v>
      </c>
      <c r="Q12" s="116">
        <v>2013</v>
      </c>
      <c r="R12" s="116">
        <v>2014</v>
      </c>
      <c r="S12" s="116">
        <v>2015</v>
      </c>
      <c r="T12" s="116">
        <v>2016</v>
      </c>
      <c r="U12" s="116">
        <v>2017</v>
      </c>
      <c r="V12" s="116">
        <v>2018</v>
      </c>
      <c r="W12" s="116">
        <v>2019</v>
      </c>
      <c r="X12" s="242">
        <v>2020</v>
      </c>
      <c r="Y12" s="7"/>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row>
    <row r="13" spans="1:83" s="31" customFormat="1" ht="13" customHeight="1">
      <c r="A13" s="89"/>
      <c r="B13" s="488"/>
      <c r="C13" s="488"/>
      <c r="D13" s="6"/>
      <c r="E13" s="40"/>
      <c r="F13" s="40"/>
      <c r="G13" s="47"/>
      <c r="I13" s="142"/>
      <c r="J13" s="142"/>
      <c r="K13" s="142"/>
      <c r="L13" s="142"/>
      <c r="M13" s="142"/>
      <c r="N13" s="142"/>
      <c r="O13" s="142"/>
      <c r="P13" s="142"/>
      <c r="Q13" s="142"/>
      <c r="R13" s="142"/>
      <c r="S13" s="142"/>
      <c r="T13" s="118"/>
      <c r="U13" s="118"/>
      <c r="V13" s="118"/>
      <c r="W13" s="118"/>
      <c r="X13" s="243"/>
      <c r="Y13" s="121"/>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row>
    <row r="14" spans="1:83" ht="13" customHeight="1">
      <c r="B14" s="8"/>
      <c r="D14" s="9"/>
      <c r="E14" s="40"/>
      <c r="F14" s="40"/>
      <c r="G14" s="48"/>
      <c r="H14" s="1"/>
      <c r="N14" s="106"/>
      <c r="P14" s="106"/>
      <c r="Q14" s="106"/>
      <c r="R14" s="106"/>
      <c r="S14" s="106"/>
      <c r="T14" s="20"/>
      <c r="U14" s="20"/>
      <c r="V14" s="20"/>
      <c r="W14" s="20"/>
      <c r="X14" s="244"/>
      <c r="Y14" s="13"/>
      <c r="CE14" s="11"/>
    </row>
    <row r="15" spans="1:83" ht="13" customHeight="1">
      <c r="B15" s="8" t="str">
        <f>VLOOKUP(37,Textbausteine_Menu[],Hilfsgrössen!$D$2,FALSE)</f>
        <v>Gruppo Svizzera</v>
      </c>
      <c r="C15" s="8"/>
      <c r="D15" s="66"/>
      <c r="E15" s="12"/>
      <c r="F15" s="11"/>
      <c r="G15" s="48"/>
      <c r="H15" s="1"/>
      <c r="N15" s="106"/>
      <c r="P15" s="106"/>
      <c r="Q15" s="106"/>
      <c r="R15" s="106"/>
      <c r="S15" s="106"/>
      <c r="T15" s="20"/>
      <c r="U15" s="20"/>
      <c r="V15" s="20"/>
      <c r="W15" s="20"/>
      <c r="X15" s="244"/>
      <c r="CE15" s="11"/>
    </row>
    <row r="16" spans="1:83" ht="13" customHeight="1">
      <c r="C16" s="9" t="str">
        <f>VLOOKUP(31,Textbausteine_404_[],Hilfsgrössen!$D$2,FALSE)</f>
        <v>Personale in formazione</v>
      </c>
      <c r="D16" s="262" t="str">
        <f>VLOOKUP(11,Textbausteine_404_[],Hilfsgrössen!$D$2,FALSE)</f>
        <v>Persone</v>
      </c>
      <c r="E16" s="71" t="s">
        <v>87</v>
      </c>
      <c r="F16" s="11" t="s">
        <v>155</v>
      </c>
      <c r="G16" s="49"/>
      <c r="H16" s="14">
        <v>1556</v>
      </c>
      <c r="I16" s="14">
        <v>1465</v>
      </c>
      <c r="J16" s="17">
        <v>1429</v>
      </c>
      <c r="K16" s="17">
        <v>1473</v>
      </c>
      <c r="L16" s="356">
        <v>1571</v>
      </c>
      <c r="M16" s="356">
        <v>1690</v>
      </c>
      <c r="N16" s="14">
        <v>1824</v>
      </c>
      <c r="O16" s="14">
        <v>1942</v>
      </c>
      <c r="P16" s="14">
        <v>2015</v>
      </c>
      <c r="Q16" s="17">
        <v>2024</v>
      </c>
      <c r="R16" s="17">
        <v>2035</v>
      </c>
      <c r="S16" s="17">
        <v>2077.1603333333333</v>
      </c>
      <c r="T16" s="14">
        <v>2118</v>
      </c>
      <c r="U16" s="14">
        <v>2115</v>
      </c>
      <c r="V16" s="14">
        <v>2001</v>
      </c>
      <c r="W16" s="14">
        <v>1894</v>
      </c>
      <c r="X16" s="357">
        <v>1863.4645</v>
      </c>
    </row>
    <row r="17" spans="1:24" ht="13" customHeight="1">
      <c r="C17" s="19" t="str">
        <f>VLOOKUP(32,Textbausteine_404_[],Hilfsgrössen!$D$2,FALSE)</f>
        <v>Impiegati/e del commercio al dettaglio</v>
      </c>
      <c r="D17" s="262" t="str">
        <f>VLOOKUP(11,Textbausteine_404_[],Hilfsgrössen!$D$2,FALSE)</f>
        <v>Persone</v>
      </c>
      <c r="E17" s="71" t="s">
        <v>87</v>
      </c>
      <c r="F17" s="11" t="s">
        <v>155</v>
      </c>
      <c r="G17" s="49"/>
      <c r="H17" s="14">
        <v>236</v>
      </c>
      <c r="I17" s="14">
        <v>377</v>
      </c>
      <c r="J17" s="17">
        <v>469</v>
      </c>
      <c r="K17" s="17">
        <v>514</v>
      </c>
      <c r="L17" s="356">
        <v>572</v>
      </c>
      <c r="M17" s="356">
        <v>645</v>
      </c>
      <c r="N17" s="14">
        <v>734</v>
      </c>
      <c r="O17" s="14">
        <v>814</v>
      </c>
      <c r="P17" s="14">
        <v>858</v>
      </c>
      <c r="Q17" s="17">
        <v>854</v>
      </c>
      <c r="R17" s="17">
        <v>827</v>
      </c>
      <c r="S17" s="17">
        <v>792.56275000000005</v>
      </c>
      <c r="T17" s="14">
        <v>730</v>
      </c>
      <c r="U17" s="14">
        <v>651</v>
      </c>
      <c r="V17" s="14">
        <v>554</v>
      </c>
      <c r="W17" s="14">
        <v>459</v>
      </c>
      <c r="X17" s="357">
        <v>406.638333333334</v>
      </c>
    </row>
    <row r="18" spans="1:24" ht="13" customHeight="1">
      <c r="C18" s="263" t="str">
        <f>VLOOKUP(33,Textbausteine_404_[],Hilfsgrössen!$D$2,FALSE)</f>
        <v>Operatori/trici per la comunicazione con la clientela</v>
      </c>
      <c r="D18" s="262" t="str">
        <f>VLOOKUP(11,Textbausteine_404_[],Hilfsgrössen!$D$2,FALSE)</f>
        <v>Persone</v>
      </c>
      <c r="E18" s="71" t="s">
        <v>87</v>
      </c>
      <c r="F18" s="11" t="s">
        <v>155</v>
      </c>
      <c r="G18" s="49"/>
      <c r="H18" s="14" t="s">
        <v>30</v>
      </c>
      <c r="I18" s="14" t="s">
        <v>30</v>
      </c>
      <c r="J18" s="17" t="s">
        <v>30</v>
      </c>
      <c r="K18" s="17" t="s">
        <v>30</v>
      </c>
      <c r="L18" s="356" t="s">
        <v>30</v>
      </c>
      <c r="M18" s="356" t="s">
        <v>30</v>
      </c>
      <c r="N18" s="14" t="s">
        <v>30</v>
      </c>
      <c r="O18" s="14" t="s">
        <v>30</v>
      </c>
      <c r="P18" s="14" t="s">
        <v>30</v>
      </c>
      <c r="Q18" s="14">
        <v>4</v>
      </c>
      <c r="R18" s="14">
        <v>9</v>
      </c>
      <c r="S18" s="14">
        <v>20</v>
      </c>
      <c r="T18" s="358">
        <v>33</v>
      </c>
      <c r="U18" s="358">
        <v>44</v>
      </c>
      <c r="V18" s="358">
        <v>53</v>
      </c>
      <c r="W18" s="358">
        <v>58</v>
      </c>
      <c r="X18" s="359">
        <v>58.2293333333334</v>
      </c>
    </row>
    <row r="19" spans="1:24" s="11" customFormat="1" ht="13" customHeight="1">
      <c r="A19" s="90"/>
      <c r="B19" s="1"/>
      <c r="C19" s="19" t="str">
        <f>VLOOKUP(34,Textbausteine_404_[],Hilfsgrössen!$D$2,FALSE)</f>
        <v>Impiegati/e di commercio</v>
      </c>
      <c r="D19" s="262" t="str">
        <f>VLOOKUP(11,Textbausteine_404_[],Hilfsgrössen!$D$2,FALSE)</f>
        <v>Persone</v>
      </c>
      <c r="E19" s="71" t="s">
        <v>87</v>
      </c>
      <c r="F19" s="11" t="s">
        <v>155</v>
      </c>
      <c r="G19" s="49"/>
      <c r="H19" s="14">
        <v>329</v>
      </c>
      <c r="I19" s="14">
        <v>212</v>
      </c>
      <c r="J19" s="17">
        <v>170</v>
      </c>
      <c r="K19" s="17">
        <v>196</v>
      </c>
      <c r="L19" s="356">
        <v>213</v>
      </c>
      <c r="M19" s="356">
        <v>219</v>
      </c>
      <c r="N19" s="14">
        <v>227</v>
      </c>
      <c r="O19" s="14">
        <v>240</v>
      </c>
      <c r="P19" s="14">
        <v>251</v>
      </c>
      <c r="Q19" s="17">
        <v>257</v>
      </c>
      <c r="R19" s="17">
        <v>255</v>
      </c>
      <c r="S19" s="17">
        <v>268.50883333333331</v>
      </c>
      <c r="T19" s="358">
        <v>286</v>
      </c>
      <c r="U19" s="358">
        <v>287</v>
      </c>
      <c r="V19" s="358">
        <v>261</v>
      </c>
      <c r="W19" s="358">
        <v>229</v>
      </c>
      <c r="X19" s="359">
        <v>205.84966666666625</v>
      </c>
    </row>
    <row r="20" spans="1:24" s="11" customFormat="1" ht="13" customHeight="1">
      <c r="A20" s="90"/>
      <c r="B20" s="1"/>
      <c r="C20" s="19" t="str">
        <f>VLOOKUP(35,Textbausteine_404_[],Hilfsgrössen!$D$2,FALSE)</f>
        <v>Stagisti di commercio</v>
      </c>
      <c r="D20" s="262" t="str">
        <f>VLOOKUP(11,Textbausteine_404_[],Hilfsgrössen!$D$2,FALSE)</f>
        <v>Persone</v>
      </c>
      <c r="E20" s="71" t="s">
        <v>156</v>
      </c>
      <c r="F20" s="11" t="s">
        <v>155</v>
      </c>
      <c r="G20" s="49"/>
      <c r="H20" s="14">
        <v>50</v>
      </c>
      <c r="I20" s="14">
        <v>42</v>
      </c>
      <c r="J20" s="360">
        <v>34</v>
      </c>
      <c r="K20" s="17">
        <v>34</v>
      </c>
      <c r="L20" s="356">
        <v>35</v>
      </c>
      <c r="M20" s="356">
        <v>35</v>
      </c>
      <c r="N20" s="14">
        <v>36</v>
      </c>
      <c r="O20" s="14">
        <v>37</v>
      </c>
      <c r="P20" s="14">
        <v>43</v>
      </c>
      <c r="Q20" s="17">
        <v>46</v>
      </c>
      <c r="R20" s="17">
        <v>49</v>
      </c>
      <c r="S20" s="17">
        <v>53.676416666666242</v>
      </c>
      <c r="T20" s="14">
        <v>69</v>
      </c>
      <c r="U20" s="14">
        <v>82</v>
      </c>
      <c r="V20" s="14">
        <v>87</v>
      </c>
      <c r="W20" s="14">
        <v>83</v>
      </c>
      <c r="X20" s="357">
        <v>58.881</v>
      </c>
    </row>
    <row r="21" spans="1:24" s="11" customFormat="1" ht="13" customHeight="1">
      <c r="A21" s="90"/>
      <c r="B21" s="1"/>
      <c r="C21" s="19" t="str">
        <f>VLOOKUP(36,Textbausteine_404_[],Hilfsgrössen!$D$2,FALSE)</f>
        <v>Impiegati/e in logistica AFC Recapito</v>
      </c>
      <c r="D21" s="262" t="str">
        <f>VLOOKUP(11,Textbausteine_404_[],Hilfsgrössen!$D$2,FALSE)</f>
        <v>Persone</v>
      </c>
      <c r="E21" s="71" t="s">
        <v>87</v>
      </c>
      <c r="F21" s="11" t="s">
        <v>155</v>
      </c>
      <c r="G21" s="49"/>
      <c r="H21" s="14">
        <v>611</v>
      </c>
      <c r="I21" s="14">
        <v>568</v>
      </c>
      <c r="J21" s="17">
        <v>541</v>
      </c>
      <c r="K21" s="17">
        <v>506</v>
      </c>
      <c r="L21" s="356">
        <v>514</v>
      </c>
      <c r="M21" s="356">
        <v>539</v>
      </c>
      <c r="N21" s="14">
        <v>564</v>
      </c>
      <c r="O21" s="14">
        <v>580</v>
      </c>
      <c r="P21" s="14">
        <v>578</v>
      </c>
      <c r="Q21" s="17">
        <v>574</v>
      </c>
      <c r="R21" s="17">
        <v>608</v>
      </c>
      <c r="S21" s="17">
        <v>657.55058333333329</v>
      </c>
      <c r="T21" s="17">
        <v>705</v>
      </c>
      <c r="U21" s="17">
        <v>741</v>
      </c>
      <c r="V21" s="17">
        <v>751</v>
      </c>
      <c r="W21" s="17">
        <v>773</v>
      </c>
      <c r="X21" s="361">
        <v>808.81658333333326</v>
      </c>
    </row>
    <row r="22" spans="1:24" s="11" customFormat="1" ht="13" customHeight="1">
      <c r="A22" s="90"/>
      <c r="B22" s="1"/>
      <c r="C22" s="19" t="str">
        <f>VLOOKUP(37,Textbausteine_404_[],Hilfsgrössen!$D$2,FALSE)</f>
        <v>Addetti/e alla logistica CFP Recapito</v>
      </c>
      <c r="D22" s="262" t="str">
        <f>VLOOKUP(11,Textbausteine_404_[],Hilfsgrössen!$D$2,FALSE)</f>
        <v>Persone</v>
      </c>
      <c r="E22" s="71" t="s">
        <v>87</v>
      </c>
      <c r="F22" s="11" t="s">
        <v>155</v>
      </c>
      <c r="G22" s="49"/>
      <c r="H22" s="14">
        <v>110</v>
      </c>
      <c r="I22" s="14">
        <v>90</v>
      </c>
      <c r="J22" s="17">
        <v>74</v>
      </c>
      <c r="K22" s="17">
        <v>74</v>
      </c>
      <c r="L22" s="17">
        <v>78</v>
      </c>
      <c r="M22" s="356">
        <v>83</v>
      </c>
      <c r="N22" s="14">
        <v>92</v>
      </c>
      <c r="O22" s="14">
        <v>102</v>
      </c>
      <c r="P22" s="14">
        <v>116</v>
      </c>
      <c r="Q22" s="17">
        <v>122</v>
      </c>
      <c r="R22" s="17">
        <v>119</v>
      </c>
      <c r="S22" s="17">
        <v>112.87958333333333</v>
      </c>
      <c r="T22" s="17">
        <v>119</v>
      </c>
      <c r="U22" s="17">
        <v>119</v>
      </c>
      <c r="V22" s="17">
        <v>103</v>
      </c>
      <c r="W22" s="17">
        <v>100</v>
      </c>
      <c r="X22" s="361">
        <v>103.35583333333339</v>
      </c>
    </row>
    <row r="23" spans="1:24" s="11" customFormat="1" ht="13" customHeight="1">
      <c r="A23" s="90"/>
      <c r="B23" s="1"/>
      <c r="C23" s="19" t="str">
        <f>VLOOKUP(38,Textbausteine_404_[],Hilfsgrössen!$D$2,FALSE)</f>
        <v>Impiegati/e in logistica AFC Magazzino</v>
      </c>
      <c r="D23" s="262" t="str">
        <f>VLOOKUP(11,Textbausteine_404_[],Hilfsgrössen!$D$2,FALSE)</f>
        <v>Persone</v>
      </c>
      <c r="E23" s="71" t="s">
        <v>87</v>
      </c>
      <c r="F23" s="11" t="s">
        <v>155</v>
      </c>
      <c r="G23" s="49"/>
      <c r="H23" s="17">
        <v>6</v>
      </c>
      <c r="I23" s="17">
        <v>8</v>
      </c>
      <c r="J23" s="17">
        <v>11</v>
      </c>
      <c r="K23" s="17">
        <v>12</v>
      </c>
      <c r="L23" s="17">
        <v>14</v>
      </c>
      <c r="M23" s="17">
        <v>17</v>
      </c>
      <c r="N23" s="17">
        <v>15</v>
      </c>
      <c r="O23" s="17">
        <v>16</v>
      </c>
      <c r="P23" s="17">
        <v>17</v>
      </c>
      <c r="Q23" s="17">
        <v>11</v>
      </c>
      <c r="R23" s="17">
        <v>7</v>
      </c>
      <c r="S23" s="17">
        <v>4.583333333333333</v>
      </c>
      <c r="T23" s="17">
        <v>5</v>
      </c>
      <c r="U23" s="17">
        <v>8</v>
      </c>
      <c r="V23" s="17">
        <v>10</v>
      </c>
      <c r="W23" s="17">
        <v>13</v>
      </c>
      <c r="X23" s="361">
        <v>16.000000000000004</v>
      </c>
    </row>
    <row r="24" spans="1:24" s="11" customFormat="1" ht="13" customHeight="1">
      <c r="A24" s="90"/>
      <c r="B24" s="1"/>
      <c r="C24" s="19" t="str">
        <f>VLOOKUP(39,Textbausteine_404_[],Hilfsgrössen!$D$2,FALSE)</f>
        <v>Autisti di veicoli pesanti AFC</v>
      </c>
      <c r="D24" s="262" t="str">
        <f>VLOOKUP(11,Textbausteine_404_[],Hilfsgrössen!$D$2,FALSE)</f>
        <v>Persone</v>
      </c>
      <c r="E24" s="71" t="s">
        <v>87</v>
      </c>
      <c r="F24" s="11" t="s">
        <v>155</v>
      </c>
      <c r="G24" s="49"/>
      <c r="H24" s="17">
        <v>33</v>
      </c>
      <c r="I24" s="17">
        <v>32</v>
      </c>
      <c r="J24" s="17">
        <v>32</v>
      </c>
      <c r="K24" s="17">
        <v>30</v>
      </c>
      <c r="L24" s="17">
        <v>33</v>
      </c>
      <c r="M24" s="17">
        <v>37</v>
      </c>
      <c r="N24" s="17">
        <v>36</v>
      </c>
      <c r="O24" s="17">
        <v>32</v>
      </c>
      <c r="P24" s="17">
        <v>28</v>
      </c>
      <c r="Q24" s="17">
        <v>28</v>
      </c>
      <c r="R24" s="17">
        <v>24</v>
      </c>
      <c r="S24" s="17">
        <v>18.002666666666666</v>
      </c>
      <c r="T24" s="17">
        <v>8</v>
      </c>
      <c r="U24" s="17">
        <v>3</v>
      </c>
      <c r="V24" s="17" t="s">
        <v>30</v>
      </c>
      <c r="W24" s="17" t="s">
        <v>30</v>
      </c>
      <c r="X24" s="361" t="s">
        <v>30</v>
      </c>
    </row>
    <row r="25" spans="1:24" s="11" customFormat="1" ht="13" customHeight="1">
      <c r="A25" s="90"/>
      <c r="B25" s="1"/>
      <c r="C25" s="19" t="str">
        <f>VLOOKUP(40,Textbausteine_404_[],Hilfsgrössen!$D$2,FALSE)</f>
        <v>Informatici/che</v>
      </c>
      <c r="D25" s="262" t="str">
        <f>VLOOKUP(11,Textbausteine_404_[],Hilfsgrössen!$D$2,FALSE)</f>
        <v>Persone</v>
      </c>
      <c r="E25" s="71" t="s">
        <v>156</v>
      </c>
      <c r="F25" s="11" t="s">
        <v>155</v>
      </c>
      <c r="G25" s="49"/>
      <c r="H25" s="17">
        <v>89</v>
      </c>
      <c r="I25" s="17">
        <v>74</v>
      </c>
      <c r="J25" s="17">
        <v>72</v>
      </c>
      <c r="K25" s="17">
        <v>80</v>
      </c>
      <c r="L25" s="17">
        <v>84</v>
      </c>
      <c r="M25" s="17">
        <v>80</v>
      </c>
      <c r="N25" s="17">
        <v>80</v>
      </c>
      <c r="O25" s="17">
        <v>79</v>
      </c>
      <c r="P25" s="17">
        <v>82</v>
      </c>
      <c r="Q25" s="17">
        <v>85</v>
      </c>
      <c r="R25" s="17">
        <v>89</v>
      </c>
      <c r="S25" s="17">
        <v>98.014750000000006</v>
      </c>
      <c r="T25" s="17">
        <v>105</v>
      </c>
      <c r="U25" s="17">
        <v>116</v>
      </c>
      <c r="V25" s="17">
        <v>119</v>
      </c>
      <c r="W25" s="17">
        <v>117</v>
      </c>
      <c r="X25" s="361">
        <v>142.67891666666657</v>
      </c>
    </row>
    <row r="26" spans="1:24" s="11" customFormat="1" ht="13" customHeight="1">
      <c r="A26" s="90"/>
      <c r="B26" s="1"/>
      <c r="C26" s="19" t="str">
        <f>VLOOKUP(41,Textbausteine_404_[],Hilfsgrössen!$D$2,FALSE)</f>
        <v>Mediamatici/che</v>
      </c>
      <c r="D26" s="262" t="str">
        <f>VLOOKUP(11,Textbausteine_404_[],Hilfsgrössen!$D$2,FALSE)</f>
        <v>Persone</v>
      </c>
      <c r="E26" s="71" t="s">
        <v>87</v>
      </c>
      <c r="F26" s="11" t="s">
        <v>155</v>
      </c>
      <c r="G26" s="49"/>
      <c r="H26" s="17" t="s">
        <v>30</v>
      </c>
      <c r="I26" s="17" t="s">
        <v>30</v>
      </c>
      <c r="J26" s="17" t="s">
        <v>30</v>
      </c>
      <c r="K26" s="17" t="s">
        <v>30</v>
      </c>
      <c r="L26" s="17" t="s">
        <v>30</v>
      </c>
      <c r="M26" s="17">
        <v>8</v>
      </c>
      <c r="N26" s="17">
        <v>14</v>
      </c>
      <c r="O26" s="17">
        <v>16</v>
      </c>
      <c r="P26" s="17">
        <v>16</v>
      </c>
      <c r="Q26" s="17">
        <v>17</v>
      </c>
      <c r="R26" s="17">
        <v>19</v>
      </c>
      <c r="S26" s="17">
        <v>22.75</v>
      </c>
      <c r="T26" s="17">
        <v>26</v>
      </c>
      <c r="U26" s="17">
        <v>32</v>
      </c>
      <c r="V26" s="17">
        <v>33</v>
      </c>
      <c r="W26" s="17">
        <v>31</v>
      </c>
      <c r="X26" s="361">
        <v>30.453250000000001</v>
      </c>
    </row>
    <row r="27" spans="1:24" s="11" customFormat="1" ht="13" customHeight="1">
      <c r="A27" s="90"/>
      <c r="B27" s="1"/>
      <c r="C27" s="19" t="str">
        <f>VLOOKUP(42,Textbausteine_404_[],Hilfsgrössen!$D$2,FALSE)</f>
        <v>Operatori/trici in automatica</v>
      </c>
      <c r="D27" s="262" t="str">
        <f>VLOOKUP(11,Textbausteine_404_[],Hilfsgrössen!$D$2,FALSE)</f>
        <v>Persone</v>
      </c>
      <c r="E27" s="71" t="s">
        <v>87</v>
      </c>
      <c r="F27" s="11" t="s">
        <v>155</v>
      </c>
      <c r="G27" s="49"/>
      <c r="H27" s="17">
        <v>20</v>
      </c>
      <c r="I27" s="17">
        <v>20</v>
      </c>
      <c r="J27" s="17">
        <v>18</v>
      </c>
      <c r="K27" s="17">
        <v>17</v>
      </c>
      <c r="L27" s="17">
        <v>17</v>
      </c>
      <c r="M27" s="17">
        <v>15</v>
      </c>
      <c r="N27" s="17">
        <v>13</v>
      </c>
      <c r="O27" s="17">
        <v>13</v>
      </c>
      <c r="P27" s="17">
        <v>14</v>
      </c>
      <c r="Q27" s="17">
        <v>16</v>
      </c>
      <c r="R27" s="17">
        <v>18</v>
      </c>
      <c r="S27" s="17">
        <v>17.569916666666668</v>
      </c>
      <c r="T27" s="17">
        <v>19</v>
      </c>
      <c r="U27" s="17">
        <v>21</v>
      </c>
      <c r="V27" s="17">
        <v>21</v>
      </c>
      <c r="W27" s="17">
        <v>22</v>
      </c>
      <c r="X27" s="361">
        <v>21.88416666666663</v>
      </c>
    </row>
    <row r="28" spans="1:24" s="11" customFormat="1" ht="13" customHeight="1">
      <c r="A28" s="90"/>
      <c r="B28" s="1"/>
      <c r="C28" s="19" t="str">
        <f>VLOOKUP(43,Textbausteine_404_[],Hilfsgrössen!$D$2,FALSE)</f>
        <v>Operatori/trici di edifici e infrastrutture AFC</v>
      </c>
      <c r="D28" s="262" t="str">
        <f>VLOOKUP(11,Textbausteine_404_[],Hilfsgrössen!$D$2,FALSE)</f>
        <v>Persone</v>
      </c>
      <c r="E28" s="71" t="s">
        <v>87</v>
      </c>
      <c r="F28" s="11" t="s">
        <v>155</v>
      </c>
      <c r="G28" s="49"/>
      <c r="H28" s="17">
        <v>1</v>
      </c>
      <c r="I28" s="17">
        <v>4</v>
      </c>
      <c r="J28" s="17">
        <v>8</v>
      </c>
      <c r="K28" s="17">
        <v>10</v>
      </c>
      <c r="L28" s="17">
        <v>9</v>
      </c>
      <c r="M28" s="17">
        <v>9</v>
      </c>
      <c r="N28" s="17">
        <v>10</v>
      </c>
      <c r="O28" s="17">
        <v>10</v>
      </c>
      <c r="P28" s="17">
        <v>10</v>
      </c>
      <c r="Q28" s="17">
        <v>10</v>
      </c>
      <c r="R28" s="17">
        <v>11</v>
      </c>
      <c r="S28" s="17">
        <v>11.061500000000001</v>
      </c>
      <c r="T28" s="17">
        <v>12</v>
      </c>
      <c r="U28" s="17">
        <v>11</v>
      </c>
      <c r="V28" s="17">
        <v>9</v>
      </c>
      <c r="W28" s="17">
        <v>9</v>
      </c>
      <c r="X28" s="361">
        <v>10.677416666666669</v>
      </c>
    </row>
    <row r="29" spans="1:24" s="11" customFormat="1" ht="13" customHeight="1">
      <c r="A29" s="90"/>
      <c r="B29" s="1"/>
      <c r="C29" s="19" t="str">
        <f>VLOOKUP(44,Textbausteine_404_[],Hilfsgrössen!$D$2,FALSE)</f>
        <v>Operatori/trici d'infanzia</v>
      </c>
      <c r="D29" s="262" t="str">
        <f>VLOOKUP(11,Textbausteine_404_[],Hilfsgrössen!$D$2,FALSE)</f>
        <v>Persone</v>
      </c>
      <c r="E29" s="71" t="s">
        <v>87</v>
      </c>
      <c r="F29" s="11" t="s">
        <v>155</v>
      </c>
      <c r="G29" s="49"/>
      <c r="H29" s="17" t="s">
        <v>30</v>
      </c>
      <c r="I29" s="17" t="s">
        <v>30</v>
      </c>
      <c r="J29" s="17" t="s">
        <v>30</v>
      </c>
      <c r="K29" s="17" t="s">
        <v>30</v>
      </c>
      <c r="L29" s="17">
        <v>2</v>
      </c>
      <c r="M29" s="17">
        <v>3</v>
      </c>
      <c r="N29" s="17">
        <v>3</v>
      </c>
      <c r="O29" s="17">
        <v>3</v>
      </c>
      <c r="P29" s="17">
        <v>2</v>
      </c>
      <c r="Q29" s="17" t="s">
        <v>30</v>
      </c>
      <c r="R29" s="17" t="s">
        <v>30</v>
      </c>
      <c r="S29" s="17" t="s">
        <v>30</v>
      </c>
      <c r="T29" s="17" t="s">
        <v>30</v>
      </c>
      <c r="U29" s="17" t="s">
        <v>30</v>
      </c>
      <c r="V29" s="17" t="s">
        <v>30</v>
      </c>
      <c r="W29" s="17" t="s">
        <v>30</v>
      </c>
      <c r="X29" s="361" t="s">
        <v>30</v>
      </c>
    </row>
    <row r="30" spans="1:24" s="11" customFormat="1" ht="13" customHeight="1">
      <c r="A30" s="90"/>
      <c r="B30" s="1"/>
      <c r="C30" s="191"/>
      <c r="D30" s="191"/>
      <c r="E30" s="264"/>
      <c r="G30" s="49"/>
      <c r="H30" s="106"/>
      <c r="I30" s="106"/>
      <c r="J30" s="106"/>
      <c r="K30" s="106"/>
      <c r="L30" s="106"/>
      <c r="M30" s="106"/>
      <c r="N30" s="106"/>
      <c r="O30" s="106"/>
      <c r="T30" s="106"/>
      <c r="U30" s="106"/>
      <c r="V30" s="106"/>
      <c r="W30" s="106"/>
      <c r="X30" s="245"/>
    </row>
    <row r="31" spans="1:24" s="11" customFormat="1" ht="13" customHeight="1">
      <c r="A31" s="90"/>
      <c r="B31" s="1"/>
      <c r="C31" s="66" t="str">
        <f>VLOOKUP(45,Textbausteine_404_[],Hilfsgrössen!$D$2,FALSE)</f>
        <v>Percentuale persone in formazione</v>
      </c>
      <c r="D31" s="66" t="str">
        <f>VLOOKUP(12,Textbausteine_404_[],Hilfsgrössen!$D$2,FALSE)</f>
        <v>% dell'unità di personale</v>
      </c>
      <c r="E31" s="71" t="s">
        <v>148</v>
      </c>
      <c r="F31" s="11" t="s">
        <v>155</v>
      </c>
      <c r="G31" s="49"/>
      <c r="H31" s="106">
        <v>3.8</v>
      </c>
      <c r="I31" s="106">
        <v>3.7</v>
      </c>
      <c r="J31" s="106">
        <v>3.7</v>
      </c>
      <c r="K31" s="106">
        <v>3.9</v>
      </c>
      <c r="L31" s="106">
        <v>4.0999999999999996</v>
      </c>
      <c r="M31" s="106">
        <v>4.5</v>
      </c>
      <c r="N31" s="106">
        <v>4.8</v>
      </c>
      <c r="O31" s="106">
        <v>5.1515088307931398</v>
      </c>
      <c r="P31" s="11">
        <v>5.3</v>
      </c>
      <c r="Q31" s="11">
        <v>5.4</v>
      </c>
      <c r="R31" s="11">
        <v>5.5</v>
      </c>
      <c r="S31" s="11">
        <v>5.7</v>
      </c>
      <c r="T31" s="106">
        <v>5.8</v>
      </c>
      <c r="U31" s="106">
        <v>6</v>
      </c>
      <c r="V31" s="106">
        <v>5.8</v>
      </c>
      <c r="W31" s="106">
        <v>5.7</v>
      </c>
      <c r="X31" s="245">
        <v>5.6</v>
      </c>
    </row>
    <row r="32" spans="1:24" s="11" customFormat="1" ht="13" customHeight="1">
      <c r="A32" s="90"/>
      <c r="B32" s="1"/>
      <c r="C32" s="66" t="str">
        <f>VLOOKUP(46,Textbausteine_404_[],Hilfsgrössen!$D$2,FALSE)</f>
        <v>Assunzioni di persone in formazione</v>
      </c>
      <c r="D32" s="66" t="str">
        <f>VLOOKUP(11,Textbausteine_404_[],Hilfsgrössen!$D$2,FALSE)</f>
        <v>Persone</v>
      </c>
      <c r="E32" s="71" t="s">
        <v>28</v>
      </c>
      <c r="F32" s="11" t="s">
        <v>155</v>
      </c>
      <c r="G32" s="49"/>
      <c r="H32" s="17">
        <v>479</v>
      </c>
      <c r="I32" s="17">
        <v>512</v>
      </c>
      <c r="J32" s="17">
        <v>566</v>
      </c>
      <c r="K32" s="17">
        <v>606</v>
      </c>
      <c r="L32" s="17">
        <v>633</v>
      </c>
      <c r="M32" s="17">
        <v>720</v>
      </c>
      <c r="N32" s="17">
        <v>748</v>
      </c>
      <c r="O32" s="17">
        <v>755</v>
      </c>
      <c r="P32" s="17">
        <v>775</v>
      </c>
      <c r="Q32" s="17">
        <v>778</v>
      </c>
      <c r="R32" s="17">
        <v>803</v>
      </c>
      <c r="S32" s="17">
        <v>837</v>
      </c>
      <c r="T32" s="17">
        <v>836</v>
      </c>
      <c r="U32" s="17">
        <v>756</v>
      </c>
      <c r="V32" s="17">
        <v>714</v>
      </c>
      <c r="W32" s="17">
        <v>762</v>
      </c>
      <c r="X32" s="361">
        <v>743</v>
      </c>
    </row>
    <row r="33" spans="1:82" s="11" customFormat="1" ht="13" customHeight="1">
      <c r="A33" s="90"/>
      <c r="B33" s="1"/>
      <c r="C33" s="66" t="str">
        <f>VLOOKUP(47,Textbausteine_404_[],Hilfsgrössen!$D$2,FALSE)</f>
        <v>Quota di persone in formazione assunte</v>
      </c>
      <c r="D33" s="66" t="str">
        <f>VLOOKUP(13,Textbausteine_404_[],Hilfsgrössen!$D$2,FALSE)</f>
        <v>% delle persone</v>
      </c>
      <c r="E33" s="71" t="s">
        <v>31</v>
      </c>
      <c r="F33" s="11" t="s">
        <v>155</v>
      </c>
      <c r="G33" s="50"/>
      <c r="H33" s="17">
        <v>83</v>
      </c>
      <c r="I33" s="17">
        <v>81</v>
      </c>
      <c r="J33" s="17">
        <v>92</v>
      </c>
      <c r="K33" s="17">
        <v>91</v>
      </c>
      <c r="L33" s="17">
        <v>91</v>
      </c>
      <c r="M33" s="17">
        <v>82</v>
      </c>
      <c r="N33" s="17">
        <v>90</v>
      </c>
      <c r="O33" s="17">
        <v>90</v>
      </c>
      <c r="P33" s="17">
        <v>83</v>
      </c>
      <c r="Q33" s="17">
        <v>83</v>
      </c>
      <c r="R33" s="17">
        <v>87</v>
      </c>
      <c r="S33" s="17">
        <v>84</v>
      </c>
      <c r="T33" s="17">
        <v>68</v>
      </c>
      <c r="U33" s="17">
        <v>62</v>
      </c>
      <c r="V33" s="17">
        <v>76.900000000000006</v>
      </c>
      <c r="W33" s="17">
        <v>81</v>
      </c>
      <c r="X33" s="361">
        <v>63</v>
      </c>
    </row>
    <row r="34" spans="1:82" s="11" customFormat="1" ht="13" customHeight="1">
      <c r="A34" s="146"/>
      <c r="B34" s="9"/>
      <c r="C34" s="76"/>
      <c r="D34" s="66"/>
      <c r="G34" s="49"/>
      <c r="H34" s="106"/>
      <c r="I34" s="106"/>
      <c r="J34" s="106"/>
      <c r="K34" s="106"/>
      <c r="L34" s="106"/>
      <c r="M34" s="106"/>
      <c r="N34" s="106"/>
      <c r="O34" s="106"/>
      <c r="T34" s="106"/>
      <c r="U34" s="106"/>
      <c r="V34" s="106"/>
      <c r="W34" s="106"/>
      <c r="X34" s="106"/>
    </row>
    <row r="35" spans="1:82" s="106" customFormat="1" ht="13" customHeight="1">
      <c r="A35" s="90"/>
      <c r="B35" s="265" t="str">
        <f>VLOOKUP(131,Textbausteine_404_[],Hilfsgrössen!$D$2,FALSE)</f>
        <v>1)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v>
      </c>
      <c r="C35" s="265"/>
      <c r="D35" s="265"/>
      <c r="E35" s="265"/>
      <c r="F35" s="309"/>
      <c r="G35" s="265"/>
      <c r="H35" s="265"/>
      <c r="I35" s="265"/>
      <c r="J35" s="265"/>
      <c r="K35" s="265"/>
      <c r="L35" s="265"/>
      <c r="M35" s="265"/>
      <c r="N35" s="265"/>
      <c r="O35" s="265"/>
      <c r="P35" s="265"/>
      <c r="Q35" s="265"/>
      <c r="R35" s="265"/>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row>
    <row r="36" spans="1:82" s="106" customFormat="1" ht="13" customHeight="1">
      <c r="A36" s="90"/>
      <c r="B36" s="265" t="str">
        <f>VLOOKUP(132,Textbausteine_404_[],Hilfsgrössen!$D$2,FALSE)</f>
        <v>2) Valori medi annuali</v>
      </c>
      <c r="C36" s="265"/>
      <c r="D36" s="265"/>
      <c r="E36" s="265"/>
      <c r="F36" s="309"/>
      <c r="G36" s="265"/>
      <c r="H36" s="265"/>
      <c r="I36" s="265"/>
      <c r="J36" s="265"/>
      <c r="K36" s="265"/>
      <c r="L36" s="265"/>
      <c r="M36" s="265"/>
      <c r="N36" s="265"/>
      <c r="O36" s="265"/>
      <c r="P36" s="265"/>
      <c r="Q36" s="265"/>
      <c r="R36" s="265"/>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row>
    <row r="37" spans="1:82" s="106" customFormat="1" ht="13" customHeight="1">
      <c r="A37" s="90"/>
      <c r="B37" s="265" t="str">
        <f>VLOOKUP(133,Textbausteine_404_[],Hilfsgrössen!$D$2,FALSE)</f>
        <v>3) Un’unità di personale corrisponde a un impiego a tempo pieno</v>
      </c>
      <c r="C37" s="265"/>
      <c r="D37" s="265"/>
      <c r="E37" s="265"/>
      <c r="F37" s="309"/>
      <c r="G37" s="265"/>
      <c r="H37" s="265"/>
      <c r="I37" s="265"/>
      <c r="J37" s="265"/>
      <c r="K37" s="265"/>
      <c r="L37" s="265"/>
      <c r="M37" s="265"/>
      <c r="N37" s="265"/>
      <c r="O37" s="265"/>
      <c r="P37" s="265"/>
      <c r="Q37" s="265"/>
      <c r="R37" s="265"/>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row>
    <row r="38" spans="1:82" s="106" customFormat="1" ht="13" customHeight="1">
      <c r="A38" s="90"/>
      <c r="B38" s="265" t="str">
        <f>VLOOKUP(134,Textbausteine_404_[],Hilfsgrössen!$D$2,FALSE)</f>
        <v>4) Adeguamento del valore 2018 a seguito della modifica del metodo di calcolo</v>
      </c>
      <c r="C38" s="265"/>
      <c r="D38" s="265"/>
      <c r="E38" s="265"/>
      <c r="F38" s="309"/>
      <c r="G38" s="265"/>
      <c r="H38" s="265"/>
      <c r="I38" s="265"/>
      <c r="J38" s="265"/>
      <c r="K38" s="265"/>
      <c r="L38" s="265"/>
      <c r="M38" s="265"/>
      <c r="N38" s="265"/>
      <c r="O38" s="265"/>
      <c r="P38" s="265"/>
      <c r="Q38" s="265"/>
      <c r="R38" s="265"/>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row>
    <row r="39" spans="1:82" s="106" customFormat="1" ht="13" customHeight="1">
      <c r="A39" s="90"/>
      <c r="B39" s="265" t="str">
        <f>VLOOKUP(135,Textbausteine_404_[],Hilfsgrössen!$D$2,FALSE)</f>
        <v>5) Valore 2018 adattato</v>
      </c>
      <c r="C39" s="265"/>
      <c r="D39" s="265"/>
      <c r="E39" s="265"/>
      <c r="F39" s="309"/>
      <c r="G39" s="265"/>
      <c r="H39" s="265"/>
      <c r="I39" s="265"/>
      <c r="J39" s="265"/>
      <c r="K39" s="265"/>
      <c r="L39" s="265"/>
      <c r="M39" s="265"/>
      <c r="N39" s="265"/>
      <c r="O39" s="265"/>
      <c r="P39" s="265"/>
      <c r="Q39" s="265"/>
      <c r="R39" s="265"/>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row>
    <row r="40" spans="1:82" s="106" customFormat="1" ht="13" customHeight="1">
      <c r="A40" s="90"/>
      <c r="B40" s="265" t="str">
        <f>VLOOKUP(136,Textbausteine_404_[],Hilfsgrössen!$D$2,FALSE)</f>
        <v>6) Gruppo Svizzera contratto di tirocinio Formazione professionale Posta</v>
      </c>
      <c r="C40" s="265"/>
      <c r="D40" s="265"/>
      <c r="E40" s="265"/>
      <c r="F40" s="309"/>
      <c r="G40" s="265"/>
      <c r="H40" s="265"/>
      <c r="I40" s="265"/>
      <c r="J40" s="265"/>
      <c r="K40" s="265"/>
      <c r="L40" s="265"/>
      <c r="M40" s="265"/>
      <c r="N40" s="265"/>
      <c r="O40" s="265"/>
      <c r="P40" s="265"/>
      <c r="Q40" s="265"/>
      <c r="R40" s="265"/>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row>
    <row r="41" spans="1:82" s="106" customFormat="1" ht="13" customHeight="1">
      <c r="A41" s="90"/>
      <c r="B41" s="265" t="str">
        <f>VLOOKUP(137,Textbausteine_404_[],Hilfsgrössen!$D$2,FALSE)</f>
        <v>7) Percentuale di apprendisti ripresi che desiderano essere assunti.</v>
      </c>
      <c r="C41" s="265"/>
      <c r="D41" s="265"/>
      <c r="E41" s="265"/>
      <c r="F41" s="309"/>
      <c r="G41" s="265"/>
      <c r="H41" s="265"/>
      <c r="I41" s="265"/>
      <c r="J41" s="265"/>
      <c r="K41" s="265"/>
      <c r="L41" s="265"/>
      <c r="M41" s="265"/>
      <c r="N41" s="265"/>
      <c r="O41" s="265"/>
      <c r="P41" s="265"/>
      <c r="Q41" s="265"/>
      <c r="R41" s="265"/>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row>
    <row r="42" spans="1:82" s="106" customFormat="1" ht="13" customHeight="1">
      <c r="A42" s="90"/>
      <c r="B42" s="265" t="str">
        <f>VLOOKUP(138,Textbausteine_404_[],Hilfsgrössen!$D$2,FALSE)</f>
        <v>8) Spostamento della funzione «Bachelor con integrazione pratica» dallo stage pratico di commercio a informatica/o dal 2020.</v>
      </c>
      <c r="C42" s="265"/>
      <c r="D42" s="265"/>
      <c r="E42" s="265"/>
      <c r="F42" s="309"/>
      <c r="G42" s="265"/>
      <c r="H42" s="265"/>
      <c r="I42" s="265"/>
      <c r="J42" s="265"/>
      <c r="K42" s="265"/>
      <c r="L42" s="265"/>
      <c r="M42" s="265"/>
      <c r="N42" s="265"/>
      <c r="O42" s="265"/>
      <c r="P42" s="265"/>
      <c r="Q42" s="265"/>
      <c r="R42" s="265"/>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row>
    <row r="43" spans="1:82" s="106" customFormat="1" ht="13" customHeight="1">
      <c r="A43" s="90"/>
      <c r="B43" s="265"/>
      <c r="C43" s="265"/>
      <c r="D43" s="265"/>
      <c r="E43" s="265"/>
      <c r="F43" s="309"/>
      <c r="G43" s="265"/>
      <c r="H43" s="265"/>
      <c r="I43" s="265"/>
      <c r="J43" s="265"/>
      <c r="K43" s="265"/>
      <c r="L43" s="265"/>
      <c r="M43" s="265"/>
      <c r="N43" s="265"/>
      <c r="O43" s="265"/>
      <c r="P43" s="265"/>
      <c r="Q43" s="265"/>
      <c r="R43" s="265"/>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row>
    <row r="44" spans="1:82" s="106" customFormat="1" ht="13" customHeight="1">
      <c r="A44" s="90"/>
      <c r="B44" s="265"/>
      <c r="C44" s="265"/>
      <c r="D44" s="265"/>
      <c r="E44" s="265"/>
      <c r="F44" s="309"/>
      <c r="G44" s="265"/>
      <c r="H44" s="265"/>
      <c r="I44" s="265"/>
      <c r="J44" s="265"/>
      <c r="K44" s="265"/>
      <c r="L44" s="265"/>
      <c r="M44" s="265"/>
      <c r="N44" s="265"/>
      <c r="O44" s="265"/>
      <c r="P44" s="265"/>
      <c r="Q44" s="265"/>
      <c r="R44" s="265"/>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row>
    <row r="45" spans="1:82" s="31" customFormat="1" ht="13" customHeight="1">
      <c r="A45" s="56" t="s">
        <v>27</v>
      </c>
      <c r="B45" s="488" t="str">
        <f>$C$8</f>
        <v>Nuove leve</v>
      </c>
      <c r="C45" s="488"/>
      <c r="D45" s="6" t="str">
        <f>VLOOKUP(32,Textbausteine_Menu[],Hilfsgrössen!$D$2,FALSE)</f>
        <v>Unità</v>
      </c>
      <c r="E45" s="39" t="str">
        <f>VLOOKUP(33,Textbausteine_Menu[],Hilfsgrössen!$D$2,FALSE)</f>
        <v>Note</v>
      </c>
      <c r="F45" s="39" t="str">
        <f>VLOOKUP(34,Textbausteine_Menu[],Hilfsgrössen!$D$2,FALSE)</f>
        <v>GRI</v>
      </c>
      <c r="G45" s="47"/>
      <c r="H45" s="31">
        <v>2004</v>
      </c>
      <c r="I45" s="116">
        <v>2005</v>
      </c>
      <c r="J45" s="116">
        <v>2006</v>
      </c>
      <c r="K45" s="116">
        <v>2007</v>
      </c>
      <c r="L45" s="116">
        <v>2008</v>
      </c>
      <c r="M45" s="116">
        <v>2009</v>
      </c>
      <c r="N45" s="116">
        <v>2010</v>
      </c>
      <c r="O45" s="116">
        <v>2011</v>
      </c>
      <c r="P45" s="116">
        <v>2012</v>
      </c>
      <c r="Q45" s="116">
        <v>2013</v>
      </c>
      <c r="R45" s="116">
        <v>2014</v>
      </c>
      <c r="S45" s="116">
        <v>2015</v>
      </c>
      <c r="T45" s="116">
        <v>2016</v>
      </c>
      <c r="U45" s="116">
        <v>2017</v>
      </c>
      <c r="V45" s="116">
        <v>2018</v>
      </c>
      <c r="W45" s="116">
        <v>2019</v>
      </c>
      <c r="X45" s="242">
        <v>2020</v>
      </c>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row>
    <row r="46" spans="1:82" s="31" customFormat="1" ht="13" customHeight="1">
      <c r="A46" s="89"/>
      <c r="B46" s="488"/>
      <c r="C46" s="488"/>
      <c r="D46" s="6"/>
      <c r="E46" s="40"/>
      <c r="F46" s="40"/>
      <c r="G46" s="47"/>
      <c r="I46" s="142"/>
      <c r="J46" s="142"/>
      <c r="K46" s="142"/>
      <c r="L46" s="142"/>
      <c r="M46" s="142"/>
      <c r="N46" s="142"/>
      <c r="O46" s="142"/>
      <c r="P46" s="142"/>
      <c r="Q46" s="142"/>
      <c r="R46" s="142"/>
      <c r="S46" s="142"/>
      <c r="T46" s="118"/>
      <c r="U46" s="118"/>
      <c r="V46" s="118"/>
      <c r="W46" s="118"/>
      <c r="X46" s="243"/>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row>
    <row r="47" spans="1:82" ht="13" customHeight="1">
      <c r="B47" s="8"/>
      <c r="D47" s="9"/>
      <c r="E47" s="40"/>
      <c r="F47" s="40"/>
      <c r="G47" s="48"/>
      <c r="H47" s="1"/>
      <c r="N47" s="106"/>
      <c r="P47" s="106"/>
      <c r="Q47" s="106"/>
      <c r="R47" s="106"/>
      <c r="S47" s="106"/>
      <c r="T47" s="20"/>
      <c r="U47" s="20"/>
      <c r="V47" s="20"/>
      <c r="W47" s="20"/>
      <c r="X47" s="244"/>
    </row>
    <row r="48" spans="1:82" ht="13" customHeight="1">
      <c r="B48" s="8" t="str">
        <f>VLOOKUP(37,Textbausteine_Menu[],Hilfsgrössen!$D$2,FALSE)</f>
        <v>Gruppo Svizzera</v>
      </c>
      <c r="C48" s="8"/>
      <c r="D48" s="66"/>
      <c r="E48" s="12"/>
      <c r="F48" s="11"/>
      <c r="G48" s="48"/>
      <c r="N48" s="106"/>
      <c r="T48" s="20"/>
      <c r="U48" s="20"/>
      <c r="V48" s="20"/>
      <c r="W48" s="20"/>
      <c r="X48" s="244"/>
    </row>
    <row r="49" spans="1:83" s="106" customFormat="1" ht="13" customHeight="1">
      <c r="A49" s="90"/>
      <c r="B49" s="1"/>
      <c r="C49" s="266" t="str">
        <f>VLOOKUP(61,Textbausteine_404_[],Hilfsgrössen!$D$2,FALSE)</f>
        <v>Nuove leve</v>
      </c>
      <c r="D49" s="262" t="str">
        <f>VLOOKUP(11,Textbausteine_404_[],Hilfsgrössen!$D$2,FALSE)</f>
        <v>Persone</v>
      </c>
      <c r="E49" s="267" t="s">
        <v>87</v>
      </c>
      <c r="F49" s="11" t="s">
        <v>155</v>
      </c>
      <c r="G49" s="264"/>
      <c r="H49" s="443">
        <v>50</v>
      </c>
      <c r="I49" s="443">
        <v>53</v>
      </c>
      <c r="J49" s="443">
        <v>62</v>
      </c>
      <c r="K49" s="443">
        <v>63</v>
      </c>
      <c r="L49" s="443">
        <v>89</v>
      </c>
      <c r="M49" s="443">
        <v>105</v>
      </c>
      <c r="N49" s="443">
        <v>101</v>
      </c>
      <c r="O49" s="444">
        <v>98</v>
      </c>
      <c r="P49" s="17">
        <v>82</v>
      </c>
      <c r="Q49" s="17">
        <v>89</v>
      </c>
      <c r="R49" s="445">
        <v>93</v>
      </c>
      <c r="S49" s="445">
        <v>87</v>
      </c>
      <c r="T49" s="445">
        <v>92</v>
      </c>
      <c r="U49" s="445">
        <v>69</v>
      </c>
      <c r="V49" s="445">
        <v>71</v>
      </c>
      <c r="W49" s="445">
        <v>72</v>
      </c>
      <c r="X49" s="446">
        <v>73.250000000000028</v>
      </c>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row>
    <row r="50" spans="1:83" s="106" customFormat="1" ht="13" customHeight="1">
      <c r="A50" s="90"/>
      <c r="B50" s="1"/>
      <c r="C50" s="269" t="str">
        <f>VLOOKUP(62,Textbausteine_404_[],Hilfsgrössen!$D$2,FALSE)</f>
        <v>Programma Trainee</v>
      </c>
      <c r="D50" s="262" t="str">
        <f>VLOOKUP(11,Textbausteine_404_[],Hilfsgrössen!$D$2,FALSE)</f>
        <v>Persone</v>
      </c>
      <c r="E50" s="264" t="s">
        <v>87</v>
      </c>
      <c r="F50" s="11" t="s">
        <v>155</v>
      </c>
      <c r="G50" s="264"/>
      <c r="H50" s="445">
        <v>20</v>
      </c>
      <c r="I50" s="445">
        <v>18</v>
      </c>
      <c r="J50" s="445">
        <v>22</v>
      </c>
      <c r="K50" s="445">
        <v>19</v>
      </c>
      <c r="L50" s="445">
        <v>23</v>
      </c>
      <c r="M50" s="444">
        <v>40</v>
      </c>
      <c r="N50" s="444">
        <v>46</v>
      </c>
      <c r="O50" s="444">
        <v>53</v>
      </c>
      <c r="P50" s="17">
        <v>68</v>
      </c>
      <c r="Q50" s="17">
        <v>71</v>
      </c>
      <c r="R50" s="445">
        <v>74</v>
      </c>
      <c r="S50" s="445">
        <v>71</v>
      </c>
      <c r="T50" s="445">
        <v>59</v>
      </c>
      <c r="U50" s="445">
        <v>32</v>
      </c>
      <c r="V50" s="445">
        <v>30</v>
      </c>
      <c r="W50" s="445">
        <v>31</v>
      </c>
      <c r="X50" s="446">
        <v>34.3333333333334</v>
      </c>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row>
    <row r="51" spans="1:83" s="106" customFormat="1" ht="13" customHeight="1">
      <c r="A51" s="90"/>
      <c r="B51" s="26"/>
      <c r="C51" s="269" t="str">
        <f>VLOOKUP(63,Textbausteine_404_[],Hilfsgrössen!$D$2,FALSE)</f>
        <v>Stagisti</v>
      </c>
      <c r="D51" s="262" t="str">
        <f>VLOOKUP(11,Textbausteine_404_[],Hilfsgrössen!$D$2,FALSE)</f>
        <v>Persone</v>
      </c>
      <c r="E51" s="264" t="s">
        <v>87</v>
      </c>
      <c r="F51" s="11" t="s">
        <v>155</v>
      </c>
      <c r="G51" s="264"/>
      <c r="H51" s="445">
        <v>30</v>
      </c>
      <c r="I51" s="445">
        <v>35</v>
      </c>
      <c r="J51" s="445">
        <v>40</v>
      </c>
      <c r="K51" s="445">
        <v>44</v>
      </c>
      <c r="L51" s="445">
        <v>66</v>
      </c>
      <c r="M51" s="444">
        <v>65</v>
      </c>
      <c r="N51" s="444">
        <v>55</v>
      </c>
      <c r="O51" s="444">
        <v>45</v>
      </c>
      <c r="P51" s="17">
        <v>14</v>
      </c>
      <c r="Q51" s="17">
        <v>18</v>
      </c>
      <c r="R51" s="445">
        <v>19</v>
      </c>
      <c r="S51" s="445">
        <v>16</v>
      </c>
      <c r="T51" s="445">
        <v>33</v>
      </c>
      <c r="U51" s="445">
        <v>37</v>
      </c>
      <c r="V51" s="445">
        <v>41</v>
      </c>
      <c r="W51" s="445">
        <v>41</v>
      </c>
      <c r="X51" s="446">
        <v>38.249999999999901</v>
      </c>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row>
    <row r="52" spans="1:83" s="11" customFormat="1" ht="13" customHeight="1">
      <c r="A52" s="146"/>
      <c r="B52" s="9"/>
      <c r="C52" s="76"/>
      <c r="D52" s="66"/>
      <c r="G52" s="49"/>
      <c r="H52" s="106"/>
      <c r="I52" s="106"/>
      <c r="J52" s="106"/>
      <c r="K52" s="106"/>
      <c r="L52" s="106"/>
      <c r="M52" s="106"/>
      <c r="N52" s="106"/>
      <c r="O52" s="106"/>
      <c r="T52" s="106"/>
      <c r="U52" s="106"/>
      <c r="V52" s="106"/>
      <c r="W52" s="106"/>
      <c r="X52" s="106"/>
    </row>
    <row r="53" spans="1:83" s="106" customFormat="1" ht="13" customHeight="1">
      <c r="A53" s="90"/>
      <c r="B53" s="265" t="str">
        <f>VLOOKUP(141,Textbausteine_404_[],Hilfsgrössen!$D$2,FALSE)</f>
        <v>1)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v>
      </c>
      <c r="C53" s="265"/>
      <c r="D53" s="265"/>
      <c r="E53" s="265"/>
      <c r="F53" s="309"/>
      <c r="G53" s="265"/>
      <c r="H53" s="265"/>
      <c r="I53" s="265"/>
      <c r="J53" s="265"/>
      <c r="K53" s="265"/>
      <c r="L53" s="265"/>
      <c r="M53" s="265"/>
      <c r="N53" s="265"/>
      <c r="O53" s="265"/>
      <c r="P53" s="265"/>
      <c r="Q53" s="265"/>
      <c r="R53" s="265"/>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row>
    <row r="54" spans="1:83" s="106" customFormat="1" ht="13" customHeight="1">
      <c r="A54" s="90"/>
      <c r="B54" s="265" t="str">
        <f>VLOOKUP(142,Textbausteine_404_[],Hilfsgrössen!$D$2,FALSE)</f>
        <v>2) Valori medi annuali</v>
      </c>
      <c r="C54" s="265"/>
      <c r="D54" s="265"/>
      <c r="E54" s="265"/>
      <c r="F54" s="309"/>
      <c r="G54" s="265"/>
      <c r="H54" s="265"/>
      <c r="I54" s="265"/>
      <c r="J54" s="265"/>
      <c r="K54" s="265"/>
      <c r="L54" s="265"/>
      <c r="M54" s="265"/>
      <c r="N54" s="265"/>
      <c r="O54" s="265"/>
      <c r="P54" s="265"/>
      <c r="Q54" s="265"/>
      <c r="R54" s="265"/>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row>
    <row r="55" spans="1:83" s="106" customFormat="1" ht="13" customHeight="1">
      <c r="A55" s="90"/>
      <c r="B55" s="265"/>
      <c r="C55" s="265"/>
      <c r="D55" s="265"/>
      <c r="E55" s="265"/>
      <c r="F55" s="309"/>
      <c r="G55" s="265"/>
      <c r="H55" s="265"/>
      <c r="I55" s="265"/>
      <c r="J55" s="265"/>
      <c r="K55" s="265"/>
      <c r="L55" s="265"/>
      <c r="M55" s="265"/>
      <c r="N55" s="265"/>
      <c r="O55" s="265"/>
      <c r="P55" s="265"/>
      <c r="Q55" s="265"/>
      <c r="R55" s="265"/>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row>
    <row r="56" spans="1:83" s="106" customFormat="1" ht="13" customHeight="1">
      <c r="A56" s="90"/>
      <c r="B56" s="265"/>
      <c r="C56" s="265"/>
      <c r="D56" s="265"/>
      <c r="E56" s="265"/>
      <c r="F56" s="309"/>
      <c r="G56" s="265"/>
      <c r="H56" s="265"/>
      <c r="I56" s="265"/>
      <c r="J56" s="265"/>
      <c r="K56" s="265"/>
      <c r="L56" s="265"/>
      <c r="M56" s="265"/>
      <c r="N56" s="265"/>
      <c r="O56" s="265"/>
      <c r="P56" s="265"/>
      <c r="Q56" s="265"/>
      <c r="R56" s="265"/>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row>
    <row r="57" spans="1:83" s="31" customFormat="1" ht="13" customHeight="1">
      <c r="A57" s="56" t="s">
        <v>27</v>
      </c>
      <c r="B57" s="488" t="str">
        <f>$C$9</f>
        <v>Centro carriera</v>
      </c>
      <c r="C57" s="488"/>
      <c r="D57" s="6" t="str">
        <f>VLOOKUP(32,Textbausteine_Menu[],Hilfsgrössen!$D$2,FALSE)</f>
        <v>Unità</v>
      </c>
      <c r="E57" s="39" t="str">
        <f>VLOOKUP(33,Textbausteine_Menu[],Hilfsgrössen!$D$2,FALSE)</f>
        <v>Note</v>
      </c>
      <c r="F57" s="39" t="str">
        <f>VLOOKUP(34,Textbausteine_Menu[],Hilfsgrössen!$D$2,FALSE)</f>
        <v>GRI</v>
      </c>
      <c r="G57" s="47"/>
      <c r="H57" s="31">
        <v>2004</v>
      </c>
      <c r="I57" s="116">
        <v>2005</v>
      </c>
      <c r="J57" s="116">
        <v>2006</v>
      </c>
      <c r="K57" s="116">
        <v>2007</v>
      </c>
      <c r="L57" s="116">
        <v>2008</v>
      </c>
      <c r="M57" s="116">
        <v>2009</v>
      </c>
      <c r="N57" s="116">
        <v>2010</v>
      </c>
      <c r="O57" s="116">
        <v>2011</v>
      </c>
      <c r="P57" s="116">
        <v>2012</v>
      </c>
      <c r="Q57" s="116">
        <v>2013</v>
      </c>
      <c r="R57" s="116">
        <v>2014</v>
      </c>
      <c r="S57" s="116">
        <v>2015</v>
      </c>
      <c r="T57" s="116">
        <v>2016</v>
      </c>
      <c r="U57" s="116">
        <v>2017</v>
      </c>
      <c r="V57" s="116">
        <v>2018</v>
      </c>
      <c r="W57" s="116">
        <v>2019</v>
      </c>
      <c r="X57" s="242">
        <v>2020</v>
      </c>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row>
    <row r="58" spans="1:83" s="31" customFormat="1" ht="13" customHeight="1">
      <c r="A58" s="89"/>
      <c r="B58" s="488"/>
      <c r="C58" s="488"/>
      <c r="D58" s="6"/>
      <c r="E58" s="40"/>
      <c r="F58" s="40"/>
      <c r="G58" s="47"/>
      <c r="I58" s="142"/>
      <c r="J58" s="142"/>
      <c r="K58" s="142"/>
      <c r="L58" s="142"/>
      <c r="M58" s="142"/>
      <c r="N58" s="142"/>
      <c r="O58" s="142"/>
      <c r="P58" s="142"/>
      <c r="Q58" s="142"/>
      <c r="R58" s="142"/>
      <c r="S58" s="142"/>
      <c r="T58" s="118"/>
      <c r="U58" s="118"/>
      <c r="V58" s="118"/>
      <c r="W58" s="118"/>
      <c r="X58" s="243"/>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row>
    <row r="59" spans="1:83" ht="13" customHeight="1">
      <c r="B59" s="8"/>
      <c r="D59" s="9"/>
      <c r="E59" s="40"/>
      <c r="F59" s="40"/>
      <c r="G59" s="48"/>
      <c r="H59" s="1"/>
      <c r="N59" s="106"/>
      <c r="P59" s="106"/>
      <c r="Q59" s="106"/>
      <c r="R59" s="106"/>
      <c r="S59" s="106"/>
      <c r="T59" s="20"/>
      <c r="U59" s="20"/>
      <c r="V59" s="20"/>
      <c r="W59" s="20"/>
      <c r="X59" s="244"/>
    </row>
    <row r="60" spans="1:83" ht="13" customHeight="1">
      <c r="B60" s="8" t="str">
        <f>VLOOKUP(37,Textbausteine_Menu[],Hilfsgrössen!$D$2,FALSE)</f>
        <v>Gruppo Svizzera</v>
      </c>
      <c r="C60" s="8"/>
      <c r="D60" s="66"/>
      <c r="E60" s="12"/>
      <c r="F60" s="11"/>
      <c r="G60" s="48"/>
      <c r="N60" s="106"/>
      <c r="T60" s="20"/>
      <c r="U60" s="20"/>
      <c r="V60" s="20"/>
      <c r="W60" s="20"/>
      <c r="X60" s="244"/>
    </row>
    <row r="61" spans="1:83" s="106" customFormat="1" ht="13" customHeight="1">
      <c r="A61" s="90"/>
      <c r="B61" s="1"/>
      <c r="C61" s="266" t="str">
        <f>VLOOKUP(81,Textbausteine_404_[],Hilfsgrössen!$D$2,FALSE)</f>
        <v>Consulenze individuali del centro carriera</v>
      </c>
      <c r="D61" s="262" t="str">
        <f>VLOOKUP(14,Textbausteine_404_[],Hilfsgrössen!$D$2,FALSE)</f>
        <v>Numero</v>
      </c>
      <c r="E61" s="267"/>
      <c r="F61" s="11" t="s">
        <v>155</v>
      </c>
      <c r="G61" s="264"/>
      <c r="H61" s="267">
        <v>1475</v>
      </c>
      <c r="I61" s="267">
        <v>1337</v>
      </c>
      <c r="J61" s="267">
        <v>1362</v>
      </c>
      <c r="K61" s="267">
        <v>1436</v>
      </c>
      <c r="L61" s="267">
        <v>716</v>
      </c>
      <c r="M61" s="267">
        <v>582</v>
      </c>
      <c r="N61" s="267">
        <v>562</v>
      </c>
      <c r="O61" s="193">
        <v>590</v>
      </c>
      <c r="P61" s="11">
        <v>687</v>
      </c>
      <c r="Q61" s="11">
        <v>772</v>
      </c>
      <c r="R61" s="264">
        <v>822</v>
      </c>
      <c r="S61" s="264">
        <v>751</v>
      </c>
      <c r="T61" s="264">
        <v>825</v>
      </c>
      <c r="U61" s="264">
        <v>1161</v>
      </c>
      <c r="V61" s="264">
        <v>1143</v>
      </c>
      <c r="W61" s="264">
        <v>1262</v>
      </c>
      <c r="X61" s="268">
        <v>1181</v>
      </c>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row>
    <row r="62" spans="1:83" s="106" customFormat="1" ht="13" customHeight="1">
      <c r="A62" s="90"/>
      <c r="B62" s="1"/>
      <c r="C62" s="270" t="str">
        <f>VLOOKUP(82,Textbausteine_404_[],Hilfsgrössen!$D$2,FALSE)</f>
        <v>Seminari del centro Mercato del lavoro</v>
      </c>
      <c r="D62" s="262" t="str">
        <f>VLOOKUP(14,Textbausteine_404_[],Hilfsgrössen!$D$2,FALSE)</f>
        <v>Numero</v>
      </c>
      <c r="E62" s="264"/>
      <c r="F62" s="11" t="s">
        <v>155</v>
      </c>
      <c r="G62" s="264"/>
      <c r="H62" s="445">
        <v>177</v>
      </c>
      <c r="I62" s="445">
        <v>126</v>
      </c>
      <c r="J62" s="445">
        <v>99</v>
      </c>
      <c r="K62" s="445">
        <v>102</v>
      </c>
      <c r="L62" s="445">
        <v>46</v>
      </c>
      <c r="M62" s="444">
        <v>54</v>
      </c>
      <c r="N62" s="444">
        <v>83</v>
      </c>
      <c r="O62" s="444">
        <v>50</v>
      </c>
      <c r="P62" s="17">
        <v>70</v>
      </c>
      <c r="Q62" s="17">
        <v>74</v>
      </c>
      <c r="R62" s="445">
        <v>71</v>
      </c>
      <c r="S62" s="445">
        <v>71</v>
      </c>
      <c r="T62" s="445">
        <v>70</v>
      </c>
      <c r="U62" s="445">
        <v>69</v>
      </c>
      <c r="V62" s="445">
        <v>39</v>
      </c>
      <c r="W62" s="445">
        <v>64</v>
      </c>
      <c r="X62" s="446">
        <v>50</v>
      </c>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row>
    <row r="63" spans="1:83" s="106" customFormat="1" ht="13" customHeight="1">
      <c r="A63" s="90"/>
      <c r="B63" s="26"/>
      <c r="C63" s="270" t="str">
        <f>VLOOKUP(83,Textbausteine_404_[],Hilfsgrössen!$D$2,FALSE)</f>
        <v>Seminari del centro Mercato del lavoro</v>
      </c>
      <c r="D63" s="262" t="str">
        <f>VLOOKUP(15,Textbausteine_404_[],Hilfsgrössen!$D$2,FALSE)</f>
        <v>Partecipanti</v>
      </c>
      <c r="E63" s="264"/>
      <c r="F63" s="11" t="s">
        <v>155</v>
      </c>
      <c r="G63" s="264"/>
      <c r="H63" s="264">
        <v>2388</v>
      </c>
      <c r="I63" s="264">
        <v>1762</v>
      </c>
      <c r="J63" s="264">
        <v>1497</v>
      </c>
      <c r="K63" s="264">
        <v>1309</v>
      </c>
      <c r="L63" s="264">
        <v>792</v>
      </c>
      <c r="M63" s="193">
        <v>834</v>
      </c>
      <c r="N63" s="193">
        <v>1393</v>
      </c>
      <c r="O63" s="193">
        <v>870</v>
      </c>
      <c r="P63" s="11">
        <v>1230</v>
      </c>
      <c r="Q63" s="11">
        <v>1188</v>
      </c>
      <c r="R63" s="264">
        <v>1173</v>
      </c>
      <c r="S63" s="264">
        <v>1208</v>
      </c>
      <c r="T63" s="264">
        <v>1248</v>
      </c>
      <c r="U63" s="264">
        <v>1208</v>
      </c>
      <c r="V63" s="264">
        <v>585</v>
      </c>
      <c r="W63" s="264">
        <v>543</v>
      </c>
      <c r="X63" s="268">
        <v>300</v>
      </c>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row>
    <row r="64" spans="1:83" s="106" customFormat="1" ht="13" customHeight="1">
      <c r="A64" s="146"/>
      <c r="B64" s="26"/>
      <c r="C64" s="269"/>
      <c r="D64" s="191"/>
      <c r="E64" s="264"/>
      <c r="F64" s="11"/>
      <c r="G64" s="264"/>
      <c r="H64" s="264"/>
      <c r="I64" s="264"/>
      <c r="J64" s="264"/>
      <c r="K64" s="264"/>
      <c r="L64" s="264"/>
      <c r="M64" s="193"/>
      <c r="N64" s="193"/>
      <c r="O64" s="193"/>
      <c r="P64" s="11"/>
      <c r="Q64" s="11"/>
      <c r="R64" s="264"/>
      <c r="S64" s="264"/>
      <c r="T64" s="264"/>
      <c r="U64" s="264"/>
      <c r="V64" s="264"/>
      <c r="W64" s="264"/>
      <c r="X64" s="264"/>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row>
    <row r="65" spans="1:82" s="106" customFormat="1" ht="13" customHeight="1">
      <c r="A65" s="90"/>
      <c r="B65" s="26"/>
      <c r="C65" s="9"/>
      <c r="D65" s="1"/>
      <c r="E65" s="11"/>
      <c r="F65" s="13"/>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row>
    <row r="66" spans="1:82" s="106" customFormat="1" ht="13" customHeight="1">
      <c r="A66" s="90"/>
      <c r="B66" s="26"/>
      <c r="C66" s="9"/>
      <c r="D66" s="1"/>
      <c r="E66" s="11"/>
      <c r="F66" s="11"/>
      <c r="G66" s="50"/>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row>
    <row r="67" spans="1:82" s="106" customFormat="1" ht="13" customHeight="1">
      <c r="A67" s="90"/>
      <c r="B67" s="26"/>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row>
    <row r="68" spans="1:82" s="106" customFormat="1" ht="13" customHeight="1">
      <c r="A68" s="90"/>
      <c r="B68" s="26"/>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row>
    <row r="69" spans="1:82" s="106" customFormat="1" ht="13" customHeight="1">
      <c r="A69" s="90"/>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row>
    <row r="70" spans="1:82" s="106" customFormat="1" ht="13" customHeight="1">
      <c r="A70" s="90"/>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row>
    <row r="71" spans="1:82" s="106" customFormat="1" ht="13" customHeight="1">
      <c r="A71" s="90"/>
      <c r="B71" s="1"/>
      <c r="C71" s="9"/>
      <c r="D71" s="1"/>
      <c r="E71" s="11"/>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row>
    <row r="72" spans="1:82" s="106" customFormat="1" ht="13" customHeight="1">
      <c r="A72" s="90"/>
      <c r="B72" s="1"/>
      <c r="C72" s="9"/>
      <c r="D72" s="1"/>
      <c r="E72" s="11"/>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row>
    <row r="73" spans="1:82" s="106" customFormat="1" ht="13" customHeight="1">
      <c r="A73" s="90"/>
      <c r="B73" s="1"/>
      <c r="C73" s="9"/>
      <c r="D73" s="1"/>
      <c r="E73" s="11"/>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row>
    <row r="74" spans="1:82" s="106" customFormat="1" ht="13" customHeight="1">
      <c r="A74" s="90"/>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row>
    <row r="75" spans="1:82" s="106" customFormat="1" ht="13" customHeight="1">
      <c r="A75" s="90"/>
      <c r="B75" s="1"/>
      <c r="C75" s="9"/>
      <c r="D75" s="1"/>
      <c r="E75" s="13"/>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row>
    <row r="76" spans="1:82" s="106" customFormat="1" ht="13" customHeight="1">
      <c r="A76" s="90"/>
      <c r="B76" s="1"/>
      <c r="C76" s="9"/>
      <c r="D76" s="1"/>
      <c r="E76" s="13"/>
      <c r="F76" s="1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row>
    <row r="77" spans="1:82" s="106" customFormat="1" ht="13" customHeight="1">
      <c r="A77" s="90"/>
      <c r="B77" s="1"/>
      <c r="C77" s="9"/>
      <c r="D77" s="1"/>
      <c r="E77" s="13"/>
      <c r="F77" s="11"/>
      <c r="G77" s="49"/>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row>
    <row r="78" spans="1:82" s="106" customFormat="1" ht="13" customHeight="1">
      <c r="A78" s="90"/>
      <c r="B78" s="1"/>
      <c r="C78" s="9"/>
      <c r="D78" s="1"/>
      <c r="E78" s="11"/>
      <c r="F78" s="11"/>
      <c r="G78" s="49"/>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row>
    <row r="79" spans="1:82" s="106" customFormat="1" ht="13" customHeight="1">
      <c r="A79" s="90"/>
      <c r="B79" s="1"/>
      <c r="C79" s="9"/>
      <c r="D79" s="1"/>
      <c r="E79" s="11"/>
      <c r="F79" s="11"/>
      <c r="G79" s="49"/>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row>
    <row r="80" spans="1:82" s="106" customFormat="1" ht="13" customHeight="1">
      <c r="A80" s="90"/>
      <c r="B80" s="1"/>
      <c r="C80" s="9"/>
      <c r="D80" s="1"/>
      <c r="E80" s="41"/>
      <c r="F80" s="41"/>
      <c r="G80" s="49"/>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row>
    <row r="81" spans="1:82" s="106" customFormat="1" ht="13" customHeight="1">
      <c r="A81" s="90"/>
      <c r="B81" s="1"/>
      <c r="C81" s="9"/>
      <c r="D81" s="1"/>
      <c r="E81" s="41"/>
      <c r="F81" s="41"/>
      <c r="G81" s="5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row>
    <row r="82" spans="1:82" s="106" customFormat="1" ht="13" customHeight="1">
      <c r="A82" s="90"/>
      <c r="B82" s="1"/>
      <c r="C82" s="9"/>
      <c r="D82" s="1"/>
      <c r="E82" s="41"/>
      <c r="F82" s="41"/>
      <c r="G82" s="5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row>
    <row r="83" spans="1:82" s="106" customFormat="1" ht="13" customHeight="1">
      <c r="A83" s="90"/>
      <c r="B83" s="1"/>
      <c r="C83" s="9"/>
      <c r="D83" s="1"/>
      <c r="E83" s="42"/>
      <c r="F83" s="42"/>
      <c r="G83" s="51"/>
      <c r="N83" s="20"/>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row>
    <row r="84" spans="1:82" s="106" customFormat="1" ht="13" customHeight="1">
      <c r="A84" s="90"/>
      <c r="B84" s="1"/>
      <c r="C84" s="9"/>
      <c r="D84" s="1"/>
      <c r="E84" s="42"/>
      <c r="F84" s="42"/>
      <c r="G84" s="52"/>
      <c r="N84" s="20"/>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row>
    <row r="85" spans="1:82" s="106" customFormat="1" ht="13" customHeight="1">
      <c r="A85" s="90"/>
      <c r="B85" s="1"/>
      <c r="C85" s="9"/>
      <c r="D85" s="1"/>
      <c r="E85" s="43"/>
      <c r="F85" s="43"/>
      <c r="G85" s="52"/>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row>
    <row r="86" spans="1:82" s="106" customFormat="1" ht="13" customHeight="1">
      <c r="A86" s="90"/>
      <c r="B86" s="1"/>
      <c r="C86" s="9"/>
      <c r="D86" s="1"/>
      <c r="E86" s="37"/>
      <c r="F86" s="37"/>
      <c r="G86" s="53"/>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row>
    <row r="89" spans="1:82" s="106" customFormat="1" ht="13" customHeight="1">
      <c r="A89" s="90"/>
      <c r="B89" s="1"/>
      <c r="C89" s="9"/>
      <c r="D89" s="1"/>
      <c r="E89" s="40"/>
      <c r="F89" s="40"/>
      <c r="G89" s="47"/>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row>
    <row r="90" spans="1:82" s="106" customFormat="1" ht="13" customHeight="1">
      <c r="A90" s="90"/>
      <c r="B90" s="1"/>
      <c r="C90" s="9"/>
      <c r="D90" s="1"/>
      <c r="E90" s="40"/>
      <c r="F90" s="40"/>
      <c r="G90" s="48"/>
      <c r="N90" s="20"/>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row>
    <row r="91" spans="1:82" s="106" customFormat="1" ht="13" customHeight="1">
      <c r="A91" s="90"/>
      <c r="B91" s="1"/>
      <c r="C91" s="9"/>
      <c r="D91" s="1"/>
      <c r="E91" s="13"/>
      <c r="F91" s="11"/>
      <c r="G91" s="48"/>
      <c r="N91" s="118"/>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row>
    <row r="92" spans="1:82" s="106" customFormat="1" ht="13" customHeight="1">
      <c r="A92" s="90"/>
      <c r="B92" s="1"/>
      <c r="C92" s="9"/>
      <c r="D92" s="1"/>
      <c r="E92" s="39"/>
      <c r="F92" s="39"/>
      <c r="G92" s="49"/>
      <c r="N92" s="118"/>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row>
    <row r="93" spans="1:82" s="106" customFormat="1" ht="13" customHeight="1">
      <c r="A93" s="90"/>
      <c r="B93" s="1"/>
      <c r="C93" s="9"/>
      <c r="D93" s="1"/>
      <c r="E93" s="13"/>
      <c r="F93" s="11"/>
      <c r="G93" s="46"/>
      <c r="N93" s="20"/>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row>
    <row r="94" spans="1:82" s="106" customFormat="1" ht="13" customHeight="1">
      <c r="A94" s="90"/>
      <c r="B94" s="1"/>
      <c r="C94" s="9"/>
      <c r="D94" s="1"/>
      <c r="E94" s="13"/>
      <c r="F94" s="11"/>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row>
    <row r="95" spans="1:82" s="106" customFormat="1" ht="13" customHeight="1">
      <c r="A95" s="90"/>
      <c r="B95" s="1"/>
      <c r="C95" s="9"/>
      <c r="D95" s="1"/>
      <c r="E95" s="13"/>
      <c r="F95" s="11"/>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row>
    <row r="96" spans="1:82" s="106" customFormat="1" ht="13" customHeight="1">
      <c r="A96" s="90"/>
      <c r="B96" s="1"/>
      <c r="C96" s="9"/>
      <c r="D96" s="1"/>
      <c r="E96" s="13"/>
      <c r="F96" s="11"/>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row>
    <row r="97" spans="1:82" s="106" customFormat="1" ht="13" customHeight="1">
      <c r="A97" s="90"/>
      <c r="B97" s="1"/>
      <c r="C97" s="9"/>
      <c r="D97" s="1"/>
      <c r="E97" s="44"/>
      <c r="F97" s="44"/>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row>
    <row r="98" spans="1:82" s="106" customFormat="1" ht="13" customHeight="1">
      <c r="A98" s="90"/>
      <c r="B98" s="1"/>
      <c r="C98" s="9"/>
      <c r="D98" s="1"/>
      <c r="E98" s="44"/>
      <c r="F98" s="44"/>
      <c r="G98" s="47"/>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row>
    <row r="99" spans="1:82" s="106" customFormat="1" ht="13" customHeight="1">
      <c r="A99" s="90"/>
      <c r="B99" s="1"/>
      <c r="C99" s="9"/>
      <c r="D99" s="1"/>
      <c r="E99" s="44"/>
      <c r="F99" s="44"/>
      <c r="G99" s="47"/>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row>
    <row r="100" spans="1:82" s="106" customFormat="1" ht="13" customHeight="1">
      <c r="A100" s="90"/>
      <c r="B100" s="1"/>
      <c r="C100" s="9"/>
      <c r="D100" s="1"/>
      <c r="E100" s="37"/>
      <c r="F100" s="37"/>
      <c r="G100" s="47"/>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row>
    <row r="101" spans="1:82" s="106" customFormat="1" ht="13" customHeight="1">
      <c r="A101" s="90"/>
      <c r="B101" s="1"/>
      <c r="C101" s="9"/>
      <c r="D101" s="1"/>
      <c r="E101" s="37"/>
      <c r="F101" s="37"/>
      <c r="G101" s="47"/>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row>
    <row r="102" spans="1:82" s="106" customFormat="1" ht="13" customHeight="1">
      <c r="A102" s="90"/>
      <c r="B102" s="1"/>
      <c r="C102" s="9"/>
      <c r="D102" s="1"/>
      <c r="E102" s="37"/>
      <c r="F102" s="37"/>
      <c r="G102" s="47"/>
      <c r="N102" s="118"/>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row>
    <row r="103" spans="1:82" s="106" customFormat="1" ht="13" customHeight="1">
      <c r="A103" s="90"/>
      <c r="B103" s="1"/>
      <c r="C103" s="9"/>
      <c r="D103" s="1"/>
      <c r="E103" s="37"/>
      <c r="F103" s="37"/>
      <c r="G103" s="47"/>
      <c r="N103" s="118"/>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row>
    <row r="107" spans="1:82" s="106" customFormat="1" ht="13" customHeight="1">
      <c r="A107" s="90"/>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row>
    <row r="108" spans="1:82" s="106" customFormat="1" ht="13" customHeight="1">
      <c r="A108" s="90"/>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row>
    <row r="109" spans="1:82" s="106" customFormat="1" ht="13" customHeight="1">
      <c r="A109" s="90"/>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row>
    <row r="110" spans="1:82" s="106" customFormat="1" ht="13" customHeight="1">
      <c r="A110" s="90"/>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row>
    <row r="111" spans="1:82" s="106" customFormat="1" ht="13" customHeight="1">
      <c r="A111" s="90"/>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row>
    <row r="112" spans="1:82" s="106" customFormat="1" ht="13" customHeight="1">
      <c r="A112" s="90"/>
      <c r="B112" s="1"/>
      <c r="C112" s="9"/>
      <c r="D112" s="1"/>
      <c r="E112" s="37"/>
      <c r="F112" s="37"/>
      <c r="G112" s="47"/>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row>
    <row r="113" spans="1:82" s="106" customFormat="1" ht="13" customHeight="1">
      <c r="A113" s="90"/>
      <c r="B113" s="1"/>
      <c r="C113" s="9"/>
      <c r="D113" s="1"/>
      <c r="E113" s="37"/>
      <c r="F113" s="37"/>
      <c r="G113" s="47"/>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row>
    <row r="114" spans="1:82" s="106" customFormat="1" ht="13" customHeight="1">
      <c r="A114" s="90"/>
      <c r="B114" s="1"/>
      <c r="C114" s="9"/>
      <c r="D114" s="1"/>
      <c r="E114" s="37"/>
      <c r="F114" s="37"/>
      <c r="G114" s="47"/>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row>
    <row r="115" spans="1:82" s="106" customFormat="1" ht="13" customHeight="1">
      <c r="A115" s="90"/>
      <c r="B115" s="1"/>
      <c r="C115" s="9"/>
      <c r="D115" s="1"/>
      <c r="E115" s="37"/>
      <c r="F115" s="37"/>
      <c r="G115" s="47"/>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row>
    <row r="116" spans="1:82" s="106" customFormat="1" ht="13" customHeight="1">
      <c r="A116" s="90"/>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row>
    <row r="117" spans="1:82" s="106" customFormat="1" ht="13" customHeight="1">
      <c r="A117" s="90"/>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row>
    <row r="118" spans="1:82" s="106" customFormat="1" ht="13" customHeight="1">
      <c r="A118" s="90"/>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row>
    <row r="119" spans="1:82" s="106" customFormat="1" ht="13" customHeight="1">
      <c r="A119" s="90"/>
      <c r="B119" s="1"/>
      <c r="C119" s="9"/>
      <c r="D119" s="1"/>
      <c r="E119" s="37"/>
      <c r="F119" s="37"/>
      <c r="G119" s="49"/>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row>
    <row r="120" spans="1:82" s="106" customFormat="1" ht="13" customHeight="1">
      <c r="A120" s="90"/>
      <c r="B120" s="1"/>
      <c r="C120" s="9"/>
      <c r="D120" s="1"/>
      <c r="E120" s="37"/>
      <c r="F120" s="37"/>
      <c r="G120" s="49"/>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row>
    <row r="121" spans="1:82" s="106" customFormat="1" ht="13" customHeight="1">
      <c r="A121" s="90"/>
      <c r="B121" s="1"/>
      <c r="C121" s="9"/>
      <c r="D121" s="1"/>
      <c r="E121" s="37"/>
      <c r="F121" s="37"/>
      <c r="G121" s="49"/>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row>
    <row r="122" spans="1:82" s="106" customFormat="1" ht="13" customHeight="1">
      <c r="A122" s="90"/>
      <c r="B122" s="1"/>
      <c r="C122" s="9"/>
      <c r="D122" s="1"/>
      <c r="E122" s="37"/>
      <c r="F122" s="37"/>
      <c r="G122" s="49"/>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row>
    <row r="123" spans="1:82" s="106" customFormat="1" ht="13" customHeight="1">
      <c r="A123" s="90"/>
      <c r="B123" s="1"/>
      <c r="C123" s="9"/>
      <c r="D123" s="1"/>
      <c r="E123" s="37"/>
      <c r="F123" s="37"/>
      <c r="G123" s="47"/>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row>
    <row r="124" spans="1:82" s="106" customFormat="1" ht="13" customHeight="1">
      <c r="A124" s="90"/>
      <c r="B124" s="1"/>
      <c r="C124" s="9"/>
      <c r="D124" s="1"/>
      <c r="E124" s="37"/>
      <c r="F124" s="37"/>
      <c r="G124" s="47"/>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row>
    <row r="128" spans="1:82" s="106" customFormat="1" ht="13" customHeight="1">
      <c r="A128" s="90"/>
      <c r="B128" s="1"/>
      <c r="C128" s="9"/>
      <c r="D128" s="1"/>
      <c r="E128" s="37"/>
      <c r="F128" s="37"/>
      <c r="G128" s="48"/>
      <c r="N128" s="20"/>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row>
    <row r="129" spans="1:82" s="106" customFormat="1" ht="13" customHeight="1">
      <c r="A129" s="90"/>
      <c r="B129" s="1"/>
      <c r="C129" s="9"/>
      <c r="D129" s="1"/>
      <c r="E129" s="37"/>
      <c r="F129" s="37"/>
      <c r="G129" s="48"/>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row>
    <row r="130" spans="1:82" s="106" customFormat="1" ht="13" customHeight="1">
      <c r="A130" s="90"/>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row>
    <row r="131" spans="1:82" s="106" customFormat="1" ht="13" customHeight="1">
      <c r="A131" s="90"/>
      <c r="B131" s="1"/>
      <c r="C131" s="9"/>
      <c r="D131" s="1"/>
      <c r="E131" s="37"/>
      <c r="F131" s="37"/>
      <c r="G131" s="46"/>
      <c r="N131" s="118"/>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row>
    <row r="132" spans="1:82" s="106" customFormat="1" ht="13" customHeight="1">
      <c r="A132" s="90"/>
      <c r="B132" s="1"/>
      <c r="C132" s="9"/>
      <c r="D132" s="1"/>
      <c r="E132" s="37"/>
      <c r="F132" s="37"/>
      <c r="G132" s="49"/>
      <c r="N132" s="118"/>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row>
    <row r="133" spans="1:82" s="106" customFormat="1" ht="13" customHeight="1">
      <c r="A133" s="90"/>
      <c r="B133" s="1"/>
      <c r="C133" s="9"/>
      <c r="D133" s="1"/>
      <c r="E133" s="37"/>
      <c r="F133" s="37"/>
      <c r="G133" s="49"/>
      <c r="N133" s="2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row>
    <row r="134" spans="1:82" s="106" customFormat="1" ht="13" customHeight="1">
      <c r="A134" s="90"/>
      <c r="B134" s="1"/>
      <c r="C134" s="9"/>
      <c r="D134" s="1"/>
      <c r="E134" s="37"/>
      <c r="F134" s="37"/>
      <c r="G134" s="49"/>
      <c r="N134" s="2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row>
    <row r="135" spans="1:82" s="106" customFormat="1" ht="13" customHeight="1">
      <c r="A135" s="90"/>
      <c r="B135" s="1"/>
      <c r="C135" s="9"/>
      <c r="D135" s="1"/>
      <c r="E135" s="37"/>
      <c r="F135" s="37"/>
      <c r="G135" s="49"/>
      <c r="N135" s="2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row>
    <row r="136" spans="1:82" s="106" customFormat="1" ht="13" customHeight="1">
      <c r="A136" s="90"/>
      <c r="B136" s="1"/>
      <c r="C136" s="9"/>
      <c r="D136" s="1"/>
      <c r="E136" s="37"/>
      <c r="F136" s="37"/>
      <c r="G136" s="54"/>
      <c r="N136" s="139"/>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row>
    <row r="137" spans="1:82" s="106" customFormat="1" ht="13" customHeight="1">
      <c r="A137" s="90"/>
      <c r="B137" s="1"/>
      <c r="C137" s="9"/>
      <c r="D137" s="1"/>
      <c r="E137" s="37"/>
      <c r="F137" s="37"/>
      <c r="G137" s="54"/>
      <c r="N137" s="139"/>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row>
    <row r="138" spans="1:82" s="106" customFormat="1" ht="13" customHeight="1">
      <c r="A138" s="90"/>
      <c r="B138" s="1"/>
      <c r="C138" s="9"/>
      <c r="D138" s="1"/>
      <c r="E138" s="37"/>
      <c r="F138" s="37"/>
      <c r="G138" s="54"/>
      <c r="N138" s="139"/>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row>
    <row r="139" spans="1:82" s="106" customFormat="1" ht="13" customHeight="1">
      <c r="A139" s="90"/>
      <c r="B139" s="1"/>
      <c r="C139" s="9"/>
      <c r="D139" s="1"/>
      <c r="E139" s="37"/>
      <c r="F139" s="37"/>
      <c r="G139" s="47"/>
      <c r="N139" s="139"/>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row>
    <row r="140" spans="1:82" s="106" customFormat="1" ht="13" customHeight="1">
      <c r="A140" s="90"/>
      <c r="B140" s="1"/>
      <c r="C140" s="9"/>
      <c r="D140" s="1"/>
      <c r="E140" s="37"/>
      <c r="F140" s="37"/>
      <c r="G140" s="47"/>
      <c r="N140" s="139"/>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row>
    <row r="141" spans="1:82" s="106" customFormat="1" ht="13" customHeight="1">
      <c r="A141" s="90"/>
      <c r="B141" s="1"/>
      <c r="C141" s="9"/>
      <c r="D141" s="1"/>
      <c r="E141" s="37"/>
      <c r="F141" s="37"/>
      <c r="G141" s="47"/>
      <c r="N141" s="139"/>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row>
    <row r="142" spans="1:82" s="106" customFormat="1" ht="13" customHeight="1">
      <c r="A142" s="90"/>
      <c r="B142" s="1"/>
      <c r="C142" s="9"/>
      <c r="D142" s="1"/>
      <c r="E142" s="37"/>
      <c r="F142" s="37"/>
      <c r="G142" s="47"/>
      <c r="N142" s="139"/>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row>
    <row r="143" spans="1:82" s="106" customFormat="1" ht="13" customHeight="1">
      <c r="A143" s="90"/>
      <c r="B143" s="1"/>
      <c r="C143" s="9"/>
      <c r="D143" s="1"/>
      <c r="E143" s="37"/>
      <c r="F143" s="37"/>
      <c r="G143" s="47"/>
      <c r="N143" s="139"/>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row>
  </sheetData>
  <sheetProtection algorithmName="SHA-512" hashValue="elySqXLLoa5zRtR1gfyUFxZmSqKFzPbZUCxbZ3vDIesVRNKbtQgnfyjqVmR1X33jKgZYwxIYwlaGA09MSK4G5w==" saltValue="57fR4bqYhpnKqzr+Psy+HQ==" spinCount="100000" sheet="1" objects="1" scenarios="1"/>
  <mergeCells count="6">
    <mergeCell ref="B57:C58"/>
    <mergeCell ref="B2:C2"/>
    <mergeCell ref="D2:E2"/>
    <mergeCell ref="B3:C3"/>
    <mergeCell ref="B12:C13"/>
    <mergeCell ref="B45:C46"/>
  </mergeCells>
  <conditionalFormatting sqref="H12:CD15 H30:CD31 Y16:CD29 Y32:CD33 H34:CD48 H52:CD61 Y49:CD51 H63:CD10004 Y62:CD62">
    <cfRule type="expression" dxfId="9" priority="6">
      <formula>AND($D12&lt;&gt;"",H$12&lt;&gt;"",H12="")</formula>
    </cfRule>
    <cfRule type="expression" dxfId="8" priority="7">
      <formula>AND($A12="",ABS(H12)=0)</formula>
    </cfRule>
    <cfRule type="expression" dxfId="7" priority="9">
      <formula>AND($A12="",ABS(H12)&lt;100)</formula>
    </cfRule>
    <cfRule type="expression" dxfId="6" priority="10">
      <formula>AND($A12="",ABS(H12)&gt;=100)</formula>
    </cfRule>
  </conditionalFormatting>
  <conditionalFormatting sqref="H1:CD15 H30:CD30 Y16:CD29 Y31:CD33 H52:CD60 Y49:CD51 Y61:CD63 H34:CD48 H64:CD1048576">
    <cfRule type="expression" dxfId="5" priority="8">
      <formula>AND($A1="",ABS(H1)&lt;10)</formula>
    </cfRule>
  </conditionalFormatting>
  <dataValidations count="2">
    <dataValidation type="list" allowBlank="1" showInputMessage="1" showErrorMessage="1" sqref="G2" xr:uid="{00000000-0002-0000-0900-000000000000}">
      <formula1>Sprache</formula1>
    </dataValidation>
    <dataValidation allowBlank="1" showInputMessage="1" showErrorMessage="1" sqref="F2" xr:uid="{00000000-0002-0000-0900-000001000000}"/>
  </dataValidations>
  <hyperlinks>
    <hyperlink ref="A12" location="GRI_404" display="Ó" xr:uid="{00000000-0004-0000-0900-000000000000}"/>
    <hyperlink ref="D2" location="Home" display="Home" xr:uid="{00000000-0004-0000-0900-000001000000}"/>
    <hyperlink ref="C7" location="GRI_404_2a" display="Lernpersonal" xr:uid="{00000000-0004-0000-0900-000002000000}"/>
    <hyperlink ref="C8" location="GRI_404_2b" display="Nachwuchskräfte" xr:uid="{00000000-0004-0000-0900-000003000000}"/>
    <hyperlink ref="C9" location="GRI_404_2c" display="Aktivitäten Arbeitsmarktzentrum" xr:uid="{00000000-0004-0000-0900-000004000000}"/>
    <hyperlink ref="A45" location="GRI_404" display="Ó" xr:uid="{00000000-0004-0000-0900-000005000000}"/>
    <hyperlink ref="A57" location="GRI_404" display="Ó" xr:uid="{00000000-0004-0000-0900-000006000000}"/>
  </hyperlinks>
  <pageMargins left="0.7" right="0.7" top="0.78740157499999996" bottom="0.78740157499999996" header="0.3" footer="0.3"/>
  <pageSetup paperSize="9" orientation="portrait" r:id="rId1"/>
  <ignoredErrors>
    <ignoredError sqref="E33"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5">
    <tabColor rgb="FF9E2A2F"/>
  </sheetPr>
  <dimension ref="A2:CJ158"/>
  <sheetViews>
    <sheetView showGridLines="0" showRowColHeaders="0" zoomScale="90" zoomScaleNormal="90" workbookViewId="0">
      <pane xSplit="7" topLeftCell="X1" activePane="topRight" state="frozen"/>
      <selection activeCell="B3" sqref="B3:C3"/>
      <selection pane="topRight" activeCell="B78" sqref="B78"/>
    </sheetView>
  </sheetViews>
  <sheetFormatPr baseColWidth="10" defaultColWidth="10.796875" defaultRowHeight="13" customHeight="1"/>
  <cols>
    <col min="1" max="1" width="2.3984375" style="90" customWidth="1"/>
    <col min="2" max="2" width="2.3984375" style="1" customWidth="1"/>
    <col min="3" max="3" width="73.19921875" style="1" customWidth="1"/>
    <col min="4" max="4" width="23.59765625" style="1" customWidth="1"/>
    <col min="5" max="5" width="9.3984375" style="37" customWidth="1"/>
    <col min="6" max="6" width="14.19921875" style="37" customWidth="1"/>
    <col min="7" max="7" width="2.3984375" style="47" customWidth="1"/>
    <col min="8" max="13" width="12" style="37" customWidth="1"/>
    <col min="14" max="19" width="11.796875" style="106" customWidth="1"/>
    <col min="20" max="24" width="11.796875" style="20" customWidth="1"/>
    <col min="25" max="88" width="11.796875" style="11" customWidth="1"/>
    <col min="89" max="16384" width="10.796875" style="1"/>
  </cols>
  <sheetData>
    <row r="2" spans="1:88" s="152" customFormat="1" ht="26" customHeight="1">
      <c r="A2" s="87"/>
      <c r="B2" s="493" t="str">
        <f>UPPER(RIGHT(Inhaltsverzeichnis!$C$31,LEN(Inhaltsverzeichnis!$C$31)-FIND(" – ",Inhaltsverzeichnis!$C$31,1)-2))</f>
        <v>DIVERSITÀ E PARI OPPORTUNITÀ</v>
      </c>
      <c r="C2" s="493"/>
      <c r="D2" s="489" t="str">
        <f>VLOOKUP(35,Textbausteine_Menu[],Hilfsgrössen!$D$2,FALSE)</f>
        <v>torna alla tabella dei contenuti</v>
      </c>
      <c r="E2" s="490"/>
      <c r="F2" s="144" t="s">
        <v>0</v>
      </c>
      <c r="G2" s="168"/>
      <c r="H2" s="91"/>
      <c r="I2" s="91"/>
      <c r="J2" s="91"/>
      <c r="K2" s="91"/>
      <c r="L2" s="91"/>
      <c r="M2" s="91"/>
      <c r="N2" s="135"/>
      <c r="O2" s="135"/>
      <c r="P2" s="135"/>
      <c r="Q2" s="135"/>
      <c r="R2" s="135"/>
      <c r="S2" s="135"/>
      <c r="T2" s="115"/>
      <c r="U2" s="115"/>
      <c r="V2" s="115"/>
      <c r="W2" s="115"/>
      <c r="X2" s="115"/>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row>
    <row r="3" spans="1:88" s="153" customFormat="1" ht="26" customHeight="1">
      <c r="A3" s="88"/>
      <c r="B3" s="494" t="str">
        <f>UPPER("GRI "&amp;LEFT(Inhaltsverzeichnis!$C$31,3))</f>
        <v>GRI 405</v>
      </c>
      <c r="C3" s="494"/>
      <c r="D3" s="481"/>
      <c r="E3" s="38"/>
      <c r="F3" s="38"/>
      <c r="G3" s="45"/>
      <c r="H3" s="38"/>
      <c r="I3" s="38"/>
      <c r="J3" s="38"/>
      <c r="K3" s="38"/>
      <c r="L3" s="38"/>
      <c r="M3" s="38"/>
      <c r="N3" s="135"/>
      <c r="O3" s="135"/>
      <c r="P3" s="135"/>
      <c r="Q3" s="135"/>
      <c r="R3" s="135"/>
      <c r="S3" s="135"/>
      <c r="T3" s="115"/>
      <c r="U3" s="115"/>
      <c r="V3" s="115"/>
      <c r="W3" s="115"/>
      <c r="X3" s="115"/>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row>
    <row r="6" spans="1:88" s="31" customFormat="1" ht="13" customHeight="1">
      <c r="A6" s="89"/>
      <c r="B6" s="31" t="str">
        <f>VLOOKUP(31,Textbausteine_Menu[],Hilfsgrössen!$D$2,FALSE)</f>
        <v>Divulgazioni</v>
      </c>
      <c r="E6" s="39"/>
      <c r="F6" s="39"/>
      <c r="G6" s="46"/>
      <c r="H6" s="39"/>
      <c r="I6" s="39"/>
      <c r="J6" s="39"/>
      <c r="K6" s="39"/>
      <c r="L6" s="39"/>
      <c r="M6" s="39"/>
      <c r="N6" s="106"/>
      <c r="O6" s="106"/>
      <c r="P6" s="106"/>
      <c r="Q6" s="106"/>
      <c r="R6" s="106"/>
      <c r="S6" s="106"/>
      <c r="T6" s="20"/>
      <c r="U6" s="20"/>
      <c r="V6" s="20"/>
      <c r="W6" s="20"/>
      <c r="X6" s="20"/>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12.5" customHeight="1">
      <c r="A7" s="80"/>
      <c r="B7" s="2"/>
      <c r="C7" s="147" t="str">
        <f>VLOOKUP(1,Textbausteine_405[],Hilfsgrössen!$D$2,FALSE)</f>
        <v>Donne nel management</v>
      </c>
      <c r="D7" s="4"/>
      <c r="N7" s="37"/>
      <c r="O7" s="37"/>
      <c r="P7" s="37"/>
      <c r="Q7" s="37"/>
      <c r="R7" s="37"/>
      <c r="S7" s="37"/>
      <c r="X7" s="111"/>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row>
    <row r="8" spans="1:88" ht="12.5" customHeight="1">
      <c r="A8" s="80"/>
      <c r="B8" s="2"/>
      <c r="C8" s="147" t="str">
        <f>VLOOKUP(2,Textbausteine_405[],Hilfsgrössen!$D$2,FALSE)</f>
        <v>Plurilinguismo</v>
      </c>
      <c r="D8" s="4"/>
      <c r="N8" s="37"/>
      <c r="O8" s="37"/>
      <c r="P8" s="37"/>
      <c r="Q8" s="37"/>
      <c r="R8" s="37"/>
      <c r="S8" s="37"/>
      <c r="X8" s="111"/>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12.5" customHeight="1">
      <c r="A9" s="80"/>
      <c r="B9" s="2"/>
      <c r="C9" s="147" t="str">
        <f>VLOOKUP(3,Textbausteine_405[],Hilfsgrössen!$D$2,FALSE)</f>
        <v>Nazionalità</v>
      </c>
      <c r="D9" s="4"/>
      <c r="E9" s="40"/>
      <c r="F9" s="40"/>
      <c r="G9" s="48"/>
      <c r="N9" s="37"/>
      <c r="O9" s="37"/>
      <c r="P9" s="37"/>
      <c r="Q9" s="37"/>
      <c r="R9" s="37"/>
      <c r="S9" s="37"/>
      <c r="X9" s="111"/>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12.5" customHeight="1">
      <c r="A10" s="80"/>
      <c r="B10" s="2"/>
      <c r="C10" s="147" t="str">
        <f>VLOOKUP(4,Textbausteine_405[],Hilfsgrössen!$D$2,FALSE)</f>
        <v>Demografia (distribuzione in base all'età)</v>
      </c>
      <c r="D10" s="4"/>
      <c r="E10" s="40"/>
      <c r="F10" s="40"/>
      <c r="G10" s="48"/>
      <c r="N10" s="37"/>
      <c r="O10" s="37"/>
      <c r="P10" s="37"/>
      <c r="Q10" s="37"/>
      <c r="R10" s="37"/>
      <c r="S10" s="37"/>
      <c r="X10" s="111"/>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13" customHeight="1">
      <c r="B11" s="2"/>
      <c r="H11" s="113"/>
      <c r="I11" s="113"/>
      <c r="J11" s="113"/>
      <c r="K11" s="113"/>
      <c r="L11" s="113"/>
      <c r="M11" s="113"/>
    </row>
    <row r="12" spans="1:88" ht="13" customHeight="1">
      <c r="B12" s="2"/>
    </row>
    <row r="13" spans="1:88" s="31" customFormat="1" ht="13" customHeight="1">
      <c r="A13" s="56" t="s">
        <v>27</v>
      </c>
      <c r="B13" s="488" t="str">
        <f>$C$7</f>
        <v>Donne nel management</v>
      </c>
      <c r="C13" s="488"/>
      <c r="D13" s="6" t="str">
        <f>VLOOKUP(32,Textbausteine_Menu[],Hilfsgrössen!$D$2,FALSE)</f>
        <v>Unità</v>
      </c>
      <c r="E13" s="39" t="str">
        <f>VLOOKUP(33,Textbausteine_Menu[],Hilfsgrössen!$D$2,FALSE)</f>
        <v>Note</v>
      </c>
      <c r="F13" s="39" t="str">
        <f>VLOOKUP(34,Textbausteine_Menu[],Hilfsgrössen!$D$2,FALSE)</f>
        <v>GRI</v>
      </c>
      <c r="G13" s="47"/>
      <c r="H13" s="112">
        <v>2004</v>
      </c>
      <c r="I13" s="112">
        <v>2005</v>
      </c>
      <c r="J13" s="112">
        <v>2006</v>
      </c>
      <c r="K13" s="112">
        <v>2007</v>
      </c>
      <c r="L13" s="112">
        <v>2008</v>
      </c>
      <c r="M13" s="112">
        <v>2009</v>
      </c>
      <c r="N13" s="116">
        <v>2010</v>
      </c>
      <c r="O13" s="116">
        <v>2011</v>
      </c>
      <c r="P13" s="116">
        <v>2012</v>
      </c>
      <c r="Q13" s="116">
        <v>2013</v>
      </c>
      <c r="R13" s="116">
        <v>2014</v>
      </c>
      <c r="S13" s="116">
        <v>2015</v>
      </c>
      <c r="T13" s="116">
        <v>2016</v>
      </c>
      <c r="U13" s="116">
        <v>2017</v>
      </c>
      <c r="V13" s="116">
        <v>2018</v>
      </c>
      <c r="W13" s="116">
        <v>2019</v>
      </c>
      <c r="X13" s="242">
        <v>2020</v>
      </c>
      <c r="Y13" s="7"/>
      <c r="Z13" s="7"/>
      <c r="AA13" s="7"/>
      <c r="AB13" s="7"/>
      <c r="AC13" s="7"/>
      <c r="AD13" s="7"/>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row>
    <row r="14" spans="1:88" s="31" customFormat="1" ht="13" customHeight="1">
      <c r="A14" s="89"/>
      <c r="B14" s="488"/>
      <c r="C14" s="488"/>
      <c r="D14" s="6"/>
      <c r="E14" s="40"/>
      <c r="F14" s="40"/>
      <c r="G14" s="47"/>
      <c r="H14" s="114"/>
      <c r="I14" s="114"/>
      <c r="J14" s="114"/>
      <c r="K14" s="114"/>
      <c r="L14" s="114"/>
      <c r="M14" s="114"/>
      <c r="N14" s="142"/>
      <c r="O14" s="142"/>
      <c r="P14" s="142"/>
      <c r="Q14" s="142"/>
      <c r="R14" s="142"/>
      <c r="S14" s="142"/>
      <c r="T14" s="118"/>
      <c r="U14" s="118"/>
      <c r="V14" s="118"/>
      <c r="W14" s="118"/>
      <c r="X14" s="243"/>
      <c r="Y14" s="128"/>
      <c r="Z14" s="121"/>
      <c r="AA14" s="121"/>
      <c r="AB14" s="121"/>
      <c r="AC14" s="121"/>
      <c r="AD14" s="121"/>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row>
    <row r="15" spans="1:88" ht="13" customHeight="1">
      <c r="B15" s="8"/>
      <c r="C15" s="9"/>
      <c r="D15" s="9"/>
      <c r="E15" s="40"/>
      <c r="F15" s="40"/>
      <c r="G15" s="48"/>
      <c r="H15" s="114"/>
      <c r="I15" s="114"/>
      <c r="J15" s="114"/>
      <c r="K15" s="114"/>
      <c r="L15" s="114"/>
      <c r="M15" s="114"/>
      <c r="X15" s="244"/>
      <c r="Y15" s="12"/>
      <c r="Z15" s="13"/>
      <c r="AA15" s="13"/>
      <c r="AB15" s="13"/>
      <c r="AC15" s="13"/>
      <c r="AD15" s="13"/>
    </row>
    <row r="16" spans="1:88" ht="13" customHeight="1">
      <c r="B16" s="8" t="str">
        <f>VLOOKUP(37,Textbausteine_Menu[],Hilfsgrössen!$D$2,FALSE)</f>
        <v>Gruppo Svizzera</v>
      </c>
      <c r="C16" s="8"/>
      <c r="D16" s="66"/>
      <c r="E16" s="12"/>
      <c r="F16" s="11"/>
      <c r="G16" s="48"/>
      <c r="H16" s="114"/>
      <c r="I16" s="114"/>
      <c r="J16" s="114"/>
      <c r="K16" s="114"/>
      <c r="L16" s="114"/>
      <c r="M16" s="114"/>
      <c r="X16" s="244"/>
    </row>
    <row r="17" spans="1:88" ht="13" customHeight="1">
      <c r="C17" s="189" t="str">
        <f>VLOOKUP(31,Textbausteine_405[],Hilfsgrössen!$D$2,FALSE)</f>
        <v>Percentuale di donne nei quadri</v>
      </c>
      <c r="D17" s="66" t="str">
        <f>VLOOKUP(11,Textbausteine_405[],Hilfsgrössen!$D$2,FALSE)</f>
        <v>% delle persone</v>
      </c>
      <c r="E17" s="11" t="s">
        <v>84</v>
      </c>
      <c r="F17" s="11" t="s">
        <v>157</v>
      </c>
      <c r="G17" s="49"/>
      <c r="H17" s="271" t="s">
        <v>30</v>
      </c>
      <c r="I17" s="271" t="s">
        <v>30</v>
      </c>
      <c r="J17" s="271" t="s">
        <v>30</v>
      </c>
      <c r="K17" s="271" t="s">
        <v>30</v>
      </c>
      <c r="L17" s="13">
        <v>20.2</v>
      </c>
      <c r="M17" s="13">
        <v>20.5</v>
      </c>
      <c r="N17" s="20">
        <v>21.5</v>
      </c>
      <c r="O17" s="20">
        <v>22.1</v>
      </c>
      <c r="P17" s="106">
        <v>21.8</v>
      </c>
      <c r="Q17" s="106">
        <v>22.7</v>
      </c>
      <c r="R17" s="136">
        <v>22.6</v>
      </c>
      <c r="S17" s="136">
        <v>22.507579810950599</v>
      </c>
      <c r="T17" s="20">
        <v>23.5</v>
      </c>
      <c r="U17" s="20">
        <v>23.2</v>
      </c>
      <c r="V17" s="20">
        <v>22.71</v>
      </c>
      <c r="W17" s="20">
        <v>23.3</v>
      </c>
      <c r="X17" s="244">
        <v>22.075984519483576</v>
      </c>
      <c r="Y17" s="14"/>
      <c r="Z17" s="17"/>
      <c r="AA17" s="17"/>
      <c r="AB17" s="17"/>
      <c r="AC17" s="17"/>
      <c r="AD17" s="17"/>
    </row>
    <row r="18" spans="1:88" ht="13" customHeight="1">
      <c r="C18" s="189" t="str">
        <f>VLOOKUP(32,Textbausteine_405[],Hilfsgrössen!$D$2,FALSE)</f>
        <v>Percentuale di donne con mansioni direttive di livello superiore</v>
      </c>
      <c r="D18" s="66" t="str">
        <f>VLOOKUP(11,Textbausteine_405[],Hilfsgrössen!$D$2,FALSE)</f>
        <v>% delle persone</v>
      </c>
      <c r="E18" s="11" t="s">
        <v>87</v>
      </c>
      <c r="F18" s="11" t="s">
        <v>157</v>
      </c>
      <c r="G18" s="49"/>
      <c r="H18" s="272">
        <v>9.1999999999999993</v>
      </c>
      <c r="I18" s="272">
        <v>10.1</v>
      </c>
      <c r="J18" s="393">
        <v>9.8000000000000007</v>
      </c>
      <c r="K18" s="393">
        <v>9.3000000000000007</v>
      </c>
      <c r="L18" s="385">
        <v>7.7</v>
      </c>
      <c r="M18" s="385">
        <v>8.6999999999999993</v>
      </c>
      <c r="N18" s="385">
        <v>8.1999999999999993</v>
      </c>
      <c r="O18" s="385">
        <v>7.6</v>
      </c>
      <c r="P18" s="364">
        <v>8</v>
      </c>
      <c r="Q18" s="364">
        <v>9.3000000000000007</v>
      </c>
      <c r="R18" s="404">
        <v>11</v>
      </c>
      <c r="S18" s="404">
        <v>12.343849248359099</v>
      </c>
      <c r="T18" s="417">
        <v>12.3</v>
      </c>
      <c r="U18" s="417">
        <v>13.4</v>
      </c>
      <c r="V18" s="417">
        <v>15.96</v>
      </c>
      <c r="W18" s="417">
        <v>17.100000000000001</v>
      </c>
      <c r="X18" s="447">
        <v>19.806851311953348</v>
      </c>
      <c r="Y18" s="14"/>
      <c r="Z18" s="14"/>
      <c r="AA18" s="14"/>
      <c r="AB18" s="14"/>
      <c r="AC18" s="14"/>
    </row>
    <row r="19" spans="1:88" ht="13" customHeight="1">
      <c r="C19" s="273" t="str">
        <f>VLOOKUP(33,Textbausteine_405[],Hilfsgrössen!$D$2,FALSE)</f>
        <v>Percentuale di donne nei quadri inferiori e medi</v>
      </c>
      <c r="D19" s="66" t="str">
        <f>VLOOKUP(11,Textbausteine_405[],Hilfsgrössen!$D$2,FALSE)</f>
        <v>% delle persone</v>
      </c>
      <c r="E19" s="11" t="s">
        <v>84</v>
      </c>
      <c r="F19" s="11" t="s">
        <v>157</v>
      </c>
      <c r="G19" s="49"/>
      <c r="H19" s="271" t="s">
        <v>30</v>
      </c>
      <c r="I19" s="271" t="s">
        <v>30</v>
      </c>
      <c r="J19" s="271" t="s">
        <v>30</v>
      </c>
      <c r="K19" s="271" t="s">
        <v>30</v>
      </c>
      <c r="L19" s="13">
        <v>21.3</v>
      </c>
      <c r="M19" s="16">
        <v>21.5</v>
      </c>
      <c r="N19" s="20">
        <v>22.6</v>
      </c>
      <c r="O19" s="20">
        <v>23.2</v>
      </c>
      <c r="P19" s="106">
        <v>23</v>
      </c>
      <c r="Q19" s="106">
        <v>23.7</v>
      </c>
      <c r="R19" s="136">
        <v>23.6</v>
      </c>
      <c r="S19" s="136">
        <v>23.442460124252602</v>
      </c>
      <c r="T19" s="118">
        <v>24.2</v>
      </c>
      <c r="U19" s="118">
        <v>23.9</v>
      </c>
      <c r="V19" s="118">
        <v>23.22</v>
      </c>
      <c r="W19" s="118">
        <v>23.8</v>
      </c>
      <c r="X19" s="243">
        <v>22.276161388844187</v>
      </c>
      <c r="Y19" s="14"/>
      <c r="Z19" s="17"/>
      <c r="AA19" s="17"/>
      <c r="AB19" s="17"/>
      <c r="AC19" s="17"/>
      <c r="AD19" s="17"/>
    </row>
    <row r="20" spans="1:88" ht="13" customHeight="1">
      <c r="C20" s="189" t="str">
        <f>VLOOKUP(34,Textbausteine_405[],Hilfsgrössen!$D$2,FALSE)</f>
        <v>Percentuale di donne nel Consiglio di amministrazione (CdA) de La Posta Svizzera SA</v>
      </c>
      <c r="D20" s="66" t="str">
        <f>VLOOKUP(11,Textbausteine_405[],Hilfsgrössen!$D$2,FALSE)</f>
        <v>% delle persone</v>
      </c>
      <c r="E20" s="11">
        <v>1</v>
      </c>
      <c r="F20" s="11" t="s">
        <v>157</v>
      </c>
      <c r="G20" s="49"/>
      <c r="H20" s="274">
        <v>10</v>
      </c>
      <c r="I20" s="274">
        <v>10</v>
      </c>
      <c r="J20" s="274">
        <v>20</v>
      </c>
      <c r="K20" s="274">
        <v>22.2</v>
      </c>
      <c r="L20" s="221">
        <v>20</v>
      </c>
      <c r="M20" s="16">
        <v>25</v>
      </c>
      <c r="N20" s="20">
        <v>22.2</v>
      </c>
      <c r="O20" s="20">
        <v>22.2</v>
      </c>
      <c r="P20" s="137">
        <v>22.2</v>
      </c>
      <c r="Q20" s="106">
        <v>22.2</v>
      </c>
      <c r="R20" s="136">
        <v>33.299999999999997</v>
      </c>
      <c r="S20" s="136">
        <v>33.299999999999997</v>
      </c>
      <c r="T20" s="20">
        <v>33.299999999999997</v>
      </c>
      <c r="U20" s="20">
        <v>33.299999999999997</v>
      </c>
      <c r="V20" s="20">
        <v>33.299999999999997</v>
      </c>
      <c r="W20" s="20">
        <v>33.299999999999997</v>
      </c>
      <c r="X20" s="244">
        <v>33.299999999999997</v>
      </c>
      <c r="Y20" s="14"/>
      <c r="Z20" s="17"/>
      <c r="AA20" s="17"/>
      <c r="AB20" s="17"/>
      <c r="AC20" s="17"/>
    </row>
    <row r="21" spans="1:88" ht="13" customHeight="1">
      <c r="C21" s="189" t="str">
        <f>VLOOKUP(35,Textbausteine_405[],Hilfsgrössen!$D$2,FALSE)</f>
        <v>Percentuale di donne nella Direzione del gruppo (DG) de La Posta Svizzera SA</v>
      </c>
      <c r="D21" s="66" t="str">
        <f>VLOOKUP(11,Textbausteine_405[],Hilfsgrössen!$D$2,FALSE)</f>
        <v>% delle persone</v>
      </c>
      <c r="E21" s="11">
        <v>1</v>
      </c>
      <c r="F21" s="11" t="s">
        <v>157</v>
      </c>
      <c r="G21" s="49"/>
      <c r="H21" s="274">
        <v>0</v>
      </c>
      <c r="I21" s="274">
        <v>0</v>
      </c>
      <c r="J21" s="274">
        <v>0</v>
      </c>
      <c r="K21" s="274">
        <v>0</v>
      </c>
      <c r="L21" s="221">
        <v>0</v>
      </c>
      <c r="M21" s="16">
        <v>0</v>
      </c>
      <c r="N21" s="20">
        <v>0</v>
      </c>
      <c r="O21" s="20">
        <v>0</v>
      </c>
      <c r="P21" s="106">
        <v>11.1</v>
      </c>
      <c r="Q21" s="106">
        <v>12.5</v>
      </c>
      <c r="R21" s="136">
        <v>12.5</v>
      </c>
      <c r="S21" s="136">
        <v>12.1</v>
      </c>
      <c r="T21" s="106">
        <v>11.1</v>
      </c>
      <c r="U21" s="106">
        <v>20.5</v>
      </c>
      <c r="V21" s="106">
        <v>22.86</v>
      </c>
      <c r="W21" s="106">
        <v>11.1</v>
      </c>
      <c r="X21" s="245">
        <v>11.1</v>
      </c>
      <c r="Y21" s="14"/>
      <c r="Z21" s="17"/>
      <c r="AA21" s="17"/>
      <c r="AB21" s="17"/>
      <c r="AC21" s="17"/>
      <c r="AD21" s="17"/>
    </row>
    <row r="22" spans="1:88" ht="13" customHeight="1">
      <c r="C22" s="189" t="str">
        <f>VLOOKUP(36,Textbausteine_405[],Hilfsgrössen!$D$2,FALSE)</f>
        <v>Percentuale di donne nel CdA, nella DG e nel comitato di direzione del gruppo</v>
      </c>
      <c r="D22" s="66" t="str">
        <f>VLOOKUP(11,Textbausteine_405[],Hilfsgrössen!$D$2,FALSE)</f>
        <v>% delle persone</v>
      </c>
      <c r="E22" s="11" t="s">
        <v>87</v>
      </c>
      <c r="F22" s="11" t="s">
        <v>157</v>
      </c>
      <c r="G22" s="49"/>
      <c r="H22" s="274">
        <v>5.3</v>
      </c>
      <c r="I22" s="274">
        <v>5.3</v>
      </c>
      <c r="J22" s="274">
        <v>10</v>
      </c>
      <c r="K22" s="274">
        <v>11.1</v>
      </c>
      <c r="L22" s="71">
        <v>10.5</v>
      </c>
      <c r="M22" s="16">
        <v>11.8</v>
      </c>
      <c r="N22" s="20">
        <v>11.1</v>
      </c>
      <c r="O22" s="20">
        <v>11.1</v>
      </c>
      <c r="P22" s="106">
        <v>13.5</v>
      </c>
      <c r="Q22" s="106">
        <v>15.8</v>
      </c>
      <c r="R22" s="106">
        <v>18.399999999999999</v>
      </c>
      <c r="S22" s="136">
        <v>18.399999999999999</v>
      </c>
      <c r="T22" s="106">
        <v>21.1</v>
      </c>
      <c r="U22" s="106">
        <v>26.3</v>
      </c>
      <c r="V22" s="106">
        <v>23</v>
      </c>
      <c r="W22" s="106">
        <v>26.4</v>
      </c>
      <c r="X22" s="245">
        <v>25.9</v>
      </c>
      <c r="Y22" s="13"/>
      <c r="AD22" s="17"/>
    </row>
    <row r="23" spans="1:88" s="9" customFormat="1" ht="13" customHeight="1">
      <c r="A23" s="146"/>
      <c r="C23" s="189"/>
      <c r="D23" s="66"/>
      <c r="E23" s="11"/>
      <c r="F23" s="11"/>
      <c r="G23" s="49"/>
      <c r="H23" s="274"/>
      <c r="I23" s="274"/>
      <c r="J23" s="274"/>
      <c r="K23" s="274"/>
      <c r="L23" s="71"/>
      <c r="M23" s="16"/>
      <c r="N23" s="20"/>
      <c r="O23" s="20"/>
      <c r="P23" s="106"/>
      <c r="Q23" s="106"/>
      <c r="R23" s="106"/>
      <c r="S23" s="136"/>
      <c r="T23" s="106"/>
      <c r="U23" s="106"/>
      <c r="V23" s="106"/>
      <c r="W23" s="106"/>
      <c r="X23" s="106"/>
      <c r="Y23" s="13"/>
      <c r="Z23" s="11"/>
      <c r="AA23" s="11"/>
      <c r="AB23" s="11"/>
      <c r="AC23" s="11"/>
      <c r="AD23" s="17"/>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row>
    <row r="24" spans="1:88" ht="13" customHeight="1">
      <c r="B24" s="26" t="str">
        <f>VLOOKUP(131,Textbausteine_405[],Hilfsgrössen!$D$2,FALSE)</f>
        <v>1) Valori medi annuali</v>
      </c>
      <c r="E24" s="11"/>
      <c r="F24" s="11"/>
      <c r="G24" s="49"/>
      <c r="H24" s="68"/>
      <c r="I24" s="68"/>
      <c r="J24" s="68"/>
      <c r="K24" s="68"/>
      <c r="L24" s="68"/>
      <c r="M24" s="68"/>
      <c r="T24" s="106"/>
      <c r="U24" s="106"/>
      <c r="V24" s="106"/>
      <c r="W24" s="106"/>
      <c r="X24" s="106"/>
    </row>
    <row r="25" spans="1:88" ht="13" customHeight="1">
      <c r="B25" s="26" t="str">
        <f>VLOOKUP(132,Textbausteine_405[],Hilfsgrössen!$D$2,FALSE)</f>
        <v>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v>
      </c>
      <c r="E25" s="11"/>
      <c r="F25" s="11"/>
      <c r="G25" s="49"/>
      <c r="H25" s="68"/>
      <c r="I25" s="68"/>
      <c r="J25" s="68"/>
      <c r="K25" s="68"/>
      <c r="L25" s="68"/>
      <c r="M25" s="68"/>
      <c r="T25" s="106"/>
      <c r="U25" s="106"/>
      <c r="V25" s="106"/>
      <c r="W25" s="106"/>
      <c r="X25" s="106"/>
    </row>
    <row r="26" spans="1:88" ht="13" customHeight="1">
      <c r="B26" s="26" t="str">
        <f>VLOOKUP(133,Textbausteine_405[],Hilfsgrössen!$D$2,FALSE)</f>
        <v>3) I quadri sono collaboratori con funzioni direttive, specialistiche o altamente qualificate.</v>
      </c>
      <c r="E26" s="11"/>
      <c r="F26" s="11"/>
      <c r="G26" s="49"/>
      <c r="H26" s="68"/>
      <c r="I26" s="68"/>
      <c r="J26" s="68"/>
      <c r="K26" s="68"/>
      <c r="L26" s="68"/>
      <c r="M26" s="68"/>
      <c r="T26" s="106"/>
      <c r="U26" s="106"/>
      <c r="V26" s="106"/>
      <c r="W26" s="106"/>
      <c r="X26" s="106"/>
    </row>
    <row r="27" spans="1:88" ht="13" customHeight="1">
      <c r="E27" s="11"/>
      <c r="F27" s="11"/>
      <c r="G27" s="49"/>
      <c r="H27" s="68"/>
      <c r="I27" s="68"/>
      <c r="J27" s="68"/>
      <c r="K27" s="68"/>
      <c r="L27" s="68"/>
      <c r="M27" s="68"/>
      <c r="T27" s="106"/>
      <c r="U27" s="106"/>
      <c r="V27" s="106"/>
      <c r="W27" s="106"/>
      <c r="X27" s="106"/>
    </row>
    <row r="28" spans="1:88" ht="13" customHeight="1">
      <c r="E28" s="11"/>
      <c r="F28" s="11"/>
      <c r="G28" s="49"/>
      <c r="H28" s="68"/>
      <c r="I28" s="68"/>
      <c r="J28" s="68"/>
      <c r="K28" s="68"/>
      <c r="L28" s="68"/>
      <c r="M28" s="68"/>
      <c r="T28" s="106"/>
      <c r="U28" s="106"/>
      <c r="V28" s="106"/>
      <c r="W28" s="106"/>
      <c r="X28" s="106"/>
    </row>
    <row r="29" spans="1:88" s="31" customFormat="1" ht="13" customHeight="1">
      <c r="A29" s="56" t="s">
        <v>27</v>
      </c>
      <c r="B29" s="488" t="str">
        <f>$C$8</f>
        <v>Plurilinguismo</v>
      </c>
      <c r="C29" s="488"/>
      <c r="D29" s="6" t="str">
        <f>VLOOKUP(32,Textbausteine_Menu[],Hilfsgrössen!$D$2,FALSE)</f>
        <v>Unità</v>
      </c>
      <c r="E29" s="39" t="str">
        <f>VLOOKUP(33,Textbausteine_Menu[],Hilfsgrössen!$D$2,FALSE)</f>
        <v>Note</v>
      </c>
      <c r="F29" s="39" t="str">
        <f>VLOOKUP(34,Textbausteine_Menu[],Hilfsgrössen!$D$2,FALSE)</f>
        <v>GRI</v>
      </c>
      <c r="G29" s="47"/>
      <c r="H29" s="116">
        <v>2004</v>
      </c>
      <c r="I29" s="116">
        <v>2005</v>
      </c>
      <c r="J29" s="116">
        <v>2006</v>
      </c>
      <c r="K29" s="116">
        <v>2007</v>
      </c>
      <c r="L29" s="116">
        <v>2008</v>
      </c>
      <c r="M29" s="116">
        <v>2009</v>
      </c>
      <c r="N29" s="116">
        <v>2010</v>
      </c>
      <c r="O29" s="116">
        <v>2011</v>
      </c>
      <c r="P29" s="116">
        <v>2012</v>
      </c>
      <c r="Q29" s="116">
        <v>2013</v>
      </c>
      <c r="R29" s="116">
        <v>2014</v>
      </c>
      <c r="S29" s="116">
        <v>2015</v>
      </c>
      <c r="T29" s="116">
        <v>2016</v>
      </c>
      <c r="U29" s="116">
        <v>2017</v>
      </c>
      <c r="V29" s="116">
        <v>2018</v>
      </c>
      <c r="W29" s="116">
        <v>2019</v>
      </c>
      <c r="X29" s="242">
        <v>2020</v>
      </c>
      <c r="Y29" s="7"/>
      <c r="Z29" s="7"/>
      <c r="AA29" s="7"/>
      <c r="AB29" s="7"/>
      <c r="AC29" s="7"/>
      <c r="AD29" s="7"/>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row>
    <row r="30" spans="1:88" s="31" customFormat="1" ht="13" customHeight="1">
      <c r="A30" s="89"/>
      <c r="B30" s="488"/>
      <c r="C30" s="488"/>
      <c r="D30" s="6"/>
      <c r="E30" s="40"/>
      <c r="F30" s="40"/>
      <c r="G30" s="47"/>
      <c r="H30" s="68"/>
      <c r="I30" s="68"/>
      <c r="J30" s="68"/>
      <c r="K30" s="68"/>
      <c r="L30" s="68"/>
      <c r="M30" s="68"/>
      <c r="N30" s="142"/>
      <c r="O30" s="142"/>
      <c r="P30" s="142"/>
      <c r="Q30" s="142"/>
      <c r="R30" s="142"/>
      <c r="S30" s="142"/>
      <c r="T30" s="118"/>
      <c r="U30" s="118"/>
      <c r="V30" s="118"/>
      <c r="W30" s="118"/>
      <c r="X30" s="243"/>
      <c r="Y30" s="128"/>
      <c r="Z30" s="121"/>
      <c r="AA30" s="121"/>
      <c r="AB30" s="121"/>
      <c r="AC30" s="121"/>
      <c r="AD30" s="121"/>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row>
    <row r="31" spans="1:88" ht="13" customHeight="1">
      <c r="B31" s="8"/>
      <c r="C31" s="9"/>
      <c r="D31" s="9"/>
      <c r="E31" s="40"/>
      <c r="F31" s="40"/>
      <c r="G31" s="48"/>
      <c r="H31" s="68"/>
      <c r="I31" s="68"/>
      <c r="J31" s="68"/>
      <c r="K31" s="68"/>
      <c r="L31" s="68"/>
      <c r="M31" s="68"/>
      <c r="X31" s="244"/>
      <c r="Y31" s="12"/>
      <c r="Z31" s="13"/>
      <c r="AA31" s="13"/>
      <c r="AB31" s="13"/>
      <c r="AC31" s="13"/>
      <c r="AD31" s="13"/>
    </row>
    <row r="32" spans="1:88" ht="13" customHeight="1">
      <c r="B32" s="8" t="str">
        <f>VLOOKUP(37,Textbausteine_Menu[],Hilfsgrössen!$D$2,FALSE)</f>
        <v>Gruppo Svizzera</v>
      </c>
      <c r="C32" s="8"/>
      <c r="D32" s="66"/>
      <c r="E32" s="12"/>
      <c r="F32" s="11"/>
      <c r="G32" s="48"/>
      <c r="H32" s="70"/>
      <c r="I32" s="70"/>
      <c r="J32" s="70"/>
      <c r="K32" s="70"/>
      <c r="L32" s="70"/>
      <c r="M32" s="70"/>
      <c r="X32" s="244"/>
    </row>
    <row r="33" spans="1:88" ht="13" customHeight="1">
      <c r="C33" s="189" t="str">
        <f>VLOOKUP(51,Textbausteine_405[],Hilfsgrössen!$D$2,FALSE)</f>
        <v>Madrelingua tedesca</v>
      </c>
      <c r="D33" s="233" t="str">
        <f>VLOOKUP(11,Textbausteine_405[],Hilfsgrössen!$D$2,FALSE)</f>
        <v>% delle persone</v>
      </c>
      <c r="E33" s="11" t="s">
        <v>84</v>
      </c>
      <c r="F33" s="11" t="s">
        <v>157</v>
      </c>
      <c r="G33" s="49"/>
      <c r="H33" s="238">
        <v>67</v>
      </c>
      <c r="I33" s="238">
        <v>67</v>
      </c>
      <c r="J33" s="238">
        <v>67.099999999999994</v>
      </c>
      <c r="K33" s="238">
        <v>67</v>
      </c>
      <c r="L33" s="275">
        <v>66.900000000000006</v>
      </c>
      <c r="M33" s="219">
        <v>67.599999999999994</v>
      </c>
      <c r="N33" s="106">
        <v>72</v>
      </c>
      <c r="O33" s="106">
        <v>73.099999999999994</v>
      </c>
      <c r="P33" s="106">
        <v>72.099999999999994</v>
      </c>
      <c r="Q33" s="106">
        <v>71.844499999999996</v>
      </c>
      <c r="R33" s="106">
        <v>71.2</v>
      </c>
      <c r="S33" s="106">
        <v>70.7</v>
      </c>
      <c r="T33" s="106">
        <v>70.5</v>
      </c>
      <c r="U33" s="106">
        <v>70.2</v>
      </c>
      <c r="V33" s="106">
        <v>69.81</v>
      </c>
      <c r="W33" s="106">
        <v>68.8</v>
      </c>
      <c r="X33" s="245">
        <v>68.03504722387747</v>
      </c>
    </row>
    <row r="34" spans="1:88" ht="13" customHeight="1">
      <c r="C34" s="189" t="str">
        <f>VLOOKUP(52,Textbausteine_405[],Hilfsgrössen!$D$2,FALSE)</f>
        <v>Madrelingua francese</v>
      </c>
      <c r="D34" s="66" t="str">
        <f>VLOOKUP(11,Textbausteine_405[],Hilfsgrössen!$D$2,FALSE)</f>
        <v>% delle persone</v>
      </c>
      <c r="E34" s="11" t="s">
        <v>84</v>
      </c>
      <c r="F34" s="11" t="s">
        <v>157</v>
      </c>
      <c r="G34" s="49"/>
      <c r="H34" s="238">
        <v>20.8</v>
      </c>
      <c r="I34" s="238">
        <v>21</v>
      </c>
      <c r="J34" s="238">
        <v>21</v>
      </c>
      <c r="K34" s="238">
        <v>20.9</v>
      </c>
      <c r="L34" s="275">
        <v>20.399999999999999</v>
      </c>
      <c r="M34" s="219">
        <v>20.2</v>
      </c>
      <c r="N34" s="106">
        <v>17.7</v>
      </c>
      <c r="O34" s="106">
        <v>17.5</v>
      </c>
      <c r="P34" s="106">
        <v>17.3</v>
      </c>
      <c r="Q34" s="106">
        <v>17.136150000000001</v>
      </c>
      <c r="R34" s="106">
        <v>17.3</v>
      </c>
      <c r="S34" s="106">
        <v>17.2</v>
      </c>
      <c r="T34" s="106">
        <v>17</v>
      </c>
      <c r="U34" s="106">
        <v>16.8</v>
      </c>
      <c r="V34" s="106">
        <v>16.57</v>
      </c>
      <c r="W34" s="106">
        <v>16.5</v>
      </c>
      <c r="X34" s="245">
        <v>16.390476435572236</v>
      </c>
    </row>
    <row r="35" spans="1:88" ht="13" customHeight="1">
      <c r="C35" s="189" t="str">
        <f>VLOOKUP(53,Textbausteine_405[],Hilfsgrössen!$D$2,FALSE)</f>
        <v>Madrelingua italiana</v>
      </c>
      <c r="D35" s="66" t="str">
        <f>VLOOKUP(11,Textbausteine_405[],Hilfsgrössen!$D$2,FALSE)</f>
        <v>% delle persone</v>
      </c>
      <c r="E35" s="11" t="s">
        <v>84</v>
      </c>
      <c r="F35" s="11" t="s">
        <v>157</v>
      </c>
      <c r="G35" s="49"/>
      <c r="H35" s="238">
        <v>7.5</v>
      </c>
      <c r="I35" s="238">
        <v>7.5</v>
      </c>
      <c r="J35" s="238">
        <v>7.5</v>
      </c>
      <c r="K35" s="238">
        <v>7.4</v>
      </c>
      <c r="L35" s="275">
        <v>7.2</v>
      </c>
      <c r="M35" s="219">
        <v>7</v>
      </c>
      <c r="N35" s="106">
        <v>6</v>
      </c>
      <c r="O35" s="106">
        <v>5.8</v>
      </c>
      <c r="P35" s="106">
        <v>5.8</v>
      </c>
      <c r="Q35" s="106">
        <v>5.8</v>
      </c>
      <c r="R35" s="106">
        <v>5.9</v>
      </c>
      <c r="S35" s="106">
        <v>6</v>
      </c>
      <c r="T35" s="106">
        <v>6</v>
      </c>
      <c r="U35" s="106">
        <v>6</v>
      </c>
      <c r="V35" s="106">
        <v>6.03</v>
      </c>
      <c r="W35" s="106">
        <v>6.07</v>
      </c>
      <c r="X35" s="245">
        <v>6.2175960660956173</v>
      </c>
    </row>
    <row r="36" spans="1:88" ht="13" customHeight="1">
      <c r="C36" s="189" t="str">
        <f>VLOOKUP(54,Textbausteine_405[],Hilfsgrössen!$D$2,FALSE)</f>
        <v>Madrelingua romancia</v>
      </c>
      <c r="D36" s="66" t="str">
        <f>VLOOKUP(11,Textbausteine_405[],Hilfsgrössen!$D$2,FALSE)</f>
        <v>% delle persone</v>
      </c>
      <c r="E36" s="11" t="s">
        <v>84</v>
      </c>
      <c r="F36" s="11" t="s">
        <v>157</v>
      </c>
      <c r="G36" s="49"/>
      <c r="H36" s="276">
        <v>1.1000000000000001</v>
      </c>
      <c r="I36" s="277">
        <v>0.9</v>
      </c>
      <c r="J36" s="277">
        <v>0.8</v>
      </c>
      <c r="K36" s="277">
        <v>0.7</v>
      </c>
      <c r="L36" s="276">
        <v>0.7</v>
      </c>
      <c r="M36" s="276">
        <v>0.6</v>
      </c>
      <c r="N36" s="106">
        <v>0.5</v>
      </c>
      <c r="O36" s="106">
        <v>0.4</v>
      </c>
      <c r="P36" s="106">
        <v>0.4</v>
      </c>
      <c r="Q36" s="106">
        <v>0.4</v>
      </c>
      <c r="R36" s="106">
        <v>0.4</v>
      </c>
      <c r="S36" s="106">
        <v>0.4</v>
      </c>
      <c r="T36" s="106">
        <v>0.4</v>
      </c>
      <c r="U36" s="106">
        <v>0.4</v>
      </c>
      <c r="V36" s="106">
        <v>0.37</v>
      </c>
      <c r="W36" s="106">
        <v>0.36</v>
      </c>
      <c r="X36" s="245">
        <v>0.35494618398208944</v>
      </c>
    </row>
    <row r="37" spans="1:88" ht="13" customHeight="1">
      <c r="C37" s="189" t="str">
        <f>VLOOKUP(55,Textbausteine_405[],Hilfsgrössen!$D$2,FALSE)</f>
        <v>Altre madrelingue</v>
      </c>
      <c r="D37" s="233" t="str">
        <f>VLOOKUP(11,Textbausteine_405[],Hilfsgrössen!$D$2,FALSE)</f>
        <v>% delle persone</v>
      </c>
      <c r="E37" s="11" t="s">
        <v>84</v>
      </c>
      <c r="F37" s="11" t="s">
        <v>157</v>
      </c>
      <c r="G37" s="49"/>
      <c r="H37" s="238">
        <v>3.6000000000000085</v>
      </c>
      <c r="I37" s="238">
        <v>3.5999999999999943</v>
      </c>
      <c r="J37" s="238">
        <v>3.6000000000000085</v>
      </c>
      <c r="K37" s="238">
        <v>3.9999999999999858</v>
      </c>
      <c r="L37" s="238">
        <v>4.7999999999999829</v>
      </c>
      <c r="M37" s="238">
        <v>4.6000000000000085</v>
      </c>
      <c r="N37" s="106">
        <v>3.8</v>
      </c>
      <c r="O37" s="106">
        <v>3.2000000000000028</v>
      </c>
      <c r="P37" s="106">
        <v>4.4000000000000004</v>
      </c>
      <c r="Q37" s="106">
        <v>4.8</v>
      </c>
      <c r="R37" s="106">
        <v>5.3</v>
      </c>
      <c r="S37" s="106">
        <v>5.7</v>
      </c>
      <c r="T37" s="106">
        <v>6.1</v>
      </c>
      <c r="U37" s="106">
        <v>6.6</v>
      </c>
      <c r="V37" s="106">
        <v>7.23</v>
      </c>
      <c r="W37" s="106">
        <v>8.18</v>
      </c>
      <c r="X37" s="245">
        <v>9.0019340904726057</v>
      </c>
    </row>
    <row r="38" spans="1:88" s="9" customFormat="1" ht="13" customHeight="1">
      <c r="A38" s="146"/>
      <c r="C38" s="189"/>
      <c r="D38" s="66"/>
      <c r="E38" s="11"/>
      <c r="F38" s="11"/>
      <c r="G38" s="49"/>
      <c r="H38" s="238"/>
      <c r="I38" s="238"/>
      <c r="J38" s="238"/>
      <c r="K38" s="238"/>
      <c r="L38" s="238"/>
      <c r="M38" s="238"/>
      <c r="N38" s="106"/>
      <c r="O38" s="106"/>
      <c r="P38" s="106"/>
      <c r="Q38" s="106"/>
      <c r="R38" s="106"/>
      <c r="S38" s="106"/>
      <c r="T38" s="136"/>
      <c r="U38" s="136"/>
      <c r="V38" s="136"/>
      <c r="W38" s="136"/>
      <c r="X38" s="136"/>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ht="13" customHeight="1">
      <c r="B39" s="26" t="str">
        <f>VLOOKUP(141,Textbausteine_405[],Hilfsgrössen!$D$2,FALSE)</f>
        <v>1) Valori medi annuali</v>
      </c>
      <c r="E39" s="11"/>
      <c r="F39" s="11"/>
      <c r="G39" s="49"/>
      <c r="H39" s="68"/>
      <c r="I39" s="68"/>
      <c r="J39" s="68"/>
      <c r="K39" s="68"/>
      <c r="L39" s="68"/>
      <c r="M39" s="68"/>
      <c r="T39" s="106"/>
      <c r="U39" s="106"/>
      <c r="V39" s="106"/>
      <c r="W39" s="106"/>
      <c r="X39" s="106"/>
    </row>
    <row r="40" spans="1:88" ht="13" customHeight="1">
      <c r="B40" s="26" t="str">
        <f>VLOOKUP(142,Textbausteine_405[],Hilfsgrössen!$D$2,FALSE)</f>
        <v>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v>
      </c>
      <c r="E40" s="11"/>
      <c r="F40" s="11"/>
      <c r="G40" s="49"/>
      <c r="H40" s="68"/>
      <c r="I40" s="68"/>
      <c r="J40" s="68"/>
      <c r="K40" s="68"/>
      <c r="L40" s="68"/>
      <c r="M40" s="68"/>
      <c r="T40" s="106"/>
      <c r="U40" s="106"/>
      <c r="V40" s="106"/>
      <c r="W40" s="106"/>
      <c r="X40" s="106"/>
    </row>
    <row r="41" spans="1:88" ht="13" customHeight="1">
      <c r="B41" s="26" t="str">
        <f>VLOOKUP(143,Textbausteine_405[],Hilfsgrössen!$D$2,FALSE)</f>
        <v>3) Escluso il personale in formazione</v>
      </c>
      <c r="E41" s="11"/>
      <c r="F41" s="11"/>
      <c r="G41" s="49"/>
      <c r="H41" s="68"/>
      <c r="I41" s="68"/>
      <c r="J41" s="68"/>
      <c r="K41" s="68"/>
      <c r="L41" s="68"/>
      <c r="M41" s="68"/>
      <c r="T41" s="106"/>
      <c r="U41" s="106"/>
      <c r="V41" s="106"/>
      <c r="W41" s="106"/>
      <c r="X41" s="106"/>
    </row>
    <row r="42" spans="1:88" ht="13" customHeight="1">
      <c r="C42" s="189"/>
      <c r="D42" s="233"/>
      <c r="E42" s="11"/>
      <c r="F42" s="11"/>
      <c r="G42" s="49"/>
      <c r="H42" s="238"/>
      <c r="I42" s="238"/>
      <c r="J42" s="238"/>
      <c r="K42" s="238"/>
      <c r="L42" s="238"/>
      <c r="M42" s="238"/>
      <c r="T42" s="136"/>
      <c r="U42" s="136"/>
      <c r="V42" s="136"/>
      <c r="W42" s="136"/>
      <c r="X42" s="136"/>
    </row>
    <row r="43" spans="1:88" ht="13" customHeight="1">
      <c r="E43" s="11"/>
      <c r="F43" s="11"/>
      <c r="G43" s="49"/>
      <c r="T43" s="136"/>
      <c r="U43" s="136"/>
      <c r="V43" s="136"/>
      <c r="W43" s="136"/>
      <c r="X43" s="136"/>
    </row>
    <row r="44" spans="1:88" s="31" customFormat="1" ht="13" customHeight="1">
      <c r="A44" s="56" t="s">
        <v>27</v>
      </c>
      <c r="B44" s="488" t="str">
        <f>$C$9</f>
        <v>Nazionalità</v>
      </c>
      <c r="C44" s="488"/>
      <c r="D44" s="6" t="str">
        <f>VLOOKUP(32,Textbausteine_Menu[],Hilfsgrössen!$D$2,FALSE)</f>
        <v>Unità</v>
      </c>
      <c r="E44" s="39" t="str">
        <f>VLOOKUP(33,Textbausteine_Menu[],Hilfsgrössen!$D$2,FALSE)</f>
        <v>Note</v>
      </c>
      <c r="F44" s="39" t="str">
        <f>VLOOKUP(34,Textbausteine_Menu[],Hilfsgrössen!$D$2,FALSE)</f>
        <v>GRI</v>
      </c>
      <c r="G44" s="47"/>
      <c r="H44" s="116">
        <v>2004</v>
      </c>
      <c r="I44" s="116">
        <v>2005</v>
      </c>
      <c r="J44" s="116">
        <v>2006</v>
      </c>
      <c r="K44" s="116">
        <v>2007</v>
      </c>
      <c r="L44" s="116">
        <v>2008</v>
      </c>
      <c r="M44" s="116">
        <v>2009</v>
      </c>
      <c r="N44" s="116">
        <v>2010</v>
      </c>
      <c r="O44" s="116">
        <v>2011</v>
      </c>
      <c r="P44" s="116">
        <v>2012</v>
      </c>
      <c r="Q44" s="116">
        <v>2013</v>
      </c>
      <c r="R44" s="116">
        <v>2014</v>
      </c>
      <c r="S44" s="116">
        <v>2015</v>
      </c>
      <c r="T44" s="116">
        <v>2016</v>
      </c>
      <c r="U44" s="116">
        <v>2017</v>
      </c>
      <c r="V44" s="116">
        <v>2018</v>
      </c>
      <c r="W44" s="116">
        <v>2019</v>
      </c>
      <c r="X44" s="242">
        <v>2020</v>
      </c>
      <c r="Y44" s="7"/>
      <c r="Z44" s="7"/>
      <c r="AA44" s="7"/>
      <c r="AB44" s="7"/>
      <c r="AC44" s="7"/>
      <c r="AD44" s="7"/>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row>
    <row r="45" spans="1:88" s="31" customFormat="1" ht="13" customHeight="1">
      <c r="A45" s="89"/>
      <c r="B45" s="488"/>
      <c r="C45" s="488"/>
      <c r="D45" s="6"/>
      <c r="E45" s="40"/>
      <c r="F45" s="40"/>
      <c r="G45" s="47"/>
      <c r="H45" s="68"/>
      <c r="I45" s="68"/>
      <c r="J45" s="68"/>
      <c r="K45" s="68"/>
      <c r="L45" s="68"/>
      <c r="M45" s="68"/>
      <c r="N45" s="142"/>
      <c r="O45" s="142"/>
      <c r="P45" s="142"/>
      <c r="Q45" s="142"/>
      <c r="R45" s="142"/>
      <c r="S45" s="142"/>
      <c r="T45" s="118"/>
      <c r="U45" s="118"/>
      <c r="V45" s="118"/>
      <c r="W45" s="118"/>
      <c r="X45" s="243"/>
      <c r="Y45" s="128"/>
      <c r="Z45" s="121"/>
      <c r="AA45" s="121"/>
      <c r="AB45" s="121"/>
      <c r="AC45" s="121"/>
      <c r="AD45" s="121"/>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row>
    <row r="46" spans="1:88" ht="13" customHeight="1">
      <c r="B46" s="8"/>
      <c r="C46" s="9"/>
      <c r="D46" s="9"/>
      <c r="E46" s="40"/>
      <c r="F46" s="40"/>
      <c r="G46" s="48"/>
      <c r="H46" s="68"/>
      <c r="I46" s="68"/>
      <c r="J46" s="68"/>
      <c r="K46" s="68"/>
      <c r="L46" s="68"/>
      <c r="M46" s="68"/>
      <c r="X46" s="244"/>
      <c r="Y46" s="12"/>
      <c r="Z46" s="13"/>
      <c r="AA46" s="13"/>
      <c r="AB46" s="13"/>
      <c r="AC46" s="13"/>
      <c r="AD46" s="13"/>
    </row>
    <row r="47" spans="1:88" ht="13" customHeight="1">
      <c r="B47" s="8" t="str">
        <f>VLOOKUP(37,Textbausteine_Menu[],Hilfsgrössen!$D$2,FALSE)</f>
        <v>Gruppo Svizzera</v>
      </c>
      <c r="C47" s="8"/>
      <c r="D47" s="66"/>
      <c r="E47" s="12"/>
      <c r="F47" s="11"/>
      <c r="G47" s="48"/>
      <c r="H47" s="68"/>
      <c r="I47" s="68"/>
      <c r="J47" s="68"/>
      <c r="K47" s="68"/>
      <c r="L47" s="68"/>
      <c r="M47" s="68"/>
      <c r="X47" s="244"/>
    </row>
    <row r="48" spans="1:88" ht="13" customHeight="1">
      <c r="C48" s="189" t="str">
        <f>VLOOKUP(71,Textbausteine_405[],Hilfsgrössen!$D$2,FALSE)</f>
        <v>Svizzera</v>
      </c>
      <c r="D48" s="233" t="str">
        <f>VLOOKUP(11,Textbausteine_405[],Hilfsgrössen!$D$2,FALSE)</f>
        <v>% delle persone</v>
      </c>
      <c r="E48" s="11" t="s">
        <v>84</v>
      </c>
      <c r="F48" s="13" t="s">
        <v>157</v>
      </c>
      <c r="G48" s="49"/>
      <c r="H48" s="238">
        <v>89.1</v>
      </c>
      <c r="I48" s="238">
        <v>89.4</v>
      </c>
      <c r="J48" s="238">
        <v>89.6</v>
      </c>
      <c r="K48" s="238">
        <v>89.8</v>
      </c>
      <c r="L48" s="219">
        <v>88.8</v>
      </c>
      <c r="M48" s="219">
        <v>88.1</v>
      </c>
      <c r="N48" s="106">
        <v>87</v>
      </c>
      <c r="O48" s="106">
        <v>86.4</v>
      </c>
      <c r="P48" s="106">
        <v>85.7</v>
      </c>
      <c r="Q48" s="106">
        <v>85.1</v>
      </c>
      <c r="R48" s="106">
        <v>84.6</v>
      </c>
      <c r="S48" s="106">
        <v>84.1</v>
      </c>
      <c r="T48" s="106">
        <v>83.5</v>
      </c>
      <c r="U48" s="106">
        <v>82.9</v>
      </c>
      <c r="V48" s="106">
        <v>82.27</v>
      </c>
      <c r="W48" s="106">
        <v>81.400000000000006</v>
      </c>
      <c r="X48" s="245">
        <v>80.529232084917922</v>
      </c>
    </row>
    <row r="49" spans="1:88" ht="13" customHeight="1">
      <c r="C49" s="189" t="str">
        <f>VLOOKUP(72,Textbausteine_405[],Hilfsgrössen!$D$2,FALSE)</f>
        <v>Estero</v>
      </c>
      <c r="D49" s="233" t="str">
        <f>VLOOKUP(11,Textbausteine_405[],Hilfsgrössen!$D$2,FALSE)</f>
        <v>% delle persone</v>
      </c>
      <c r="E49" s="11" t="s">
        <v>84</v>
      </c>
      <c r="F49" s="11" t="s">
        <v>157</v>
      </c>
      <c r="G49" s="50"/>
      <c r="H49" s="238">
        <v>10.9</v>
      </c>
      <c r="I49" s="238">
        <v>10.6</v>
      </c>
      <c r="J49" s="238">
        <v>10.4</v>
      </c>
      <c r="K49" s="238">
        <v>10.199999999999999</v>
      </c>
      <c r="L49" s="219">
        <v>11.2</v>
      </c>
      <c r="M49" s="219">
        <v>11.9</v>
      </c>
      <c r="N49" s="106">
        <v>13</v>
      </c>
      <c r="O49" s="106">
        <v>13.6</v>
      </c>
      <c r="P49" s="106">
        <v>14.299999999999997</v>
      </c>
      <c r="Q49" s="106">
        <v>14.9</v>
      </c>
      <c r="R49" s="106">
        <v>15.4</v>
      </c>
      <c r="S49" s="106">
        <v>15.900000000000006</v>
      </c>
      <c r="T49" s="106">
        <v>16.5</v>
      </c>
      <c r="U49" s="106">
        <v>17.100000000000001</v>
      </c>
      <c r="V49" s="106">
        <v>17.73</v>
      </c>
      <c r="W49" s="106">
        <v>18.600000000000001</v>
      </c>
      <c r="X49" s="245">
        <v>19.470767915082078</v>
      </c>
    </row>
    <row r="50" spans="1:88" ht="13" customHeight="1">
      <c r="C50" s="278" t="str">
        <f>VLOOKUP(73,Textbausteine_405[],Hilfsgrössen!$D$2,FALSE)</f>
        <v>Italia</v>
      </c>
      <c r="D50" s="233" t="str">
        <f>VLOOKUP(11,Textbausteine_405[],Hilfsgrössen!$D$2,FALSE)</f>
        <v>% delle persone</v>
      </c>
      <c r="E50" s="11" t="s">
        <v>84</v>
      </c>
      <c r="F50" s="11" t="s">
        <v>157</v>
      </c>
      <c r="G50" s="49"/>
      <c r="H50" s="238">
        <v>35</v>
      </c>
      <c r="I50" s="238">
        <v>35.1</v>
      </c>
      <c r="J50" s="238">
        <v>34.6</v>
      </c>
      <c r="K50" s="238">
        <v>34.299999999999997</v>
      </c>
      <c r="L50" s="275">
        <v>31.2</v>
      </c>
      <c r="M50" s="219">
        <v>29.2</v>
      </c>
      <c r="N50" s="106">
        <v>27.1</v>
      </c>
      <c r="O50" s="106">
        <v>25.9</v>
      </c>
      <c r="P50" s="106">
        <v>24.7</v>
      </c>
      <c r="Q50" s="106">
        <v>23.4</v>
      </c>
      <c r="R50" s="106">
        <v>23</v>
      </c>
      <c r="S50" s="106">
        <v>22.6</v>
      </c>
      <c r="T50" s="106">
        <v>22.1</v>
      </c>
      <c r="U50" s="106">
        <v>21.4</v>
      </c>
      <c r="V50" s="106">
        <v>20.79</v>
      </c>
      <c r="W50" s="106">
        <v>19.7</v>
      </c>
      <c r="X50" s="245">
        <v>19.305380454674896</v>
      </c>
    </row>
    <row r="51" spans="1:88" ht="13" customHeight="1">
      <c r="C51" s="278" t="str">
        <f>VLOOKUP(74,Textbausteine_405[],Hilfsgrössen!$D$2,FALSE)</f>
        <v>Germania</v>
      </c>
      <c r="D51" s="233" t="str">
        <f>VLOOKUP(11,Textbausteine_405[],Hilfsgrössen!$D$2,FALSE)</f>
        <v>% delle persone</v>
      </c>
      <c r="E51" s="11" t="s">
        <v>84</v>
      </c>
      <c r="F51" s="11" t="s">
        <v>157</v>
      </c>
      <c r="G51" s="49"/>
      <c r="H51" s="238">
        <v>3.7</v>
      </c>
      <c r="I51" s="238">
        <v>4.4000000000000004</v>
      </c>
      <c r="J51" s="238">
        <v>5.2</v>
      </c>
      <c r="K51" s="238">
        <v>6.5</v>
      </c>
      <c r="L51" s="275">
        <v>8.4</v>
      </c>
      <c r="M51" s="219">
        <v>10.3</v>
      </c>
      <c r="N51" s="106">
        <v>10.199999999999999</v>
      </c>
      <c r="O51" s="106">
        <v>11.1</v>
      </c>
      <c r="P51" s="106">
        <v>11.6</v>
      </c>
      <c r="Q51" s="106">
        <v>12</v>
      </c>
      <c r="R51" s="106">
        <v>12.1</v>
      </c>
      <c r="S51" s="106">
        <v>12.2</v>
      </c>
      <c r="T51" s="106">
        <v>12.3</v>
      </c>
      <c r="U51" s="106">
        <v>12.4</v>
      </c>
      <c r="V51" s="106">
        <v>12.58</v>
      </c>
      <c r="W51" s="106">
        <v>12.45</v>
      </c>
      <c r="X51" s="245">
        <v>12.665216153564614</v>
      </c>
    </row>
    <row r="52" spans="1:88" ht="13" customHeight="1">
      <c r="C52" s="278" t="str">
        <f>VLOOKUP(75,Textbausteine_405[],Hilfsgrössen!$D$2,FALSE)</f>
        <v>Spagna</v>
      </c>
      <c r="D52" s="233" t="str">
        <f>VLOOKUP(11,Textbausteine_405[],Hilfsgrössen!$D$2,FALSE)</f>
        <v>% delle persone</v>
      </c>
      <c r="E52" s="11" t="s">
        <v>84</v>
      </c>
      <c r="F52" s="13" t="s">
        <v>157</v>
      </c>
      <c r="G52" s="49"/>
      <c r="H52" s="238">
        <v>15.8</v>
      </c>
      <c r="I52" s="238">
        <v>14.9</v>
      </c>
      <c r="J52" s="238">
        <v>13.9</v>
      </c>
      <c r="K52" s="238">
        <v>12.1</v>
      </c>
      <c r="L52" s="275">
        <v>9.6999999999999993</v>
      </c>
      <c r="M52" s="219">
        <v>8.8000000000000007</v>
      </c>
      <c r="N52" s="106">
        <v>7.7</v>
      </c>
      <c r="O52" s="106">
        <v>7.2</v>
      </c>
      <c r="P52" s="106">
        <v>7</v>
      </c>
      <c r="Q52" s="106">
        <v>6.6</v>
      </c>
      <c r="R52" s="106">
        <v>6.4</v>
      </c>
      <c r="S52" s="106">
        <v>6.2</v>
      </c>
      <c r="T52" s="106">
        <v>5.8</v>
      </c>
      <c r="U52" s="106">
        <v>5.6</v>
      </c>
      <c r="V52" s="106">
        <v>5.37</v>
      </c>
      <c r="W52" s="106">
        <v>4.91</v>
      </c>
      <c r="X52" s="245">
        <v>4.6982390499817148</v>
      </c>
    </row>
    <row r="53" spans="1:88" ht="13" customHeight="1">
      <c r="C53" s="278" t="str">
        <f>VLOOKUP(76,Textbausteine_405[],Hilfsgrössen!$D$2,FALSE)</f>
        <v>Portogallo</v>
      </c>
      <c r="D53" s="233" t="str">
        <f>VLOOKUP(11,Textbausteine_405[],Hilfsgrössen!$D$2,FALSE)</f>
        <v>% delle persone</v>
      </c>
      <c r="E53" s="11" t="s">
        <v>84</v>
      </c>
      <c r="F53" s="13" t="s">
        <v>157</v>
      </c>
      <c r="G53" s="50"/>
      <c r="H53" s="238">
        <v>8.4</v>
      </c>
      <c r="I53" s="238">
        <v>8.4</v>
      </c>
      <c r="J53" s="238">
        <v>8.4</v>
      </c>
      <c r="K53" s="238">
        <v>8.5</v>
      </c>
      <c r="L53" s="275">
        <v>7.7</v>
      </c>
      <c r="M53" s="219">
        <v>7.9</v>
      </c>
      <c r="N53" s="106">
        <v>7.2</v>
      </c>
      <c r="O53" s="106">
        <v>7.2</v>
      </c>
      <c r="P53" s="106">
        <v>7.1</v>
      </c>
      <c r="Q53" s="106">
        <v>7.6</v>
      </c>
      <c r="R53" s="106">
        <v>8.1</v>
      </c>
      <c r="S53" s="106">
        <v>8.5</v>
      </c>
      <c r="T53" s="106">
        <v>8.9</v>
      </c>
      <c r="U53" s="106">
        <v>9.3000000000000007</v>
      </c>
      <c r="V53" s="106">
        <v>9.5500000000000007</v>
      </c>
      <c r="W53" s="106">
        <v>9.82</v>
      </c>
      <c r="X53" s="245">
        <v>9.9211029322055033</v>
      </c>
    </row>
    <row r="54" spans="1:88" ht="13" customHeight="1">
      <c r="C54" s="278" t="str">
        <f>VLOOKUP(77,Textbausteine_405[],Hilfsgrössen!$D$2,FALSE)</f>
        <v>Turchia</v>
      </c>
      <c r="D54" s="233" t="str">
        <f>VLOOKUP(11,Textbausteine_405[],Hilfsgrössen!$D$2,FALSE)</f>
        <v>% delle persone</v>
      </c>
      <c r="E54" s="11" t="s">
        <v>84</v>
      </c>
      <c r="F54" s="11" t="s">
        <v>157</v>
      </c>
      <c r="G54" s="50"/>
      <c r="H54" s="238">
        <v>7.1</v>
      </c>
      <c r="I54" s="238">
        <v>6.9</v>
      </c>
      <c r="J54" s="238">
        <v>6.6</v>
      </c>
      <c r="K54" s="238">
        <v>6.3</v>
      </c>
      <c r="L54" s="275">
        <v>6.3</v>
      </c>
      <c r="M54" s="219">
        <v>6.2</v>
      </c>
      <c r="N54" s="106">
        <v>6.6</v>
      </c>
      <c r="O54" s="106">
        <v>6</v>
      </c>
      <c r="P54" s="106">
        <v>5.9</v>
      </c>
      <c r="Q54" s="106">
        <v>5.7</v>
      </c>
      <c r="R54" s="106">
        <v>5.6</v>
      </c>
      <c r="S54" s="106">
        <v>5.4</v>
      </c>
      <c r="T54" s="106">
        <v>5.2</v>
      </c>
      <c r="U54" s="106">
        <v>5.3</v>
      </c>
      <c r="V54" s="106">
        <v>5.29</v>
      </c>
      <c r="W54" s="106">
        <v>5.61</v>
      </c>
      <c r="X54" s="245">
        <v>5.5227947456179862</v>
      </c>
    </row>
    <row r="55" spans="1:88" ht="13" customHeight="1">
      <c r="C55" s="278" t="str">
        <f>VLOOKUP(78,Textbausteine_405[],Hilfsgrössen!$D$2,FALSE)</f>
        <v>Francia</v>
      </c>
      <c r="D55" s="233" t="str">
        <f>VLOOKUP(11,Textbausteine_405[],Hilfsgrössen!$D$2,FALSE)</f>
        <v>% delle persone</v>
      </c>
      <c r="E55" s="11" t="s">
        <v>84</v>
      </c>
      <c r="F55" s="11" t="s">
        <v>157</v>
      </c>
      <c r="G55" s="49"/>
      <c r="H55" s="238">
        <v>4.2</v>
      </c>
      <c r="I55" s="238">
        <v>4.5999999999999996</v>
      </c>
      <c r="J55" s="238">
        <v>4.9000000000000004</v>
      </c>
      <c r="K55" s="238">
        <v>5.2</v>
      </c>
      <c r="L55" s="275">
        <v>5.8</v>
      </c>
      <c r="M55" s="219">
        <v>6.6</v>
      </c>
      <c r="N55" s="106">
        <v>5.8</v>
      </c>
      <c r="O55" s="106">
        <v>6.2</v>
      </c>
      <c r="P55" s="106">
        <v>6.3</v>
      </c>
      <c r="Q55" s="106">
        <v>6.4</v>
      </c>
      <c r="R55" s="106">
        <v>6.6</v>
      </c>
      <c r="S55" s="106">
        <v>6.9</v>
      </c>
      <c r="T55" s="106">
        <v>6.9</v>
      </c>
      <c r="U55" s="106">
        <v>6.9</v>
      </c>
      <c r="V55" s="106">
        <v>7.02</v>
      </c>
      <c r="W55" s="106">
        <v>7.02</v>
      </c>
      <c r="X55" s="245">
        <v>6.9980479076009852</v>
      </c>
    </row>
    <row r="56" spans="1:88" ht="13" customHeight="1">
      <c r="C56" s="278" t="str">
        <f>VLOOKUP(79,Textbausteine_405[],Hilfsgrössen!$D$2,FALSE)</f>
        <v>Altri paesi</v>
      </c>
      <c r="D56" s="66" t="str">
        <f>VLOOKUP(11,Textbausteine_405[],Hilfsgrössen!$D$2,FALSE)</f>
        <v>% delle persone</v>
      </c>
      <c r="E56" s="11" t="s">
        <v>84</v>
      </c>
      <c r="F56" s="13" t="s">
        <v>157</v>
      </c>
      <c r="G56" s="49"/>
      <c r="H56" s="219">
        <v>25.799999999999997</v>
      </c>
      <c r="I56" s="219">
        <v>25.700000000000003</v>
      </c>
      <c r="J56" s="219">
        <v>26.399999999999991</v>
      </c>
      <c r="K56" s="219">
        <v>27.099999999999994</v>
      </c>
      <c r="L56" s="219">
        <v>30.900000000000006</v>
      </c>
      <c r="M56" s="219">
        <v>31</v>
      </c>
      <c r="N56" s="106">
        <v>35.4</v>
      </c>
      <c r="O56" s="106">
        <v>36.399999999999991</v>
      </c>
      <c r="P56" s="106">
        <v>37.400000000000006</v>
      </c>
      <c r="Q56" s="106">
        <v>38.299999999999997</v>
      </c>
      <c r="R56" s="106">
        <v>38.200000000000003</v>
      </c>
      <c r="S56" s="106">
        <v>38.200000000000003</v>
      </c>
      <c r="T56" s="106">
        <v>38.799999999999997</v>
      </c>
      <c r="U56" s="106">
        <v>39.1</v>
      </c>
      <c r="V56" s="106">
        <v>39.409999999999997</v>
      </c>
      <c r="W56" s="106">
        <v>40.5</v>
      </c>
      <c r="X56" s="245">
        <v>40.889218756354296</v>
      </c>
    </row>
    <row r="57" spans="1:88" ht="13" customHeight="1">
      <c r="C57" s="189" t="str">
        <f>VLOOKUP(80,Textbausteine_405[],Hilfsgrössen!$D$2,FALSE)</f>
        <v>Nazioni rappresentate</v>
      </c>
      <c r="D57" s="66" t="str">
        <f>VLOOKUP(12,Textbausteine_405[],Hilfsgrössen!$D$2,FALSE)</f>
        <v>Quantità</v>
      </c>
      <c r="E57" s="11" t="s">
        <v>84</v>
      </c>
      <c r="F57" s="13" t="s">
        <v>157</v>
      </c>
      <c r="G57" s="50"/>
      <c r="H57" s="279">
        <v>114</v>
      </c>
      <c r="I57" s="279">
        <v>111</v>
      </c>
      <c r="J57" s="279">
        <v>115</v>
      </c>
      <c r="K57" s="279">
        <v>119</v>
      </c>
      <c r="L57" s="275">
        <v>121</v>
      </c>
      <c r="M57" s="222">
        <v>117</v>
      </c>
      <c r="N57" s="106">
        <v>133</v>
      </c>
      <c r="O57" s="106">
        <v>140</v>
      </c>
      <c r="P57" s="106">
        <v>140</v>
      </c>
      <c r="Q57" s="106">
        <v>144</v>
      </c>
      <c r="R57" s="106">
        <v>142</v>
      </c>
      <c r="S57" s="106">
        <v>142</v>
      </c>
      <c r="T57" s="106">
        <v>143</v>
      </c>
      <c r="U57" s="106">
        <v>140</v>
      </c>
      <c r="V57" s="106">
        <v>138</v>
      </c>
      <c r="W57" s="106">
        <v>140</v>
      </c>
      <c r="X57" s="245">
        <v>142</v>
      </c>
    </row>
    <row r="58" spans="1:88" s="9" customFormat="1" ht="13" customHeight="1">
      <c r="A58" s="146"/>
      <c r="C58" s="189"/>
      <c r="D58" s="66"/>
      <c r="E58" s="13"/>
      <c r="F58" s="13"/>
      <c r="G58" s="50"/>
      <c r="H58" s="279"/>
      <c r="I58" s="279"/>
      <c r="J58" s="279"/>
      <c r="K58" s="279"/>
      <c r="L58" s="275"/>
      <c r="M58" s="222"/>
      <c r="N58" s="106"/>
      <c r="O58" s="106"/>
      <c r="P58" s="106"/>
      <c r="Q58" s="106"/>
      <c r="R58" s="106"/>
      <c r="S58" s="106"/>
      <c r="T58" s="106"/>
      <c r="U58" s="106"/>
      <c r="V58" s="106"/>
      <c r="W58" s="106"/>
      <c r="X58" s="106"/>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ht="13" customHeight="1">
      <c r="B59" s="26" t="str">
        <f>VLOOKUP(141,Textbausteine_405[],Hilfsgrössen!$D$2,FALSE)</f>
        <v>1) Valori medi annuali</v>
      </c>
      <c r="E59" s="11"/>
      <c r="F59" s="11"/>
      <c r="G59" s="49"/>
      <c r="H59" s="68"/>
      <c r="I59" s="68"/>
      <c r="J59" s="68"/>
      <c r="K59" s="68"/>
      <c r="L59" s="68"/>
      <c r="M59" s="68"/>
      <c r="T59" s="106"/>
      <c r="U59" s="106"/>
      <c r="V59" s="106"/>
      <c r="W59" s="106"/>
      <c r="X59" s="106"/>
    </row>
    <row r="60" spans="1:88" ht="13" customHeight="1">
      <c r="B60" s="26" t="str">
        <f>VLOOKUP(142,Textbausteine_405[],Hilfsgrössen!$D$2,FALSE)</f>
        <v>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v>
      </c>
      <c r="E60" s="11"/>
      <c r="F60" s="11"/>
      <c r="G60" s="49"/>
      <c r="H60" s="68"/>
      <c r="I60" s="68"/>
      <c r="J60" s="68"/>
      <c r="K60" s="68"/>
      <c r="L60" s="68"/>
      <c r="M60" s="68"/>
      <c r="T60" s="106"/>
      <c r="U60" s="106"/>
      <c r="V60" s="106"/>
      <c r="W60" s="106"/>
      <c r="X60" s="106"/>
    </row>
    <row r="61" spans="1:88" ht="13" customHeight="1">
      <c r="B61" s="26" t="str">
        <f>VLOOKUP(143,Textbausteine_405[],Hilfsgrössen!$D$2,FALSE)</f>
        <v>3) Escluso il personale in formazione</v>
      </c>
      <c r="E61" s="11"/>
      <c r="F61" s="11"/>
      <c r="G61" s="49"/>
      <c r="H61" s="68"/>
      <c r="I61" s="68"/>
      <c r="J61" s="68"/>
      <c r="K61" s="68"/>
      <c r="L61" s="68"/>
      <c r="M61" s="68"/>
      <c r="T61" s="106"/>
      <c r="U61" s="106"/>
      <c r="V61" s="106"/>
      <c r="W61" s="106"/>
      <c r="X61" s="106"/>
    </row>
    <row r="62" spans="1:88" s="9" customFormat="1" ht="13" customHeight="1">
      <c r="A62" s="146"/>
      <c r="C62" s="189"/>
      <c r="D62" s="66"/>
      <c r="E62" s="13"/>
      <c r="F62" s="13"/>
      <c r="G62" s="50"/>
      <c r="H62" s="279"/>
      <c r="I62" s="279"/>
      <c r="J62" s="279"/>
      <c r="K62" s="279"/>
      <c r="L62" s="275"/>
      <c r="M62" s="222"/>
      <c r="N62" s="106"/>
      <c r="O62" s="106"/>
      <c r="P62" s="106"/>
      <c r="Q62" s="106"/>
      <c r="R62" s="106"/>
      <c r="S62" s="106"/>
      <c r="T62" s="106"/>
      <c r="U62" s="106"/>
      <c r="V62" s="106"/>
      <c r="W62" s="106"/>
      <c r="X62" s="106"/>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s="9" customFormat="1" ht="13" customHeight="1">
      <c r="A63" s="146"/>
      <c r="C63" s="278"/>
      <c r="D63" s="66"/>
      <c r="E63" s="13"/>
      <c r="F63" s="11"/>
      <c r="G63" s="50"/>
      <c r="H63" s="68"/>
      <c r="I63" s="68"/>
      <c r="J63" s="68"/>
      <c r="K63" s="68"/>
      <c r="L63" s="68"/>
      <c r="M63" s="68"/>
      <c r="N63" s="106"/>
      <c r="O63" s="106"/>
      <c r="P63" s="106"/>
      <c r="Q63" s="106"/>
      <c r="R63" s="106"/>
      <c r="S63" s="106"/>
      <c r="T63" s="106"/>
      <c r="U63" s="106"/>
      <c r="V63" s="106"/>
      <c r="W63" s="106"/>
      <c r="X63" s="106"/>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row>
    <row r="64" spans="1:88" s="31" customFormat="1" ht="13" customHeight="1">
      <c r="A64" s="56" t="s">
        <v>27</v>
      </c>
      <c r="B64" s="488" t="str">
        <f>$C$10</f>
        <v>Demografia (distribuzione in base all'età)</v>
      </c>
      <c r="C64" s="488"/>
      <c r="D64" s="6" t="str">
        <f>VLOOKUP(32,Textbausteine_Menu[],Hilfsgrössen!$D$2,FALSE)</f>
        <v>Unità</v>
      </c>
      <c r="E64" s="39" t="str">
        <f>VLOOKUP(33,Textbausteine_Menu[],Hilfsgrössen!$D$2,FALSE)</f>
        <v>Note</v>
      </c>
      <c r="F64" s="39" t="str">
        <f>VLOOKUP(34,Textbausteine_Menu[],Hilfsgrössen!$D$2,FALSE)</f>
        <v>GRI</v>
      </c>
      <c r="G64" s="47"/>
      <c r="H64" s="112">
        <v>2004</v>
      </c>
      <c r="I64" s="112">
        <v>2005</v>
      </c>
      <c r="J64" s="112">
        <v>2006</v>
      </c>
      <c r="K64" s="112">
        <v>2007</v>
      </c>
      <c r="L64" s="112">
        <v>2008</v>
      </c>
      <c r="M64" s="112">
        <v>2009</v>
      </c>
      <c r="N64" s="116">
        <v>2010</v>
      </c>
      <c r="O64" s="116">
        <v>2011</v>
      </c>
      <c r="P64" s="116">
        <v>2012</v>
      </c>
      <c r="Q64" s="116">
        <v>2013</v>
      </c>
      <c r="R64" s="116">
        <v>2014</v>
      </c>
      <c r="S64" s="116">
        <v>2015</v>
      </c>
      <c r="T64" s="116">
        <v>2016</v>
      </c>
      <c r="U64" s="116">
        <v>2017</v>
      </c>
      <c r="V64" s="116">
        <v>2018</v>
      </c>
      <c r="W64" s="116">
        <v>2019</v>
      </c>
      <c r="X64" s="242">
        <v>2020</v>
      </c>
      <c r="Y64" s="7"/>
      <c r="Z64" s="7"/>
      <c r="AA64" s="7"/>
      <c r="AB64" s="7"/>
      <c r="AC64" s="7"/>
      <c r="AD64" s="7"/>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row>
    <row r="65" spans="1:88" s="31" customFormat="1" ht="13" customHeight="1">
      <c r="A65" s="89"/>
      <c r="B65" s="488"/>
      <c r="C65" s="488"/>
      <c r="D65" s="6"/>
      <c r="E65" s="40"/>
      <c r="F65" s="40"/>
      <c r="G65" s="47"/>
      <c r="H65" s="68"/>
      <c r="I65" s="68"/>
      <c r="J65" s="68"/>
      <c r="K65" s="68"/>
      <c r="L65" s="68"/>
      <c r="M65" s="68"/>
      <c r="N65" s="142"/>
      <c r="O65" s="142"/>
      <c r="P65" s="142"/>
      <c r="Q65" s="142"/>
      <c r="R65" s="142"/>
      <c r="S65" s="142"/>
      <c r="T65" s="118"/>
      <c r="U65" s="118"/>
      <c r="V65" s="118"/>
      <c r="W65" s="118"/>
      <c r="X65" s="243"/>
      <c r="Y65" s="128"/>
      <c r="Z65" s="121"/>
      <c r="AA65" s="121"/>
      <c r="AB65" s="121"/>
      <c r="AC65" s="121"/>
      <c r="AD65" s="121"/>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row>
    <row r="66" spans="1:88" ht="13" customHeight="1">
      <c r="B66" s="8"/>
      <c r="C66" s="9"/>
      <c r="D66" s="9"/>
      <c r="E66" s="40"/>
      <c r="F66" s="40"/>
      <c r="G66" s="48"/>
      <c r="X66" s="244"/>
      <c r="Y66" s="12"/>
      <c r="Z66" s="13"/>
      <c r="AA66" s="13"/>
      <c r="AB66" s="13"/>
      <c r="AC66" s="13"/>
      <c r="AD66" s="13"/>
    </row>
    <row r="67" spans="1:88" ht="13" customHeight="1">
      <c r="B67" s="8" t="str">
        <f>VLOOKUP(37,Textbausteine_Menu[],Hilfsgrössen!$D$2,FALSE)</f>
        <v>Gruppo Svizzera</v>
      </c>
      <c r="C67" s="8"/>
      <c r="D67" s="66"/>
      <c r="E67" s="12"/>
      <c r="F67" s="11"/>
      <c r="G67" s="48"/>
      <c r="X67" s="244"/>
    </row>
    <row r="68" spans="1:88" ht="13" customHeight="1">
      <c r="C68" s="280" t="str">
        <f>VLOOKUP(91,Textbausteine_405[],Hilfsgrössen!$D$2,FALSE)</f>
        <v>Fascia di età</v>
      </c>
      <c r="D68" s="233"/>
      <c r="E68" s="13"/>
      <c r="F68" s="11"/>
      <c r="G68" s="49"/>
      <c r="H68" s="68"/>
      <c r="I68" s="68"/>
      <c r="J68" s="68"/>
      <c r="K68" s="68"/>
      <c r="L68" s="68"/>
      <c r="M68" s="68"/>
      <c r="T68" s="106"/>
      <c r="U68" s="106"/>
      <c r="V68" s="106"/>
      <c r="W68" s="106"/>
      <c r="X68" s="245"/>
    </row>
    <row r="69" spans="1:88" ht="13" customHeight="1">
      <c r="C69" s="278" t="str">
        <f>VLOOKUP(92,Textbausteine_405[],Hilfsgrössen!$D$2,FALSE)</f>
        <v>Meno di 20</v>
      </c>
      <c r="D69" s="233" t="str">
        <f>VLOOKUP(11,Textbausteine_405[],Hilfsgrössen!$D$2,FALSE)</f>
        <v>% delle persone</v>
      </c>
      <c r="E69" s="11" t="s">
        <v>84</v>
      </c>
      <c r="F69" s="11" t="s">
        <v>157</v>
      </c>
      <c r="G69" s="49"/>
      <c r="H69" s="13">
        <v>0.8</v>
      </c>
      <c r="I69" s="16">
        <v>0.75853436192007206</v>
      </c>
      <c r="J69" s="16">
        <v>0.72263723862857954</v>
      </c>
      <c r="K69" s="13">
        <v>0.7</v>
      </c>
      <c r="L69" s="13">
        <v>0.7</v>
      </c>
      <c r="M69" s="13">
        <v>0.6</v>
      </c>
      <c r="N69" s="106">
        <v>0.6</v>
      </c>
      <c r="O69" s="106">
        <v>0.7</v>
      </c>
      <c r="P69" s="106">
        <v>0.7</v>
      </c>
      <c r="Q69" s="106">
        <v>0.7414526622821811</v>
      </c>
      <c r="R69" s="106">
        <v>0.6</v>
      </c>
      <c r="S69" s="106">
        <v>0.65583945381193698</v>
      </c>
      <c r="T69" s="106">
        <v>0.6</v>
      </c>
      <c r="U69" s="106">
        <v>0.5</v>
      </c>
      <c r="V69" s="106">
        <v>0.55000000000000004</v>
      </c>
      <c r="W69" s="106">
        <v>0.64</v>
      </c>
      <c r="X69" s="245">
        <v>0.54281229028381883</v>
      </c>
    </row>
    <row r="70" spans="1:88" ht="13" customHeight="1">
      <c r="C70" s="278" t="str">
        <f>VLOOKUP(93,Textbausteine_405[],Hilfsgrössen!$D$2,FALSE)</f>
        <v>20-29</v>
      </c>
      <c r="D70" s="233" t="str">
        <f>VLOOKUP(11,Textbausteine_405[],Hilfsgrössen!$D$2,FALSE)</f>
        <v>% delle persone</v>
      </c>
      <c r="E70" s="11" t="s">
        <v>84</v>
      </c>
      <c r="F70" s="11" t="s">
        <v>157</v>
      </c>
      <c r="G70" s="49"/>
      <c r="H70" s="13">
        <v>12.2</v>
      </c>
      <c r="I70" s="16">
        <v>11.456261211366733</v>
      </c>
      <c r="J70" s="16">
        <v>10.947345763682705</v>
      </c>
      <c r="K70" s="13">
        <v>10.8</v>
      </c>
      <c r="L70" s="16">
        <v>11</v>
      </c>
      <c r="M70" s="13">
        <v>11.4</v>
      </c>
      <c r="N70" s="106">
        <v>11</v>
      </c>
      <c r="O70" s="106">
        <v>11.3</v>
      </c>
      <c r="P70" s="106">
        <v>12.8</v>
      </c>
      <c r="Q70" s="106">
        <v>12.746129869178008</v>
      </c>
      <c r="R70" s="106">
        <v>11.7</v>
      </c>
      <c r="S70" s="106">
        <v>11.784593634702301</v>
      </c>
      <c r="T70" s="106">
        <v>11.8</v>
      </c>
      <c r="U70" s="106">
        <v>11.4</v>
      </c>
      <c r="V70" s="106">
        <v>11.16</v>
      </c>
      <c r="W70" s="106">
        <v>11.3</v>
      </c>
      <c r="X70" s="245">
        <v>11.518231326722733</v>
      </c>
    </row>
    <row r="71" spans="1:88" ht="13" customHeight="1">
      <c r="C71" s="278" t="str">
        <f>VLOOKUP(94,Textbausteine_405[],Hilfsgrössen!$D$2,FALSE)</f>
        <v>30-39</v>
      </c>
      <c r="D71" s="233" t="str">
        <f>VLOOKUP(11,Textbausteine_405[],Hilfsgrössen!$D$2,FALSE)</f>
        <v>% delle persone</v>
      </c>
      <c r="E71" s="11" t="s">
        <v>84</v>
      </c>
      <c r="F71" s="11" t="s">
        <v>157</v>
      </c>
      <c r="G71" s="49"/>
      <c r="H71" s="13">
        <v>29.8</v>
      </c>
      <c r="I71" s="16">
        <v>28.273228971641984</v>
      </c>
      <c r="J71" s="16">
        <v>26.617106492079223</v>
      </c>
      <c r="K71" s="13">
        <v>25.5</v>
      </c>
      <c r="L71" s="13">
        <v>24.3</v>
      </c>
      <c r="M71" s="16">
        <v>23</v>
      </c>
      <c r="N71" s="106">
        <v>21.7</v>
      </c>
      <c r="O71" s="106">
        <v>20.3</v>
      </c>
      <c r="P71" s="106">
        <v>18.600000000000001</v>
      </c>
      <c r="Q71" s="106">
        <v>18.596085994914251</v>
      </c>
      <c r="R71" s="106">
        <v>17.7</v>
      </c>
      <c r="S71" s="106">
        <v>17.344919140719298</v>
      </c>
      <c r="T71" s="106">
        <v>17.2</v>
      </c>
      <c r="U71" s="106">
        <v>17.2</v>
      </c>
      <c r="V71" s="106">
        <v>17.420000000000002</v>
      </c>
      <c r="W71" s="106">
        <v>17.5</v>
      </c>
      <c r="X71" s="245">
        <v>18.115914773323425</v>
      </c>
    </row>
    <row r="72" spans="1:88" ht="13" customHeight="1">
      <c r="C72" s="278" t="str">
        <f>VLOOKUP(95,Textbausteine_405[],Hilfsgrössen!$D$2,FALSE)</f>
        <v>40-49</v>
      </c>
      <c r="D72" s="233" t="str">
        <f>VLOOKUP(11,Textbausteine_405[],Hilfsgrössen!$D$2,FALSE)</f>
        <v>% delle persone</v>
      </c>
      <c r="E72" s="11" t="s">
        <v>84</v>
      </c>
      <c r="F72" s="13" t="s">
        <v>157</v>
      </c>
      <c r="G72" s="50"/>
      <c r="H72" s="13">
        <v>30.9</v>
      </c>
      <c r="I72" s="16">
        <v>31.863644294578354</v>
      </c>
      <c r="J72" s="16">
        <v>32.641711619999484</v>
      </c>
      <c r="K72" s="13">
        <v>33.200000000000003</v>
      </c>
      <c r="L72" s="13">
        <v>33.200000000000003</v>
      </c>
      <c r="M72" s="13">
        <v>33.4</v>
      </c>
      <c r="N72" s="106">
        <v>33.6</v>
      </c>
      <c r="O72" s="106">
        <v>33.6</v>
      </c>
      <c r="P72" s="106">
        <v>33.299999999999997</v>
      </c>
      <c r="Q72" s="106">
        <v>33.341698738199248</v>
      </c>
      <c r="R72" s="106">
        <v>31.9</v>
      </c>
      <c r="S72" s="106">
        <v>30.374297438019401</v>
      </c>
      <c r="T72" s="106">
        <v>29</v>
      </c>
      <c r="U72" s="106">
        <v>27.9</v>
      </c>
      <c r="V72" s="106">
        <v>26.81</v>
      </c>
      <c r="W72" s="106">
        <v>25.4</v>
      </c>
      <c r="X72" s="245">
        <v>24.183851433345083</v>
      </c>
    </row>
    <row r="73" spans="1:88" ht="13" customHeight="1">
      <c r="C73" s="278" t="str">
        <f>VLOOKUP(96,Textbausteine_405[],Hilfsgrössen!$D$2,FALSE)</f>
        <v>50-59</v>
      </c>
      <c r="D73" s="233" t="str">
        <f>VLOOKUP(11,Textbausteine_405[],Hilfsgrössen!$D$2,FALSE)</f>
        <v>% delle persone</v>
      </c>
      <c r="E73" s="11" t="s">
        <v>84</v>
      </c>
      <c r="F73" s="11" t="s">
        <v>157</v>
      </c>
      <c r="G73" s="49"/>
      <c r="H73" s="13">
        <v>22.8</v>
      </c>
      <c r="I73" s="16">
        <v>23.920360332101513</v>
      </c>
      <c r="J73" s="16">
        <v>24.948244699802391</v>
      </c>
      <c r="K73" s="13">
        <v>26.1</v>
      </c>
      <c r="L73" s="13">
        <v>26.5</v>
      </c>
      <c r="M73" s="13">
        <v>26.7</v>
      </c>
      <c r="N73" s="106">
        <v>26.5</v>
      </c>
      <c r="O73" s="106">
        <v>26.9</v>
      </c>
      <c r="P73" s="106">
        <v>28.4</v>
      </c>
      <c r="Q73" s="106">
        <v>28.424184389991645</v>
      </c>
      <c r="R73" s="106">
        <v>29.9</v>
      </c>
      <c r="S73" s="106">
        <v>30.6625633598841</v>
      </c>
      <c r="T73" s="106">
        <v>31.4</v>
      </c>
      <c r="U73" s="106">
        <v>32.1</v>
      </c>
      <c r="V73" s="106">
        <v>32.74</v>
      </c>
      <c r="W73" s="106">
        <v>33.4</v>
      </c>
      <c r="X73" s="245">
        <v>33.92695591580275</v>
      </c>
    </row>
    <row r="74" spans="1:88" ht="13" customHeight="1">
      <c r="C74" s="278" t="str">
        <f>VLOOKUP(97,Textbausteine_405[],Hilfsgrössen!$D$2,FALSE)</f>
        <v>Dai 60 anni in su</v>
      </c>
      <c r="D74" s="233" t="str">
        <f>VLOOKUP(11,Textbausteine_405[],Hilfsgrössen!$D$2,FALSE)</f>
        <v>% delle persone</v>
      </c>
      <c r="E74" s="11" t="s">
        <v>84</v>
      </c>
      <c r="F74" s="11" t="s">
        <v>157</v>
      </c>
      <c r="G74" s="49"/>
      <c r="H74" s="13">
        <v>3.5</v>
      </c>
      <c r="I74" s="16">
        <v>3.7279727888489176</v>
      </c>
      <c r="J74" s="16">
        <v>4.1229521775503466</v>
      </c>
      <c r="K74" s="13">
        <v>3.7</v>
      </c>
      <c r="L74" s="13">
        <v>4.3</v>
      </c>
      <c r="M74" s="13">
        <v>4.9000000000000004</v>
      </c>
      <c r="N74" s="106">
        <v>6.6</v>
      </c>
      <c r="O74" s="106">
        <v>7.2</v>
      </c>
      <c r="P74" s="106">
        <v>6.2</v>
      </c>
      <c r="Q74" s="106">
        <v>6.1504483454346666</v>
      </c>
      <c r="R74" s="106">
        <v>8.3000000000000007</v>
      </c>
      <c r="S74" s="106">
        <v>9.1777869728630108</v>
      </c>
      <c r="T74" s="106">
        <v>10</v>
      </c>
      <c r="U74" s="106">
        <v>10.9</v>
      </c>
      <c r="V74" s="106">
        <v>11.32</v>
      </c>
      <c r="W74" s="106">
        <v>11.79</v>
      </c>
      <c r="X74" s="245">
        <v>11.712234260522202</v>
      </c>
    </row>
    <row r="75" spans="1:88" ht="13" customHeight="1">
      <c r="C75" s="189" t="str">
        <f>VLOOKUP(98,Textbausteine_405[],Hilfsgrössen!$D$2,FALSE)</f>
        <v>Età media</v>
      </c>
      <c r="D75" s="233" t="str">
        <f>VLOOKUP(13,Textbausteine_405[],Hilfsgrössen!$D$2,FALSE)</f>
        <v>Anni</v>
      </c>
      <c r="E75" s="11" t="s">
        <v>84</v>
      </c>
      <c r="F75" s="13" t="s">
        <v>157</v>
      </c>
      <c r="G75" s="50"/>
      <c r="H75" s="13">
        <v>41.9</v>
      </c>
      <c r="I75" s="16">
        <v>42.3</v>
      </c>
      <c r="J75" s="16">
        <v>42.7</v>
      </c>
      <c r="K75" s="13">
        <v>42.9</v>
      </c>
      <c r="L75" s="13">
        <v>43.2</v>
      </c>
      <c r="M75" s="13">
        <v>43.4</v>
      </c>
      <c r="N75" s="106">
        <v>44.2</v>
      </c>
      <c r="O75" s="106">
        <v>44.4</v>
      </c>
      <c r="P75" s="106">
        <v>44.7</v>
      </c>
      <c r="Q75" s="106">
        <v>44.8</v>
      </c>
      <c r="R75" s="106">
        <v>45.1</v>
      </c>
      <c r="S75" s="106">
        <v>45.3</v>
      </c>
      <c r="T75" s="106">
        <v>45.6</v>
      </c>
      <c r="U75" s="106">
        <v>46</v>
      </c>
      <c r="V75" s="106">
        <v>46.1</v>
      </c>
      <c r="W75" s="106">
        <v>46.1</v>
      </c>
      <c r="X75" s="245">
        <v>45.958331397779503</v>
      </c>
    </row>
    <row r="76" spans="1:88" ht="13" customHeight="1">
      <c r="C76" s="278"/>
      <c r="D76" s="233"/>
      <c r="E76" s="11"/>
      <c r="F76" s="11"/>
      <c r="G76" s="49"/>
      <c r="H76" s="68"/>
      <c r="I76" s="68"/>
      <c r="J76" s="68"/>
      <c r="K76" s="68"/>
      <c r="L76" s="68"/>
      <c r="M76" s="68"/>
      <c r="T76" s="106"/>
      <c r="U76" s="106"/>
      <c r="V76" s="106"/>
      <c r="W76" s="106"/>
      <c r="X76" s="106"/>
    </row>
    <row r="77" spans="1:88" ht="13" customHeight="1">
      <c r="B77" s="26" t="str">
        <f>VLOOKUP(141,Textbausteine_405[],Hilfsgrössen!$D$2,FALSE)</f>
        <v>1) Valori medi annuali</v>
      </c>
      <c r="E77" s="11"/>
      <c r="F77" s="11"/>
      <c r="G77" s="49"/>
      <c r="H77" s="68"/>
      <c r="I77" s="68"/>
      <c r="J77" s="68"/>
      <c r="K77" s="68"/>
      <c r="L77" s="68"/>
      <c r="M77" s="68"/>
      <c r="T77" s="106"/>
      <c r="U77" s="106"/>
      <c r="V77" s="106"/>
      <c r="W77" s="106"/>
      <c r="X77" s="106"/>
    </row>
    <row r="78" spans="1:88" ht="13" customHeight="1">
      <c r="B78" s="26" t="str">
        <f>VLOOKUP(142,Textbausteine_405[],Hilfsgrössen!$D$2,FALSE)</f>
        <v>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v>
      </c>
      <c r="E78" s="11"/>
      <c r="F78" s="11"/>
      <c r="G78" s="49"/>
      <c r="H78" s="68"/>
      <c r="I78" s="68"/>
      <c r="J78" s="68"/>
      <c r="K78" s="68"/>
      <c r="L78" s="68"/>
      <c r="M78" s="68"/>
      <c r="T78" s="106"/>
      <c r="U78" s="106"/>
      <c r="V78" s="106"/>
      <c r="W78" s="106"/>
      <c r="X78" s="106"/>
    </row>
    <row r="79" spans="1:88" ht="13" customHeight="1">
      <c r="B79" s="26" t="str">
        <f>VLOOKUP(143,Textbausteine_405[],Hilfsgrössen!$D$2,FALSE)</f>
        <v>3) Escluso il personale in formazione</v>
      </c>
      <c r="E79" s="11"/>
      <c r="F79" s="11"/>
      <c r="G79" s="49"/>
      <c r="H79" s="68"/>
      <c r="I79" s="68"/>
      <c r="J79" s="68"/>
      <c r="K79" s="68"/>
      <c r="L79" s="68"/>
      <c r="M79" s="68"/>
      <c r="T79" s="106"/>
      <c r="U79" s="106"/>
      <c r="V79" s="106"/>
      <c r="W79" s="106"/>
      <c r="X79" s="106"/>
    </row>
    <row r="80" spans="1:88" ht="13" customHeight="1">
      <c r="E80" s="11"/>
      <c r="F80" s="11"/>
      <c r="G80" s="49"/>
      <c r="H80" s="68"/>
      <c r="I80" s="68"/>
      <c r="J80" s="68"/>
      <c r="K80" s="68"/>
      <c r="L80" s="68"/>
      <c r="M80" s="68"/>
      <c r="T80" s="106"/>
      <c r="U80" s="106"/>
      <c r="V80" s="106"/>
      <c r="W80" s="106"/>
      <c r="X80" s="106"/>
    </row>
    <row r="81" spans="5:24" ht="13" customHeight="1">
      <c r="E81" s="11"/>
      <c r="F81" s="11"/>
      <c r="G81" s="49"/>
      <c r="H81" s="68"/>
      <c r="I81" s="68"/>
      <c r="J81" s="68"/>
      <c r="K81" s="68"/>
      <c r="L81" s="68"/>
      <c r="M81" s="68"/>
      <c r="T81" s="106"/>
      <c r="U81" s="106"/>
      <c r="V81" s="106"/>
      <c r="W81" s="106"/>
      <c r="X81" s="106"/>
    </row>
    <row r="82" spans="5:24" ht="13" customHeight="1">
      <c r="E82" s="13"/>
      <c r="F82" s="11"/>
      <c r="G82" s="49"/>
      <c r="T82" s="106"/>
      <c r="U82" s="106"/>
      <c r="V82" s="106"/>
      <c r="W82" s="106"/>
      <c r="X82" s="106"/>
    </row>
    <row r="83" spans="5:24" ht="13" customHeight="1">
      <c r="E83" s="13"/>
      <c r="F83" s="11"/>
      <c r="G83" s="49"/>
      <c r="T83" s="106"/>
      <c r="U83" s="106"/>
      <c r="V83" s="106"/>
      <c r="W83" s="106"/>
      <c r="X83" s="106"/>
    </row>
    <row r="84" spans="5:24" ht="13" customHeight="1">
      <c r="E84" s="13"/>
      <c r="F84" s="11"/>
      <c r="G84" s="49"/>
      <c r="T84" s="106"/>
      <c r="U84" s="106"/>
      <c r="V84" s="106"/>
      <c r="W84" s="106"/>
      <c r="X84" s="106"/>
    </row>
    <row r="85" spans="5:24" ht="13" customHeight="1">
      <c r="E85" s="11"/>
      <c r="F85" s="11"/>
      <c r="G85" s="49"/>
      <c r="T85" s="106"/>
      <c r="U85" s="106"/>
      <c r="V85" s="106"/>
      <c r="W85" s="106"/>
      <c r="X85" s="106"/>
    </row>
    <row r="86" spans="5:24" ht="13" customHeight="1">
      <c r="E86" s="11"/>
      <c r="F86" s="11"/>
      <c r="G86" s="49"/>
      <c r="T86" s="106"/>
      <c r="U86" s="106"/>
      <c r="V86" s="106"/>
      <c r="W86" s="106"/>
      <c r="X86" s="106"/>
    </row>
    <row r="87" spans="5:24" ht="13" customHeight="1">
      <c r="E87" s="41"/>
      <c r="F87" s="41"/>
      <c r="G87" s="51"/>
      <c r="H87" s="70"/>
      <c r="I87" s="70"/>
      <c r="J87" s="70"/>
      <c r="K87" s="70"/>
      <c r="L87" s="70"/>
      <c r="M87" s="70"/>
      <c r="T87" s="106"/>
      <c r="U87" s="106"/>
      <c r="V87" s="106"/>
      <c r="W87" s="106"/>
      <c r="X87" s="106"/>
    </row>
    <row r="88" spans="5:24" ht="13" customHeight="1">
      <c r="E88" s="41"/>
      <c r="F88" s="41"/>
      <c r="G88" s="51"/>
      <c r="H88" s="70"/>
      <c r="I88" s="70"/>
      <c r="J88" s="70"/>
      <c r="K88" s="70"/>
      <c r="L88" s="70"/>
      <c r="M88" s="70"/>
      <c r="T88" s="106"/>
      <c r="U88" s="106"/>
      <c r="V88" s="106"/>
      <c r="W88" s="106"/>
      <c r="X88" s="106"/>
    </row>
    <row r="89" spans="5:24" ht="13" customHeight="1">
      <c r="E89" s="41"/>
      <c r="F89" s="41"/>
      <c r="G89" s="51"/>
      <c r="H89" s="70"/>
      <c r="I89" s="70"/>
      <c r="J89" s="70"/>
      <c r="K89" s="70"/>
      <c r="L89" s="70"/>
      <c r="M89" s="70"/>
      <c r="T89" s="106"/>
      <c r="U89" s="106"/>
      <c r="V89" s="106"/>
      <c r="W89" s="106"/>
      <c r="X89" s="106"/>
    </row>
    <row r="90" spans="5:24" ht="13" customHeight="1">
      <c r="E90" s="42"/>
      <c r="F90" s="42"/>
      <c r="G90" s="52"/>
      <c r="H90" s="112"/>
      <c r="I90" s="112"/>
      <c r="J90" s="112"/>
      <c r="K90" s="112"/>
      <c r="L90" s="112"/>
      <c r="M90" s="112"/>
    </row>
    <row r="91" spans="5:24" ht="13" customHeight="1">
      <c r="E91" s="42"/>
      <c r="F91" s="42"/>
      <c r="G91" s="52"/>
      <c r="H91" s="113"/>
      <c r="I91" s="113"/>
      <c r="J91" s="113"/>
      <c r="K91" s="113"/>
      <c r="L91" s="113"/>
      <c r="M91" s="113"/>
    </row>
    <row r="92" spans="5:24" ht="13" customHeight="1">
      <c r="E92" s="43"/>
      <c r="F92" s="43"/>
      <c r="G92" s="53"/>
    </row>
    <row r="94" spans="5:24" ht="13" customHeight="1">
      <c r="H94" s="114"/>
      <c r="I94" s="114"/>
      <c r="J94" s="114"/>
      <c r="K94" s="114"/>
      <c r="L94" s="114"/>
      <c r="M94" s="114"/>
    </row>
    <row r="95" spans="5:24" ht="13" customHeight="1">
      <c r="H95" s="114"/>
      <c r="I95" s="114"/>
      <c r="J95" s="114"/>
      <c r="K95" s="114"/>
      <c r="L95" s="114"/>
      <c r="M95" s="114"/>
    </row>
    <row r="96" spans="5:24" ht="13" customHeight="1">
      <c r="E96" s="40"/>
      <c r="F96" s="40"/>
      <c r="G96" s="48"/>
      <c r="H96" s="114"/>
      <c r="I96" s="114"/>
      <c r="J96" s="114"/>
      <c r="K96" s="114"/>
      <c r="L96" s="114"/>
      <c r="M96" s="114"/>
    </row>
    <row r="97" spans="5:24" ht="13" customHeight="1">
      <c r="E97" s="40"/>
      <c r="F97" s="40"/>
      <c r="G97" s="48"/>
      <c r="H97" s="114"/>
      <c r="I97" s="114"/>
      <c r="J97" s="114"/>
      <c r="K97" s="114"/>
      <c r="L97" s="114"/>
      <c r="M97" s="114"/>
    </row>
    <row r="98" spans="5:24" ht="13" customHeight="1">
      <c r="E98" s="13"/>
      <c r="F98" s="11"/>
      <c r="G98" s="49"/>
      <c r="H98" s="70"/>
      <c r="I98" s="70"/>
      <c r="J98" s="70"/>
      <c r="K98" s="70"/>
      <c r="L98" s="70"/>
      <c r="M98" s="70"/>
      <c r="T98" s="118"/>
      <c r="U98" s="118"/>
      <c r="V98" s="118"/>
      <c r="W98" s="118"/>
      <c r="X98" s="118"/>
    </row>
    <row r="99" spans="5:24" ht="13" customHeight="1">
      <c r="E99" s="39"/>
      <c r="F99" s="39"/>
      <c r="G99" s="46"/>
      <c r="H99" s="70"/>
      <c r="I99" s="70"/>
      <c r="J99" s="70"/>
      <c r="K99" s="70"/>
      <c r="L99" s="70"/>
      <c r="M99" s="70"/>
      <c r="T99" s="118"/>
      <c r="U99" s="118"/>
      <c r="V99" s="118"/>
      <c r="W99" s="118"/>
      <c r="X99" s="118"/>
    </row>
    <row r="100" spans="5:24" ht="13" customHeight="1">
      <c r="E100" s="13"/>
      <c r="F100" s="11"/>
      <c r="H100" s="70"/>
      <c r="I100" s="70"/>
      <c r="J100" s="70"/>
      <c r="K100" s="70"/>
      <c r="L100" s="70"/>
      <c r="M100" s="70"/>
    </row>
    <row r="101" spans="5:24" ht="13" customHeight="1">
      <c r="E101" s="13"/>
      <c r="F101" s="11"/>
      <c r="H101" s="112"/>
      <c r="I101" s="112"/>
      <c r="J101" s="112"/>
      <c r="K101" s="112"/>
      <c r="L101" s="112"/>
      <c r="M101" s="112"/>
      <c r="T101" s="106"/>
      <c r="U101" s="106"/>
      <c r="V101" s="106"/>
      <c r="W101" s="106"/>
      <c r="X101" s="106"/>
    </row>
    <row r="102" spans="5:24" ht="13" customHeight="1">
      <c r="E102" s="13"/>
      <c r="F102" s="11"/>
      <c r="H102" s="112"/>
      <c r="I102" s="112"/>
      <c r="J102" s="112"/>
      <c r="K102" s="112"/>
      <c r="L102" s="112"/>
      <c r="M102" s="112"/>
      <c r="T102" s="106"/>
      <c r="U102" s="106"/>
      <c r="V102" s="106"/>
      <c r="W102" s="106"/>
      <c r="X102" s="106"/>
    </row>
    <row r="103" spans="5:24" ht="13" customHeight="1">
      <c r="E103" s="13"/>
      <c r="F103" s="11"/>
      <c r="T103" s="106"/>
      <c r="U103" s="106"/>
      <c r="V103" s="106"/>
      <c r="W103" s="106"/>
      <c r="X103" s="106"/>
    </row>
    <row r="104" spans="5:24" ht="13" customHeight="1">
      <c r="E104" s="44"/>
      <c r="F104" s="44"/>
      <c r="T104" s="106"/>
      <c r="U104" s="106"/>
      <c r="V104" s="106"/>
      <c r="W104" s="106"/>
      <c r="X104" s="106"/>
    </row>
    <row r="105" spans="5:24" ht="13" customHeight="1">
      <c r="E105" s="44"/>
      <c r="F105" s="44"/>
      <c r="T105" s="106"/>
      <c r="U105" s="106"/>
      <c r="V105" s="106"/>
      <c r="W105" s="106"/>
      <c r="X105" s="106"/>
    </row>
    <row r="106" spans="5:24" ht="13" customHeight="1">
      <c r="E106" s="44"/>
      <c r="F106" s="44"/>
      <c r="H106" s="114"/>
      <c r="I106" s="114"/>
      <c r="J106" s="114"/>
      <c r="K106" s="114"/>
      <c r="L106" s="114"/>
      <c r="M106" s="114"/>
      <c r="T106" s="106"/>
      <c r="U106" s="106"/>
      <c r="V106" s="106"/>
      <c r="W106" s="106"/>
      <c r="X106" s="106"/>
    </row>
    <row r="107" spans="5:24" ht="13" customHeight="1">
      <c r="H107" s="114"/>
      <c r="I107" s="114"/>
      <c r="J107" s="114"/>
      <c r="K107" s="114"/>
      <c r="L107" s="114"/>
      <c r="M107" s="114"/>
      <c r="T107" s="106"/>
      <c r="U107" s="106"/>
      <c r="V107" s="106"/>
      <c r="W107" s="106"/>
      <c r="X107" s="106"/>
    </row>
    <row r="108" spans="5:24" ht="13" customHeight="1">
      <c r="H108" s="114"/>
      <c r="I108" s="114"/>
      <c r="J108" s="114"/>
      <c r="K108" s="114"/>
      <c r="L108" s="114"/>
      <c r="M108" s="114"/>
      <c r="T108" s="106"/>
      <c r="U108" s="106"/>
      <c r="V108" s="106"/>
      <c r="W108" s="106"/>
      <c r="X108" s="106"/>
    </row>
    <row r="109" spans="5:24" ht="13" customHeight="1">
      <c r="H109" s="114"/>
      <c r="I109" s="114"/>
      <c r="J109" s="114"/>
      <c r="K109" s="114"/>
      <c r="L109" s="114"/>
      <c r="M109" s="114"/>
      <c r="T109" s="118"/>
      <c r="U109" s="118"/>
      <c r="V109" s="118"/>
      <c r="W109" s="118"/>
      <c r="X109" s="118"/>
    </row>
    <row r="110" spans="5:24" ht="13" customHeight="1">
      <c r="H110" s="114"/>
      <c r="I110" s="114"/>
      <c r="J110" s="114"/>
      <c r="K110" s="114"/>
      <c r="L110" s="114"/>
      <c r="M110" s="114"/>
      <c r="T110" s="118"/>
      <c r="U110" s="118"/>
      <c r="V110" s="118"/>
      <c r="W110" s="118"/>
      <c r="X110" s="118"/>
    </row>
    <row r="111" spans="5:24" ht="13" customHeight="1">
      <c r="H111" s="114"/>
      <c r="I111" s="114"/>
      <c r="J111" s="114"/>
      <c r="K111" s="114"/>
      <c r="L111" s="114"/>
      <c r="M111" s="114"/>
    </row>
    <row r="112" spans="5:24" ht="13" customHeight="1">
      <c r="H112" s="114"/>
      <c r="I112" s="114"/>
      <c r="J112" s="114"/>
      <c r="K112" s="114"/>
      <c r="L112" s="114"/>
      <c r="M112" s="114"/>
    </row>
    <row r="113" spans="7:24" ht="13" customHeight="1">
      <c r="H113" s="114"/>
      <c r="I113" s="114"/>
      <c r="J113" s="114"/>
      <c r="K113" s="114"/>
      <c r="L113" s="114"/>
      <c r="M113" s="114"/>
    </row>
    <row r="114" spans="7:24" ht="13" customHeight="1">
      <c r="H114" s="114"/>
      <c r="I114" s="114"/>
      <c r="J114" s="114"/>
      <c r="K114" s="114"/>
      <c r="L114" s="114"/>
      <c r="M114" s="114"/>
      <c r="T114" s="106"/>
      <c r="U114" s="106"/>
      <c r="V114" s="106"/>
      <c r="W114" s="106"/>
      <c r="X114" s="106"/>
    </row>
    <row r="115" spans="7:24" ht="13" customHeight="1">
      <c r="H115" s="114"/>
      <c r="I115" s="114"/>
      <c r="J115" s="114"/>
      <c r="K115" s="114"/>
      <c r="L115" s="114"/>
      <c r="M115" s="114"/>
      <c r="T115" s="106"/>
      <c r="U115" s="106"/>
      <c r="V115" s="106"/>
      <c r="W115" s="106"/>
      <c r="X115" s="106"/>
    </row>
    <row r="116" spans="7:24" ht="13" customHeight="1">
      <c r="H116" s="114"/>
      <c r="I116" s="114"/>
      <c r="J116" s="114"/>
      <c r="K116" s="114"/>
      <c r="L116" s="114"/>
      <c r="M116" s="114"/>
      <c r="T116" s="106"/>
      <c r="U116" s="106"/>
      <c r="V116" s="106"/>
      <c r="W116" s="106"/>
      <c r="X116" s="106"/>
    </row>
    <row r="117" spans="7:24" ht="13" customHeight="1">
      <c r="H117" s="114"/>
      <c r="I117" s="114"/>
      <c r="J117" s="114"/>
      <c r="K117" s="114"/>
      <c r="L117" s="114"/>
      <c r="M117" s="114"/>
      <c r="T117" s="106"/>
      <c r="U117" s="106"/>
      <c r="V117" s="106"/>
      <c r="W117" s="106"/>
      <c r="X117" s="106"/>
    </row>
    <row r="118" spans="7:24" ht="13" customHeight="1">
      <c r="H118" s="114"/>
      <c r="I118" s="114"/>
      <c r="J118" s="114"/>
      <c r="K118" s="114"/>
      <c r="L118" s="114"/>
      <c r="M118" s="114"/>
      <c r="T118" s="106"/>
      <c r="U118" s="106"/>
      <c r="V118" s="106"/>
      <c r="W118" s="106"/>
      <c r="X118" s="106"/>
    </row>
    <row r="119" spans="7:24" ht="13" customHeight="1">
      <c r="H119" s="114"/>
      <c r="I119" s="114"/>
      <c r="J119" s="114"/>
      <c r="K119" s="114"/>
      <c r="L119" s="114"/>
      <c r="M119" s="114"/>
      <c r="T119" s="106"/>
      <c r="U119" s="106"/>
      <c r="V119" s="106"/>
      <c r="W119" s="106"/>
      <c r="X119" s="106"/>
    </row>
    <row r="120" spans="7:24" ht="13" customHeight="1">
      <c r="H120" s="114"/>
      <c r="I120" s="114"/>
      <c r="J120" s="114"/>
      <c r="K120" s="114"/>
      <c r="L120" s="114"/>
      <c r="M120" s="114"/>
      <c r="T120" s="106"/>
      <c r="U120" s="106"/>
      <c r="V120" s="106"/>
      <c r="W120" s="106"/>
      <c r="X120" s="106"/>
    </row>
    <row r="121" spans="7:24" ht="13" customHeight="1">
      <c r="H121" s="114"/>
      <c r="I121" s="114"/>
      <c r="J121" s="114"/>
      <c r="K121" s="114"/>
      <c r="L121" s="114"/>
      <c r="M121" s="114"/>
      <c r="T121" s="106"/>
      <c r="U121" s="106"/>
      <c r="V121" s="106"/>
      <c r="W121" s="106"/>
      <c r="X121" s="106"/>
    </row>
    <row r="122" spans="7:24" ht="13" customHeight="1">
      <c r="G122" s="49"/>
      <c r="H122" s="114"/>
      <c r="I122" s="114"/>
      <c r="J122" s="114"/>
      <c r="K122" s="114"/>
      <c r="L122" s="114"/>
      <c r="M122" s="114"/>
      <c r="T122" s="106"/>
      <c r="U122" s="106"/>
      <c r="V122" s="106"/>
      <c r="W122" s="106"/>
      <c r="X122" s="106"/>
    </row>
    <row r="123" spans="7:24" ht="13" customHeight="1">
      <c r="G123" s="49"/>
      <c r="H123" s="114"/>
      <c r="I123" s="114"/>
      <c r="J123" s="114"/>
      <c r="K123" s="114"/>
      <c r="L123" s="114"/>
      <c r="M123" s="114"/>
      <c r="T123" s="106"/>
      <c r="U123" s="106"/>
      <c r="V123" s="106"/>
      <c r="W123" s="106"/>
      <c r="X123" s="106"/>
    </row>
    <row r="124" spans="7:24" ht="13" customHeight="1">
      <c r="G124" s="49"/>
      <c r="T124" s="106"/>
      <c r="U124" s="106"/>
      <c r="V124" s="106"/>
      <c r="W124" s="106"/>
      <c r="X124" s="106"/>
    </row>
    <row r="125" spans="7:24" ht="13" customHeight="1">
      <c r="G125" s="49"/>
      <c r="T125" s="106"/>
      <c r="U125" s="106"/>
      <c r="V125" s="106"/>
      <c r="W125" s="106"/>
      <c r="X125" s="106"/>
    </row>
    <row r="126" spans="7:24" ht="13" customHeight="1">
      <c r="G126" s="49"/>
      <c r="T126" s="106"/>
      <c r="U126" s="106"/>
      <c r="V126" s="106"/>
      <c r="W126" s="106"/>
      <c r="X126" s="106"/>
    </row>
    <row r="127" spans="7:24" ht="13" customHeight="1">
      <c r="G127" s="49"/>
      <c r="T127" s="106"/>
      <c r="U127" s="106"/>
      <c r="V127" s="106"/>
      <c r="W127" s="106"/>
      <c r="X127" s="106"/>
    </row>
    <row r="128" spans="7:24" ht="13" customHeight="1">
      <c r="G128" s="49"/>
      <c r="T128" s="106"/>
      <c r="U128" s="106"/>
      <c r="V128" s="106"/>
      <c r="W128" s="106"/>
      <c r="X128" s="106"/>
    </row>
    <row r="129" spans="7:24" ht="13" customHeight="1">
      <c r="T129" s="106"/>
      <c r="U129" s="106"/>
      <c r="V129" s="106"/>
      <c r="W129" s="106"/>
      <c r="X129" s="106"/>
    </row>
    <row r="130" spans="7:24" ht="13" customHeight="1">
      <c r="H130" s="112"/>
      <c r="I130" s="112"/>
      <c r="J130" s="112"/>
      <c r="K130" s="112"/>
      <c r="L130" s="112"/>
      <c r="M130" s="112"/>
      <c r="T130" s="106"/>
      <c r="U130" s="106"/>
      <c r="V130" s="106"/>
      <c r="W130" s="106"/>
      <c r="X130" s="106"/>
    </row>
    <row r="131" spans="7:24" ht="13" customHeight="1">
      <c r="H131" s="112"/>
      <c r="I131" s="112"/>
      <c r="J131" s="112"/>
      <c r="K131" s="112"/>
      <c r="L131" s="112"/>
      <c r="M131" s="112"/>
      <c r="T131" s="106"/>
      <c r="U131" s="106"/>
      <c r="V131" s="106"/>
      <c r="W131" s="106"/>
      <c r="X131" s="106"/>
    </row>
    <row r="133" spans="7:24" ht="13" customHeight="1">
      <c r="H133" s="7"/>
      <c r="I133" s="7"/>
      <c r="J133" s="7"/>
      <c r="K133" s="7"/>
      <c r="L133" s="7"/>
      <c r="M133" s="7"/>
    </row>
    <row r="134" spans="7:24" ht="13" customHeight="1">
      <c r="G134" s="48"/>
    </row>
    <row r="135" spans="7:24" ht="13" customHeight="1">
      <c r="G135" s="48"/>
    </row>
    <row r="136" spans="7:24" ht="13" customHeight="1">
      <c r="G136" s="49"/>
    </row>
    <row r="137" spans="7:24" ht="13" customHeight="1">
      <c r="G137" s="46"/>
    </row>
    <row r="138" spans="7:24" ht="13" customHeight="1">
      <c r="G138" s="49"/>
      <c r="T138" s="118"/>
      <c r="U138" s="118"/>
      <c r="V138" s="118"/>
      <c r="W138" s="118"/>
      <c r="X138" s="118"/>
    </row>
    <row r="139" spans="7:24" ht="13" customHeight="1">
      <c r="G139" s="49"/>
      <c r="T139" s="118"/>
      <c r="U139" s="118"/>
      <c r="V139" s="118"/>
      <c r="W139" s="118"/>
      <c r="X139" s="118"/>
    </row>
    <row r="140" spans="7:24" ht="13" customHeight="1">
      <c r="G140" s="49"/>
    </row>
    <row r="141" spans="7:24" ht="13" customHeight="1">
      <c r="G141" s="49"/>
    </row>
    <row r="142" spans="7:24" ht="13" customHeight="1">
      <c r="G142" s="54"/>
    </row>
    <row r="143" spans="7:24" ht="13" customHeight="1">
      <c r="G143" s="54"/>
      <c r="T143" s="139"/>
      <c r="U143" s="139"/>
      <c r="V143" s="139"/>
      <c r="W143" s="139"/>
      <c r="X143" s="139"/>
    </row>
    <row r="144" spans="7:24" ht="13" customHeight="1">
      <c r="G144" s="54"/>
      <c r="T144" s="139"/>
      <c r="U144" s="139"/>
      <c r="V144" s="139"/>
      <c r="W144" s="139"/>
      <c r="X144" s="139"/>
    </row>
    <row r="145" spans="8:24" ht="13" customHeight="1">
      <c r="T145" s="139"/>
      <c r="U145" s="139"/>
      <c r="V145" s="139"/>
      <c r="W145" s="139"/>
      <c r="X145" s="139"/>
    </row>
    <row r="146" spans="8:24" ht="13" customHeight="1">
      <c r="T146" s="139"/>
      <c r="U146" s="139"/>
      <c r="V146" s="139"/>
      <c r="W146" s="139"/>
      <c r="X146" s="139"/>
    </row>
    <row r="147" spans="8:24" ht="13" customHeight="1">
      <c r="T147" s="139"/>
      <c r="U147" s="139"/>
      <c r="V147" s="139"/>
      <c r="W147" s="139"/>
      <c r="X147" s="139"/>
    </row>
    <row r="148" spans="8:24" ht="13" customHeight="1">
      <c r="T148" s="139"/>
      <c r="U148" s="139"/>
      <c r="V148" s="139"/>
      <c r="W148" s="139"/>
      <c r="X148" s="139"/>
    </row>
    <row r="149" spans="8:24" ht="13" customHeight="1">
      <c r="T149" s="139"/>
      <c r="U149" s="139"/>
      <c r="V149" s="139"/>
      <c r="W149" s="139"/>
      <c r="X149" s="139"/>
    </row>
    <row r="150" spans="8:24" ht="13" customHeight="1">
      <c r="T150" s="139"/>
      <c r="U150" s="139"/>
      <c r="V150" s="139"/>
      <c r="W150" s="139"/>
      <c r="X150" s="139"/>
    </row>
    <row r="152" spans="8:24" ht="13" customHeight="1">
      <c r="H152" s="112"/>
      <c r="I152" s="112"/>
      <c r="J152" s="112"/>
      <c r="K152" s="112"/>
      <c r="L152" s="112"/>
      <c r="M152" s="112"/>
    </row>
    <row r="153" spans="8:24" ht="13" customHeight="1">
      <c r="H153" s="113"/>
      <c r="I153" s="113"/>
      <c r="J153" s="113"/>
      <c r="K153" s="113"/>
      <c r="L153" s="113"/>
      <c r="M153" s="113"/>
    </row>
    <row r="156" spans="8:24" ht="13" customHeight="1">
      <c r="H156" s="114"/>
      <c r="I156" s="114"/>
      <c r="J156" s="114"/>
      <c r="K156" s="114"/>
      <c r="L156" s="114"/>
      <c r="M156" s="114"/>
    </row>
    <row r="157" spans="8:24" ht="13" customHeight="1">
      <c r="H157" s="114"/>
      <c r="I157" s="114"/>
      <c r="J157" s="114"/>
      <c r="K157" s="114"/>
      <c r="L157" s="114"/>
      <c r="M157" s="114"/>
    </row>
    <row r="158" spans="8:24" ht="13" customHeight="1">
      <c r="H158" s="114"/>
      <c r="I158" s="114"/>
      <c r="J158" s="114"/>
      <c r="K158" s="114"/>
      <c r="L158" s="114"/>
      <c r="M158" s="114"/>
    </row>
  </sheetData>
  <sheetProtection algorithmName="SHA-512" hashValue="pgXbcrCib58OpJKRKkFJeosIJbI8iOj4g+f2970U1omIipCFy8LNblyzKVbJuCDJsjpk2T+NEcgTvwcPaMwM/g==" saltValue="+vf2+PPVGZPUpL+Amdifww==" spinCount="100000" sheet="1" objects="1" scenarios="1"/>
  <mergeCells count="7">
    <mergeCell ref="D2:E2"/>
    <mergeCell ref="B29:C30"/>
    <mergeCell ref="B64:C65"/>
    <mergeCell ref="B44:C45"/>
    <mergeCell ref="B2:C2"/>
    <mergeCell ref="B3:C3"/>
    <mergeCell ref="B13:C14"/>
  </mergeCells>
  <conditionalFormatting sqref="H13:CD17 H19:CD21 I18 Y18:CD18 H23:CD10002 J22:CD22">
    <cfRule type="expression" dxfId="4" priority="6">
      <formula>AND($D13&lt;&gt;"",H$13&lt;&gt;"",H13="")</formula>
    </cfRule>
    <cfRule type="expression" dxfId="3" priority="7">
      <formula>AND($A13="",ABS(H13)=0)</formula>
    </cfRule>
    <cfRule type="expression" dxfId="2" priority="8">
      <formula>AND($A13="",ABS(H13)&lt;10)</formula>
    </cfRule>
    <cfRule type="expression" dxfId="1" priority="9">
      <formula>AND($A13="",ABS(H13)&lt;100)</formula>
    </cfRule>
    <cfRule type="expression" dxfId="0" priority="10">
      <formula>AND($A13="",ABS(H13)&gt;=100)</formula>
    </cfRule>
  </conditionalFormatting>
  <dataValidations count="2">
    <dataValidation type="list" allowBlank="1" showInputMessage="1" showErrorMessage="1" sqref="G2" xr:uid="{00000000-0002-0000-0A00-000000000000}">
      <formula1>Sprache</formula1>
    </dataValidation>
    <dataValidation allowBlank="1" showInputMessage="1" showErrorMessage="1" sqref="F2" xr:uid="{00000000-0002-0000-0A00-000001000000}"/>
  </dataValidations>
  <hyperlinks>
    <hyperlink ref="A13" location="GRI_405" display="Ó" xr:uid="{00000000-0004-0000-0A00-000000000000}"/>
    <hyperlink ref="D2" location="Home" display="Home" xr:uid="{00000000-0004-0000-0A00-000001000000}"/>
    <hyperlink ref="A29" location="GRI_405" display="Ó" xr:uid="{00000000-0004-0000-0A00-000002000000}"/>
    <hyperlink ref="A64" location="GRI_405" display="Ó" xr:uid="{00000000-0004-0000-0A00-000003000000}"/>
    <hyperlink ref="A44" location="GRI_405" display="Ó" xr:uid="{00000000-0004-0000-0A00-000004000000}"/>
    <hyperlink ref="C7" location="GRI_405_1" display="GRI_405_1" xr:uid="{00000000-0004-0000-0A00-000005000000}"/>
    <hyperlink ref="C8" location="GRI_405_1b" display="GRI_405_1b" xr:uid="{00000000-0004-0000-0A00-000006000000}"/>
    <hyperlink ref="C9" location="GRI_405_1c" display="GRI_405_1c" xr:uid="{00000000-0004-0000-0A00-000007000000}"/>
    <hyperlink ref="C10" location="GRI_405_1d" display="GRI_405_1d" xr:uid="{00000000-0004-0000-0A00-000008000000}"/>
  </hyperlinks>
  <pageMargins left="0.7" right="0.7" top="0.78740157499999996" bottom="0.78740157499999996" header="0.3" footer="0.3"/>
  <pageSetup paperSize="9" orientation="portrait" r:id="rId1"/>
  <ignoredErrors>
    <ignoredError sqref="E17:E19 E69:E75 E48:E57 E33:E37"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tabColor theme="3"/>
  </sheetPr>
  <dimension ref="A1:D5"/>
  <sheetViews>
    <sheetView showRowColHeaders="0" workbookViewId="0"/>
  </sheetViews>
  <sheetFormatPr baseColWidth="10" defaultColWidth="11.3984375" defaultRowHeight="13"/>
  <cols>
    <col min="2" max="2" width="11.796875" customWidth="1"/>
    <col min="4" max="4" width="18.59765625" customWidth="1"/>
  </cols>
  <sheetData>
    <row r="1" spans="1:4">
      <c r="A1" t="s">
        <v>158</v>
      </c>
      <c r="B1" t="s">
        <v>159</v>
      </c>
      <c r="D1" t="s">
        <v>160</v>
      </c>
    </row>
    <row r="2" spans="1:4">
      <c r="A2" t="s">
        <v>161</v>
      </c>
      <c r="B2">
        <v>2</v>
      </c>
      <c r="D2">
        <f>VLOOKUP(Inhaltsverzeichnis!$F$2,Sprachen[],2,FALSE)</f>
        <v>4</v>
      </c>
    </row>
    <row r="3" spans="1:4">
      <c r="A3" t="s">
        <v>162</v>
      </c>
      <c r="B3">
        <v>3</v>
      </c>
    </row>
    <row r="4" spans="1:4">
      <c r="A4" t="s">
        <v>0</v>
      </c>
      <c r="B4">
        <v>4</v>
      </c>
    </row>
    <row r="5" spans="1:4">
      <c r="A5" t="s">
        <v>163</v>
      </c>
      <c r="B5">
        <v>5</v>
      </c>
    </row>
  </sheetData>
  <sheetProtection algorithmName="SHA-512" hashValue="8RL2KwIjVu4X0cMzxCpPVYE31DGHq1/IQWZS4C81dxKStQKgHC5UWAlXyKpqwDcvoNywcfazsIPpZ/e3eeofFQ==" saltValue="cPfHuo4wRnYEAg4oM9Pukg==" spinCount="100000" sheet="1" objects="1" scenarios="1"/>
  <dataValidations count="1">
    <dataValidation allowBlank="1" showInputMessage="1" showErrorMessage="1" sqref="F2" xr:uid="{00000000-0002-0000-0B00-000000000000}"/>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theme="3"/>
  </sheetPr>
  <dimension ref="A1:BS345"/>
  <sheetViews>
    <sheetView showRowColHeaders="0" topLeftCell="C256" zoomScale="80" zoomScaleNormal="80" workbookViewId="0">
      <selection activeCell="O295" sqref="O295"/>
    </sheetView>
  </sheetViews>
  <sheetFormatPr baseColWidth="10" defaultColWidth="11.3984375" defaultRowHeight="13"/>
  <cols>
    <col min="2" max="5" width="31.796875" customWidth="1"/>
    <col min="8" max="11" width="27.796875" customWidth="1"/>
    <col min="20" max="23" width="21.796875" customWidth="1"/>
    <col min="38" max="41" width="16.19921875" customWidth="1"/>
  </cols>
  <sheetData>
    <row r="1" spans="1:71">
      <c r="A1" t="s">
        <v>164</v>
      </c>
      <c r="B1" t="s">
        <v>161</v>
      </c>
      <c r="C1" t="s">
        <v>162</v>
      </c>
      <c r="D1" t="s">
        <v>0</v>
      </c>
      <c r="E1" t="s">
        <v>163</v>
      </c>
      <c r="G1" t="s">
        <v>164</v>
      </c>
      <c r="H1" t="s">
        <v>161</v>
      </c>
      <c r="I1" t="s">
        <v>162</v>
      </c>
      <c r="J1" t="s">
        <v>0</v>
      </c>
      <c r="K1" t="s">
        <v>163</v>
      </c>
      <c r="M1" t="s">
        <v>164</v>
      </c>
      <c r="N1" t="s">
        <v>161</v>
      </c>
      <c r="O1" t="s">
        <v>162</v>
      </c>
      <c r="P1" t="s">
        <v>0</v>
      </c>
      <c r="Q1" t="s">
        <v>163</v>
      </c>
      <c r="S1" t="s">
        <v>164</v>
      </c>
      <c r="T1" t="s">
        <v>161</v>
      </c>
      <c r="U1" t="s">
        <v>162</v>
      </c>
      <c r="V1" t="s">
        <v>0</v>
      </c>
      <c r="W1" t="s">
        <v>163</v>
      </c>
      <c r="Y1" t="s">
        <v>164</v>
      </c>
      <c r="Z1" t="s">
        <v>161</v>
      </c>
      <c r="AA1" t="s">
        <v>162</v>
      </c>
      <c r="AB1" t="s">
        <v>0</v>
      </c>
      <c r="AC1" t="s">
        <v>163</v>
      </c>
      <c r="AE1" t="s">
        <v>164</v>
      </c>
      <c r="AF1" t="s">
        <v>161</v>
      </c>
      <c r="AG1" t="s">
        <v>162</v>
      </c>
      <c r="AH1" t="s">
        <v>0</v>
      </c>
      <c r="AI1" t="s">
        <v>163</v>
      </c>
      <c r="AK1" t="s">
        <v>164</v>
      </c>
      <c r="AL1" t="s">
        <v>161</v>
      </c>
      <c r="AM1" t="s">
        <v>162</v>
      </c>
      <c r="AN1" t="s">
        <v>0</v>
      </c>
      <c r="AO1" t="s">
        <v>163</v>
      </c>
      <c r="AQ1" t="s">
        <v>164</v>
      </c>
      <c r="AR1" t="s">
        <v>161</v>
      </c>
      <c r="AS1" t="s">
        <v>162</v>
      </c>
      <c r="AT1" t="s">
        <v>0</v>
      </c>
      <c r="AU1" t="s">
        <v>163</v>
      </c>
      <c r="AW1" t="s">
        <v>164</v>
      </c>
      <c r="AX1" t="s">
        <v>161</v>
      </c>
      <c r="AY1" t="s">
        <v>162</v>
      </c>
      <c r="AZ1" t="s">
        <v>0</v>
      </c>
      <c r="BA1" t="s">
        <v>163</v>
      </c>
      <c r="BC1" t="s">
        <v>164</v>
      </c>
      <c r="BD1" t="s">
        <v>161</v>
      </c>
      <c r="BE1" t="s">
        <v>162</v>
      </c>
      <c r="BF1" t="s">
        <v>0</v>
      </c>
      <c r="BG1" t="s">
        <v>163</v>
      </c>
      <c r="BI1" t="s">
        <v>164</v>
      </c>
      <c r="BJ1" t="s">
        <v>161</v>
      </c>
      <c r="BK1" t="s">
        <v>162</v>
      </c>
      <c r="BL1" t="s">
        <v>0</v>
      </c>
      <c r="BM1" t="s">
        <v>163</v>
      </c>
      <c r="BO1" t="s">
        <v>164</v>
      </c>
      <c r="BP1" t="s">
        <v>161</v>
      </c>
      <c r="BQ1" t="s">
        <v>162</v>
      </c>
      <c r="BR1" t="s">
        <v>0</v>
      </c>
      <c r="BS1" t="s">
        <v>163</v>
      </c>
    </row>
    <row r="2" spans="1:71">
      <c r="A2">
        <f t="shared" ref="A2:A8" si="0">ROW()-1</f>
        <v>1</v>
      </c>
      <c r="B2" t="s">
        <v>165</v>
      </c>
      <c r="C2" t="s">
        <v>166</v>
      </c>
      <c r="D2" t="s">
        <v>167</v>
      </c>
      <c r="E2" t="s">
        <v>168</v>
      </c>
      <c r="G2">
        <f>ROW()-1</f>
        <v>1</v>
      </c>
      <c r="H2" t="s">
        <v>169</v>
      </c>
      <c r="I2" t="s">
        <v>170</v>
      </c>
      <c r="J2" t="s">
        <v>171</v>
      </c>
      <c r="K2" t="s">
        <v>172</v>
      </c>
      <c r="M2">
        <f>ROW()-1</f>
        <v>1</v>
      </c>
      <c r="N2" t="s">
        <v>173</v>
      </c>
      <c r="O2" t="s">
        <v>174</v>
      </c>
      <c r="P2" t="s">
        <v>175</v>
      </c>
      <c r="Q2" t="s">
        <v>176</v>
      </c>
      <c r="S2">
        <f>ROW()-1</f>
        <v>1</v>
      </c>
      <c r="T2" t="s">
        <v>177</v>
      </c>
      <c r="U2" t="s">
        <v>178</v>
      </c>
      <c r="V2" t="s">
        <v>179</v>
      </c>
      <c r="W2" t="s">
        <v>180</v>
      </c>
      <c r="Y2">
        <f>ROW()-1</f>
        <v>1</v>
      </c>
      <c r="Z2" t="s">
        <v>181</v>
      </c>
      <c r="AA2" t="s">
        <v>182</v>
      </c>
      <c r="AB2" t="s">
        <v>183</v>
      </c>
      <c r="AC2" t="s">
        <v>184</v>
      </c>
      <c r="AE2">
        <f>ROW()-1</f>
        <v>1</v>
      </c>
      <c r="AF2" t="s">
        <v>185</v>
      </c>
      <c r="AG2" t="s">
        <v>186</v>
      </c>
      <c r="AH2" t="s">
        <v>187</v>
      </c>
      <c r="AI2" t="s">
        <v>188</v>
      </c>
      <c r="AK2">
        <f>ROW()-1</f>
        <v>1</v>
      </c>
      <c r="AL2" t="s">
        <v>189</v>
      </c>
      <c r="AM2" t="s">
        <v>190</v>
      </c>
      <c r="AN2" t="s">
        <v>191</v>
      </c>
      <c r="AO2" t="s">
        <v>192</v>
      </c>
      <c r="AQ2">
        <f>ROW()-1</f>
        <v>1</v>
      </c>
      <c r="AR2" t="s">
        <v>193</v>
      </c>
      <c r="AS2" t="s">
        <v>194</v>
      </c>
      <c r="AT2" t="s">
        <v>195</v>
      </c>
      <c r="AU2" t="s">
        <v>196</v>
      </c>
      <c r="AW2">
        <f>ROW()-1</f>
        <v>1</v>
      </c>
      <c r="AX2" t="s">
        <v>197</v>
      </c>
      <c r="AY2" t="s">
        <v>198</v>
      </c>
      <c r="AZ2" t="s">
        <v>199</v>
      </c>
      <c r="BA2" t="s">
        <v>200</v>
      </c>
      <c r="BC2">
        <f>ROW()-1</f>
        <v>1</v>
      </c>
      <c r="BD2" t="s">
        <v>201</v>
      </c>
      <c r="BE2" t="s">
        <v>202</v>
      </c>
      <c r="BF2" t="s">
        <v>203</v>
      </c>
      <c r="BG2" t="s">
        <v>204</v>
      </c>
      <c r="BI2">
        <f>ROW()-1</f>
        <v>1</v>
      </c>
      <c r="BJ2" t="s">
        <v>205</v>
      </c>
      <c r="BK2" t="s">
        <v>206</v>
      </c>
      <c r="BL2" t="s">
        <v>207</v>
      </c>
      <c r="BM2" t="s">
        <v>208</v>
      </c>
      <c r="BO2">
        <f>ROW()-1</f>
        <v>1</v>
      </c>
      <c r="BP2" t="s">
        <v>209</v>
      </c>
      <c r="BQ2" t="s">
        <v>210</v>
      </c>
      <c r="BR2" t="s">
        <v>211</v>
      </c>
      <c r="BS2" t="s">
        <v>212</v>
      </c>
    </row>
    <row r="3" spans="1:71">
      <c r="A3">
        <f t="shared" si="0"/>
        <v>2</v>
      </c>
      <c r="B3" t="s">
        <v>213</v>
      </c>
      <c r="C3" t="s">
        <v>214</v>
      </c>
      <c r="D3" t="s">
        <v>215</v>
      </c>
      <c r="E3" t="s">
        <v>216</v>
      </c>
      <c r="G3">
        <f>ROW()-1</f>
        <v>2</v>
      </c>
      <c r="H3" t="s">
        <v>217</v>
      </c>
      <c r="I3" t="s">
        <v>218</v>
      </c>
      <c r="J3" t="s">
        <v>219</v>
      </c>
      <c r="K3" t="s">
        <v>220</v>
      </c>
      <c r="M3">
        <f t="shared" ref="M3:M66" si="1">ROW()-1</f>
        <v>2</v>
      </c>
      <c r="N3" t="s">
        <v>221</v>
      </c>
      <c r="O3" t="s">
        <v>222</v>
      </c>
      <c r="P3" t="s">
        <v>223</v>
      </c>
      <c r="Q3" t="s">
        <v>224</v>
      </c>
      <c r="S3">
        <f t="shared" ref="S3:S66" si="2">ROW()-1</f>
        <v>2</v>
      </c>
      <c r="T3" t="s">
        <v>225</v>
      </c>
      <c r="U3" t="s">
        <v>226</v>
      </c>
      <c r="V3" t="s">
        <v>227</v>
      </c>
      <c r="W3" t="s">
        <v>228</v>
      </c>
      <c r="Y3">
        <f t="shared" ref="Y3:Y66" si="3">ROW()-1</f>
        <v>2</v>
      </c>
      <c r="AE3">
        <f t="shared" ref="AE3:AE66" si="4">ROW()-1</f>
        <v>2</v>
      </c>
      <c r="AF3" t="s">
        <v>229</v>
      </c>
      <c r="AG3" t="s">
        <v>230</v>
      </c>
      <c r="AH3" t="s">
        <v>231</v>
      </c>
      <c r="AI3" t="s">
        <v>232</v>
      </c>
      <c r="AK3">
        <f t="shared" ref="AK3:AK66" si="5">ROW()-1</f>
        <v>2</v>
      </c>
      <c r="AL3" t="s">
        <v>233</v>
      </c>
      <c r="AM3" t="s">
        <v>234</v>
      </c>
      <c r="AN3" t="s">
        <v>235</v>
      </c>
      <c r="AO3" t="s">
        <v>236</v>
      </c>
      <c r="AQ3">
        <f t="shared" ref="AQ3:AQ66" si="6">ROW()-1</f>
        <v>2</v>
      </c>
      <c r="AR3" t="s">
        <v>237</v>
      </c>
      <c r="AS3" t="s">
        <v>238</v>
      </c>
      <c r="AT3" t="s">
        <v>239</v>
      </c>
      <c r="AU3" t="s">
        <v>240</v>
      </c>
      <c r="AW3">
        <f t="shared" ref="AW3:AW66" si="7">ROW()-1</f>
        <v>2</v>
      </c>
      <c r="AX3" t="s">
        <v>241</v>
      </c>
      <c r="AY3" t="s">
        <v>242</v>
      </c>
      <c r="AZ3" t="s">
        <v>243</v>
      </c>
      <c r="BA3" t="s">
        <v>244</v>
      </c>
      <c r="BC3">
        <f t="shared" ref="BC3:BC66" si="8">ROW()-1</f>
        <v>2</v>
      </c>
      <c r="BI3">
        <f t="shared" ref="BI3:BI66" si="9">ROW()-1</f>
        <v>2</v>
      </c>
      <c r="BJ3" t="s">
        <v>245</v>
      </c>
      <c r="BK3" t="s">
        <v>246</v>
      </c>
      <c r="BL3" t="s">
        <v>247</v>
      </c>
      <c r="BM3" t="s">
        <v>248</v>
      </c>
      <c r="BO3">
        <f t="shared" ref="BO3:BO66" si="10">ROW()-1</f>
        <v>2</v>
      </c>
      <c r="BP3" t="s">
        <v>249</v>
      </c>
      <c r="BQ3" t="s">
        <v>250</v>
      </c>
      <c r="BR3" t="s">
        <v>251</v>
      </c>
      <c r="BS3" t="s">
        <v>252</v>
      </c>
    </row>
    <row r="4" spans="1:71">
      <c r="A4">
        <f t="shared" si="0"/>
        <v>3</v>
      </c>
      <c r="B4" t="s">
        <v>253</v>
      </c>
      <c r="C4" t="s">
        <v>254</v>
      </c>
      <c r="D4" t="s">
        <v>255</v>
      </c>
      <c r="E4" t="s">
        <v>256</v>
      </c>
      <c r="G4">
        <f>ROW()-1</f>
        <v>3</v>
      </c>
      <c r="H4" t="s">
        <v>257</v>
      </c>
      <c r="I4" t="s">
        <v>258</v>
      </c>
      <c r="J4" t="s">
        <v>259</v>
      </c>
      <c r="K4" t="s">
        <v>260</v>
      </c>
      <c r="M4">
        <f t="shared" si="1"/>
        <v>3</v>
      </c>
      <c r="N4" t="s">
        <v>261</v>
      </c>
      <c r="O4" t="s">
        <v>262</v>
      </c>
      <c r="P4" t="s">
        <v>263</v>
      </c>
      <c r="Q4" t="s">
        <v>264</v>
      </c>
      <c r="S4">
        <f t="shared" si="2"/>
        <v>3</v>
      </c>
      <c r="T4" t="s">
        <v>265</v>
      </c>
      <c r="U4" t="s">
        <v>266</v>
      </c>
      <c r="V4" t="s">
        <v>267</v>
      </c>
      <c r="W4" t="s">
        <v>268</v>
      </c>
      <c r="Y4">
        <f t="shared" si="3"/>
        <v>3</v>
      </c>
      <c r="AE4">
        <f t="shared" si="4"/>
        <v>3</v>
      </c>
      <c r="AF4" t="s">
        <v>269</v>
      </c>
      <c r="AG4" t="s">
        <v>270</v>
      </c>
      <c r="AH4" t="s">
        <v>271</v>
      </c>
      <c r="AI4" t="s">
        <v>272</v>
      </c>
      <c r="AK4">
        <f t="shared" si="5"/>
        <v>3</v>
      </c>
      <c r="AQ4">
        <f t="shared" si="6"/>
        <v>3</v>
      </c>
      <c r="AR4" t="s">
        <v>273</v>
      </c>
      <c r="AS4" t="s">
        <v>274</v>
      </c>
      <c r="AT4" t="s">
        <v>275</v>
      </c>
      <c r="AU4" t="s">
        <v>276</v>
      </c>
      <c r="AW4">
        <f t="shared" si="7"/>
        <v>3</v>
      </c>
      <c r="AX4" t="s">
        <v>277</v>
      </c>
      <c r="AY4" t="s">
        <v>278</v>
      </c>
      <c r="AZ4" t="s">
        <v>279</v>
      </c>
      <c r="BA4" t="s">
        <v>280</v>
      </c>
      <c r="BC4">
        <f t="shared" si="8"/>
        <v>3</v>
      </c>
      <c r="BI4">
        <f t="shared" si="9"/>
        <v>3</v>
      </c>
      <c r="BJ4" t="s">
        <v>281</v>
      </c>
      <c r="BK4" s="328" t="s">
        <v>282</v>
      </c>
      <c r="BL4" s="328" t="s">
        <v>283</v>
      </c>
      <c r="BM4" s="328" t="s">
        <v>284</v>
      </c>
      <c r="BO4">
        <f t="shared" si="10"/>
        <v>3</v>
      </c>
      <c r="BP4" t="s">
        <v>285</v>
      </c>
      <c r="BQ4" t="s">
        <v>286</v>
      </c>
      <c r="BR4" t="s">
        <v>287</v>
      </c>
      <c r="BS4" t="s">
        <v>288</v>
      </c>
    </row>
    <row r="5" spans="1:71">
      <c r="A5">
        <f t="shared" si="0"/>
        <v>4</v>
      </c>
      <c r="B5" t="s">
        <v>289</v>
      </c>
      <c r="C5" t="s">
        <v>290</v>
      </c>
      <c r="D5" t="s">
        <v>291</v>
      </c>
      <c r="E5" t="s">
        <v>292</v>
      </c>
      <c r="G5">
        <f>ROW()-1</f>
        <v>4</v>
      </c>
      <c r="H5" t="s">
        <v>293</v>
      </c>
      <c r="I5" t="s">
        <v>294</v>
      </c>
      <c r="J5" t="s">
        <v>295</v>
      </c>
      <c r="K5" t="s">
        <v>296</v>
      </c>
      <c r="M5">
        <f t="shared" si="1"/>
        <v>4</v>
      </c>
      <c r="N5" t="s">
        <v>297</v>
      </c>
      <c r="O5" s="328" t="s">
        <v>298</v>
      </c>
      <c r="P5" s="328" t="s">
        <v>299</v>
      </c>
      <c r="Q5" s="328" t="s">
        <v>300</v>
      </c>
      <c r="S5">
        <f t="shared" si="2"/>
        <v>4</v>
      </c>
      <c r="Y5">
        <f t="shared" si="3"/>
        <v>4</v>
      </c>
      <c r="AE5">
        <f t="shared" si="4"/>
        <v>4</v>
      </c>
      <c r="AF5" t="s">
        <v>301</v>
      </c>
      <c r="AG5" t="s">
        <v>302</v>
      </c>
      <c r="AH5" t="s">
        <v>303</v>
      </c>
      <c r="AI5" t="s">
        <v>304</v>
      </c>
      <c r="AK5">
        <f t="shared" si="5"/>
        <v>4</v>
      </c>
      <c r="AQ5">
        <f t="shared" si="6"/>
        <v>4</v>
      </c>
      <c r="AR5" t="s">
        <v>305</v>
      </c>
      <c r="AS5" t="s">
        <v>306</v>
      </c>
      <c r="AT5" t="s">
        <v>307</v>
      </c>
      <c r="AU5" t="s">
        <v>308</v>
      </c>
      <c r="AW5">
        <f t="shared" si="7"/>
        <v>4</v>
      </c>
      <c r="BC5">
        <f t="shared" si="8"/>
        <v>4</v>
      </c>
      <c r="BI5">
        <f t="shared" si="9"/>
        <v>4</v>
      </c>
      <c r="BO5">
        <f t="shared" si="10"/>
        <v>4</v>
      </c>
      <c r="BP5" t="s">
        <v>309</v>
      </c>
      <c r="BQ5" t="s">
        <v>310</v>
      </c>
      <c r="BR5" t="s">
        <v>311</v>
      </c>
      <c r="BS5" t="s">
        <v>312</v>
      </c>
    </row>
    <row r="6" spans="1:71">
      <c r="A6">
        <f t="shared" si="0"/>
        <v>5</v>
      </c>
      <c r="B6" t="s">
        <v>313</v>
      </c>
      <c r="C6" t="s">
        <v>314</v>
      </c>
      <c r="D6" t="s">
        <v>315</v>
      </c>
      <c r="E6" t="s">
        <v>316</v>
      </c>
      <c r="G6">
        <f t="shared" ref="G6:G8" si="11">ROW()-1</f>
        <v>5</v>
      </c>
      <c r="H6" t="s">
        <v>317</v>
      </c>
      <c r="I6" t="s">
        <v>318</v>
      </c>
      <c r="J6" t="s">
        <v>319</v>
      </c>
      <c r="K6" t="s">
        <v>320</v>
      </c>
      <c r="M6">
        <f t="shared" si="1"/>
        <v>5</v>
      </c>
      <c r="N6" t="s">
        <v>321</v>
      </c>
      <c r="O6" s="328" t="s">
        <v>322</v>
      </c>
      <c r="P6" s="328" t="s">
        <v>323</v>
      </c>
      <c r="Q6" s="328" t="s">
        <v>324</v>
      </c>
      <c r="S6">
        <f t="shared" si="2"/>
        <v>5</v>
      </c>
      <c r="Y6">
        <f t="shared" si="3"/>
        <v>5</v>
      </c>
      <c r="AE6">
        <f t="shared" si="4"/>
        <v>5</v>
      </c>
      <c r="AF6" t="s">
        <v>325</v>
      </c>
      <c r="AG6" t="s">
        <v>326</v>
      </c>
      <c r="AH6" t="s">
        <v>327</v>
      </c>
      <c r="AI6" t="s">
        <v>328</v>
      </c>
      <c r="AK6">
        <f t="shared" si="5"/>
        <v>5</v>
      </c>
      <c r="AQ6">
        <f t="shared" si="6"/>
        <v>5</v>
      </c>
      <c r="AR6" t="s">
        <v>329</v>
      </c>
      <c r="AS6" t="s">
        <v>330</v>
      </c>
      <c r="AT6" t="s">
        <v>331</v>
      </c>
      <c r="AU6" t="s">
        <v>332</v>
      </c>
      <c r="AW6">
        <f t="shared" si="7"/>
        <v>5</v>
      </c>
      <c r="BC6">
        <f t="shared" si="8"/>
        <v>5</v>
      </c>
      <c r="BI6">
        <f t="shared" si="9"/>
        <v>5</v>
      </c>
      <c r="BO6">
        <f t="shared" si="10"/>
        <v>5</v>
      </c>
    </row>
    <row r="7" spans="1:71">
      <c r="A7">
        <f t="shared" si="0"/>
        <v>6</v>
      </c>
      <c r="B7" t="s">
        <v>333</v>
      </c>
      <c r="C7" t="s">
        <v>334</v>
      </c>
      <c r="D7" t="s">
        <v>335</v>
      </c>
      <c r="E7" t="s">
        <v>336</v>
      </c>
      <c r="G7">
        <f t="shared" si="11"/>
        <v>6</v>
      </c>
      <c r="H7" t="s">
        <v>337</v>
      </c>
      <c r="I7" t="s">
        <v>338</v>
      </c>
      <c r="J7" t="s">
        <v>339</v>
      </c>
      <c r="K7" t="s">
        <v>340</v>
      </c>
      <c r="M7">
        <f t="shared" si="1"/>
        <v>6</v>
      </c>
      <c r="N7" t="s">
        <v>341</v>
      </c>
      <c r="O7" s="328" t="s">
        <v>342</v>
      </c>
      <c r="P7" s="328" t="s">
        <v>343</v>
      </c>
      <c r="Q7" s="328" t="s">
        <v>344</v>
      </c>
      <c r="S7">
        <f t="shared" si="2"/>
        <v>6</v>
      </c>
      <c r="Y7">
        <f t="shared" si="3"/>
        <v>6</v>
      </c>
      <c r="AE7">
        <f t="shared" si="4"/>
        <v>6</v>
      </c>
      <c r="AF7" t="s">
        <v>345</v>
      </c>
      <c r="AG7" t="s">
        <v>346</v>
      </c>
      <c r="AH7" t="s">
        <v>347</v>
      </c>
      <c r="AI7" t="s">
        <v>348</v>
      </c>
      <c r="AK7">
        <f t="shared" si="5"/>
        <v>6</v>
      </c>
      <c r="AQ7">
        <f t="shared" si="6"/>
        <v>6</v>
      </c>
      <c r="AW7">
        <f t="shared" si="7"/>
        <v>6</v>
      </c>
      <c r="BC7">
        <f t="shared" si="8"/>
        <v>6</v>
      </c>
      <c r="BI7">
        <f t="shared" si="9"/>
        <v>6</v>
      </c>
      <c r="BO7">
        <f t="shared" si="10"/>
        <v>6</v>
      </c>
    </row>
    <row r="8" spans="1:71">
      <c r="A8">
        <f t="shared" si="0"/>
        <v>7</v>
      </c>
      <c r="B8" t="s">
        <v>349</v>
      </c>
      <c r="C8" t="s">
        <v>350</v>
      </c>
      <c r="D8" t="s">
        <v>351</v>
      </c>
      <c r="E8" t="s">
        <v>352</v>
      </c>
      <c r="G8">
        <f t="shared" si="11"/>
        <v>7</v>
      </c>
      <c r="H8" t="s">
        <v>353</v>
      </c>
      <c r="I8" t="s">
        <v>354</v>
      </c>
      <c r="J8" t="s">
        <v>355</v>
      </c>
      <c r="K8" t="s">
        <v>356</v>
      </c>
      <c r="M8">
        <f t="shared" si="1"/>
        <v>7</v>
      </c>
      <c r="N8" t="s">
        <v>357</v>
      </c>
      <c r="O8" s="328" t="s">
        <v>358</v>
      </c>
      <c r="P8" s="328" t="s">
        <v>359</v>
      </c>
      <c r="Q8" s="328" t="s">
        <v>360</v>
      </c>
      <c r="S8">
        <f t="shared" si="2"/>
        <v>7</v>
      </c>
      <c r="Y8">
        <f t="shared" si="3"/>
        <v>7</v>
      </c>
      <c r="AE8">
        <f t="shared" si="4"/>
        <v>7</v>
      </c>
      <c r="AF8" t="s">
        <v>361</v>
      </c>
      <c r="AG8" t="s">
        <v>362</v>
      </c>
      <c r="AH8" t="s">
        <v>363</v>
      </c>
      <c r="AI8" t="s">
        <v>364</v>
      </c>
      <c r="AK8">
        <f t="shared" si="5"/>
        <v>7</v>
      </c>
      <c r="AQ8">
        <f t="shared" si="6"/>
        <v>7</v>
      </c>
      <c r="AW8">
        <f t="shared" si="7"/>
        <v>7</v>
      </c>
      <c r="BC8">
        <f t="shared" si="8"/>
        <v>7</v>
      </c>
      <c r="BI8">
        <f t="shared" si="9"/>
        <v>7</v>
      </c>
      <c r="BO8">
        <f t="shared" si="10"/>
        <v>7</v>
      </c>
    </row>
    <row r="9" spans="1:71">
      <c r="A9">
        <f t="shared" ref="A9:A13" si="12">ROW()-1</f>
        <v>8</v>
      </c>
      <c r="B9" t="s">
        <v>365</v>
      </c>
      <c r="C9" t="s">
        <v>366</v>
      </c>
      <c r="D9" t="s">
        <v>367</v>
      </c>
      <c r="E9" t="s">
        <v>368</v>
      </c>
      <c r="G9">
        <f>ROW()-1</f>
        <v>8</v>
      </c>
      <c r="H9" t="s">
        <v>369</v>
      </c>
      <c r="I9" t="s">
        <v>370</v>
      </c>
      <c r="J9" t="s">
        <v>371</v>
      </c>
      <c r="K9" t="s">
        <v>372</v>
      </c>
      <c r="M9">
        <f t="shared" si="1"/>
        <v>8</v>
      </c>
      <c r="N9" t="s">
        <v>373</v>
      </c>
      <c r="O9" s="328" t="s">
        <v>374</v>
      </c>
      <c r="P9" s="328" t="s">
        <v>375</v>
      </c>
      <c r="Q9" s="328" t="s">
        <v>376</v>
      </c>
      <c r="S9">
        <f t="shared" si="2"/>
        <v>8</v>
      </c>
      <c r="Y9">
        <f t="shared" si="3"/>
        <v>8</v>
      </c>
      <c r="AE9">
        <f t="shared" si="4"/>
        <v>8</v>
      </c>
      <c r="AK9">
        <f t="shared" si="5"/>
        <v>8</v>
      </c>
      <c r="AQ9">
        <f t="shared" si="6"/>
        <v>8</v>
      </c>
      <c r="AW9">
        <f t="shared" si="7"/>
        <v>8</v>
      </c>
      <c r="BC9">
        <f t="shared" si="8"/>
        <v>8</v>
      </c>
      <c r="BI9">
        <f t="shared" si="9"/>
        <v>8</v>
      </c>
      <c r="BO9">
        <f t="shared" si="10"/>
        <v>8</v>
      </c>
    </row>
    <row r="10" spans="1:71">
      <c r="A10">
        <f t="shared" si="12"/>
        <v>9</v>
      </c>
      <c r="B10" t="s">
        <v>377</v>
      </c>
      <c r="C10" t="s">
        <v>378</v>
      </c>
      <c r="D10" t="s">
        <v>379</v>
      </c>
      <c r="E10" t="s">
        <v>380</v>
      </c>
      <c r="G10">
        <f t="shared" ref="G10:G14" si="13">ROW()-1</f>
        <v>9</v>
      </c>
      <c r="H10" t="s">
        <v>381</v>
      </c>
      <c r="I10" t="s">
        <v>382</v>
      </c>
      <c r="J10" t="s">
        <v>383</v>
      </c>
      <c r="K10" t="s">
        <v>384</v>
      </c>
      <c r="M10">
        <f t="shared" si="1"/>
        <v>9</v>
      </c>
      <c r="N10" t="s">
        <v>385</v>
      </c>
      <c r="O10" s="328" t="s">
        <v>386</v>
      </c>
      <c r="P10" s="328" t="s">
        <v>387</v>
      </c>
      <c r="Q10" s="328" t="s">
        <v>388</v>
      </c>
      <c r="S10">
        <f t="shared" si="2"/>
        <v>9</v>
      </c>
      <c r="Y10">
        <f t="shared" si="3"/>
        <v>9</v>
      </c>
      <c r="AE10">
        <f t="shared" si="4"/>
        <v>9</v>
      </c>
      <c r="AK10">
        <f t="shared" si="5"/>
        <v>9</v>
      </c>
      <c r="AQ10">
        <f t="shared" si="6"/>
        <v>9</v>
      </c>
      <c r="AW10">
        <f t="shared" si="7"/>
        <v>9</v>
      </c>
      <c r="BC10">
        <f t="shared" si="8"/>
        <v>9</v>
      </c>
      <c r="BI10">
        <f t="shared" si="9"/>
        <v>9</v>
      </c>
      <c r="BO10">
        <f t="shared" si="10"/>
        <v>9</v>
      </c>
    </row>
    <row r="11" spans="1:71">
      <c r="A11">
        <f t="shared" si="12"/>
        <v>10</v>
      </c>
      <c r="B11" t="s">
        <v>389</v>
      </c>
      <c r="C11" t="s">
        <v>390</v>
      </c>
      <c r="D11" t="s">
        <v>391</v>
      </c>
      <c r="E11" t="s">
        <v>392</v>
      </c>
      <c r="G11">
        <f t="shared" si="13"/>
        <v>10</v>
      </c>
      <c r="H11" t="s">
        <v>393</v>
      </c>
      <c r="I11" t="s">
        <v>394</v>
      </c>
      <c r="J11" t="s">
        <v>395</v>
      </c>
      <c r="K11" t="s">
        <v>396</v>
      </c>
      <c r="M11">
        <f t="shared" si="1"/>
        <v>10</v>
      </c>
      <c r="N11" t="s">
        <v>397</v>
      </c>
      <c r="O11" s="328" t="s">
        <v>398</v>
      </c>
      <c r="P11" s="328" t="s">
        <v>399</v>
      </c>
      <c r="Q11" s="328" t="s">
        <v>400</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c r="A12">
        <f t="shared" si="12"/>
        <v>11</v>
      </c>
      <c r="B12" t="s">
        <v>401</v>
      </c>
      <c r="C12" t="s">
        <v>402</v>
      </c>
      <c r="D12" t="s">
        <v>403</v>
      </c>
      <c r="E12" t="s">
        <v>404</v>
      </c>
      <c r="G12">
        <f t="shared" si="13"/>
        <v>11</v>
      </c>
      <c r="H12" t="s">
        <v>405</v>
      </c>
      <c r="I12" t="s">
        <v>406</v>
      </c>
      <c r="J12" t="s">
        <v>407</v>
      </c>
      <c r="K12" t="s">
        <v>408</v>
      </c>
      <c r="M12">
        <f t="shared" si="1"/>
        <v>11</v>
      </c>
      <c r="N12" t="s">
        <v>409</v>
      </c>
      <c r="O12" s="328" t="s">
        <v>410</v>
      </c>
      <c r="P12" s="328" t="s">
        <v>411</v>
      </c>
      <c r="Q12" s="328" t="s">
        <v>412</v>
      </c>
      <c r="S12">
        <f t="shared" si="2"/>
        <v>11</v>
      </c>
      <c r="T12" t="s">
        <v>413</v>
      </c>
      <c r="U12" t="s">
        <v>414</v>
      </c>
      <c r="V12" t="s">
        <v>415</v>
      </c>
      <c r="W12" t="s">
        <v>416</v>
      </c>
      <c r="Y12">
        <f t="shared" si="3"/>
        <v>11</v>
      </c>
      <c r="Z12" t="s">
        <v>417</v>
      </c>
      <c r="AA12" t="s">
        <v>417</v>
      </c>
      <c r="AB12" t="s">
        <v>417</v>
      </c>
      <c r="AC12" t="s">
        <v>417</v>
      </c>
      <c r="AE12">
        <f t="shared" si="4"/>
        <v>11</v>
      </c>
      <c r="AF12" t="s">
        <v>413</v>
      </c>
      <c r="AG12" t="s">
        <v>414</v>
      </c>
      <c r="AH12" t="s">
        <v>415</v>
      </c>
      <c r="AI12" t="s">
        <v>416</v>
      </c>
      <c r="AK12">
        <f t="shared" si="5"/>
        <v>11</v>
      </c>
      <c r="AL12" t="s">
        <v>418</v>
      </c>
      <c r="AM12" t="s">
        <v>418</v>
      </c>
      <c r="AN12" t="s">
        <v>418</v>
      </c>
      <c r="AO12" t="s">
        <v>418</v>
      </c>
      <c r="AQ12">
        <f t="shared" si="6"/>
        <v>11</v>
      </c>
      <c r="AR12" t="s">
        <v>419</v>
      </c>
      <c r="AS12" t="s">
        <v>420</v>
      </c>
      <c r="AT12" t="s">
        <v>421</v>
      </c>
      <c r="AU12" t="s">
        <v>422</v>
      </c>
      <c r="AW12">
        <f t="shared" si="7"/>
        <v>11</v>
      </c>
      <c r="AX12" t="s">
        <v>423</v>
      </c>
      <c r="AY12" t="s">
        <v>424</v>
      </c>
      <c r="AZ12" t="s">
        <v>425</v>
      </c>
      <c r="BA12" t="s">
        <v>426</v>
      </c>
      <c r="BC12">
        <f t="shared" si="8"/>
        <v>11</v>
      </c>
      <c r="BD12" t="s">
        <v>427</v>
      </c>
      <c r="BE12" t="s">
        <v>428</v>
      </c>
      <c r="BF12" t="s">
        <v>429</v>
      </c>
      <c r="BG12" t="s">
        <v>430</v>
      </c>
      <c r="BI12">
        <f t="shared" si="9"/>
        <v>11</v>
      </c>
      <c r="BJ12" t="s">
        <v>431</v>
      </c>
      <c r="BK12" t="s">
        <v>432</v>
      </c>
      <c r="BL12" t="s">
        <v>433</v>
      </c>
      <c r="BM12" t="s">
        <v>344</v>
      </c>
      <c r="BO12">
        <f t="shared" si="10"/>
        <v>11</v>
      </c>
      <c r="BP12" t="s">
        <v>434</v>
      </c>
      <c r="BQ12" t="s">
        <v>435</v>
      </c>
      <c r="BR12" t="s">
        <v>436</v>
      </c>
      <c r="BS12" t="s">
        <v>437</v>
      </c>
    </row>
    <row r="13" spans="1:71">
      <c r="A13">
        <f t="shared" si="12"/>
        <v>12</v>
      </c>
      <c r="B13" t="s">
        <v>438</v>
      </c>
      <c r="C13" t="s">
        <v>439</v>
      </c>
      <c r="D13" t="s">
        <v>440</v>
      </c>
      <c r="E13" t="s">
        <v>441</v>
      </c>
      <c r="G13">
        <f t="shared" si="13"/>
        <v>12</v>
      </c>
      <c r="H13" t="s">
        <v>442</v>
      </c>
      <c r="I13" t="s">
        <v>443</v>
      </c>
      <c r="J13" t="s">
        <v>444</v>
      </c>
      <c r="K13" t="s">
        <v>445</v>
      </c>
      <c r="M13">
        <f t="shared" si="1"/>
        <v>12</v>
      </c>
      <c r="O13" s="328"/>
      <c r="P13" s="328"/>
      <c r="Q13" s="328"/>
      <c r="S13">
        <f t="shared" si="2"/>
        <v>12</v>
      </c>
      <c r="T13" t="s">
        <v>446</v>
      </c>
      <c r="U13" t="s">
        <v>446</v>
      </c>
      <c r="V13" t="s">
        <v>446</v>
      </c>
      <c r="W13" t="s">
        <v>446</v>
      </c>
      <c r="Y13">
        <f t="shared" si="3"/>
        <v>12</v>
      </c>
      <c r="Z13" t="s">
        <v>447</v>
      </c>
      <c r="AA13" t="s">
        <v>448</v>
      </c>
      <c r="AB13" t="s">
        <v>449</v>
      </c>
      <c r="AC13" t="s">
        <v>450</v>
      </c>
      <c r="AE13">
        <f t="shared" si="4"/>
        <v>12</v>
      </c>
      <c r="AF13" t="s">
        <v>446</v>
      </c>
      <c r="AG13" t="s">
        <v>446</v>
      </c>
      <c r="AH13" t="s">
        <v>446</v>
      </c>
      <c r="AI13" t="s">
        <v>446</v>
      </c>
      <c r="AK13">
        <f t="shared" si="5"/>
        <v>12</v>
      </c>
      <c r="AL13" t="s">
        <v>446</v>
      </c>
      <c r="AM13" t="s">
        <v>446</v>
      </c>
      <c r="AN13" t="s">
        <v>446</v>
      </c>
      <c r="AO13" t="s">
        <v>446</v>
      </c>
      <c r="AQ13">
        <f t="shared" si="6"/>
        <v>12</v>
      </c>
      <c r="AR13" t="s">
        <v>451</v>
      </c>
      <c r="AS13" t="s">
        <v>452</v>
      </c>
      <c r="AT13" t="s">
        <v>453</v>
      </c>
      <c r="AU13" t="s">
        <v>454</v>
      </c>
      <c r="AW13">
        <f t="shared" si="7"/>
        <v>12</v>
      </c>
      <c r="AX13" t="s">
        <v>455</v>
      </c>
      <c r="AY13" t="s">
        <v>456</v>
      </c>
      <c r="AZ13" t="s">
        <v>457</v>
      </c>
      <c r="BA13" t="s">
        <v>458</v>
      </c>
      <c r="BC13">
        <f t="shared" si="8"/>
        <v>12</v>
      </c>
      <c r="BD13" t="s">
        <v>459</v>
      </c>
      <c r="BE13" t="s">
        <v>460</v>
      </c>
      <c r="BF13" t="s">
        <v>461</v>
      </c>
      <c r="BG13" t="s">
        <v>462</v>
      </c>
      <c r="BI13">
        <f t="shared" si="9"/>
        <v>12</v>
      </c>
      <c r="BJ13" t="s">
        <v>463</v>
      </c>
      <c r="BK13" t="s">
        <v>464</v>
      </c>
      <c r="BL13" t="s">
        <v>465</v>
      </c>
      <c r="BM13" t="s">
        <v>466</v>
      </c>
      <c r="BO13">
        <f t="shared" si="10"/>
        <v>12</v>
      </c>
      <c r="BP13" t="s">
        <v>459</v>
      </c>
      <c r="BQ13" t="s">
        <v>460</v>
      </c>
      <c r="BR13" t="s">
        <v>467</v>
      </c>
      <c r="BS13" t="s">
        <v>462</v>
      </c>
    </row>
    <row r="14" spans="1:71">
      <c r="A14">
        <f t="shared" ref="A14:A17" si="14">ROW()-1</f>
        <v>13</v>
      </c>
      <c r="B14" t="s">
        <v>468</v>
      </c>
      <c r="C14" t="s">
        <v>469</v>
      </c>
      <c r="D14" t="s">
        <v>470</v>
      </c>
      <c r="E14" t="s">
        <v>471</v>
      </c>
      <c r="G14">
        <f t="shared" si="13"/>
        <v>13</v>
      </c>
      <c r="H14" t="s">
        <v>472</v>
      </c>
      <c r="I14" t="s">
        <v>473</v>
      </c>
      <c r="J14" t="s">
        <v>474</v>
      </c>
      <c r="K14" t="s">
        <v>475</v>
      </c>
      <c r="M14">
        <f t="shared" si="1"/>
        <v>13</v>
      </c>
      <c r="O14" s="328"/>
      <c r="P14" s="328"/>
      <c r="Q14" s="328"/>
      <c r="S14">
        <f t="shared" si="2"/>
        <v>13</v>
      </c>
      <c r="Y14">
        <f t="shared" si="3"/>
        <v>13</v>
      </c>
      <c r="AE14">
        <f t="shared" si="4"/>
        <v>13</v>
      </c>
      <c r="AF14" t="s">
        <v>459</v>
      </c>
      <c r="AG14" t="s">
        <v>460</v>
      </c>
      <c r="AH14" t="s">
        <v>467</v>
      </c>
      <c r="AI14" t="s">
        <v>462</v>
      </c>
      <c r="AK14">
        <f t="shared" si="5"/>
        <v>13</v>
      </c>
      <c r="AQ14">
        <f t="shared" si="6"/>
        <v>13</v>
      </c>
      <c r="AR14" t="s">
        <v>476</v>
      </c>
      <c r="AS14" t="s">
        <v>477</v>
      </c>
      <c r="AT14" t="s">
        <v>478</v>
      </c>
      <c r="AU14" t="s">
        <v>479</v>
      </c>
      <c r="AW14">
        <f t="shared" si="7"/>
        <v>13</v>
      </c>
      <c r="AX14" t="s">
        <v>446</v>
      </c>
      <c r="AY14" t="s">
        <v>446</v>
      </c>
      <c r="AZ14" t="s">
        <v>446</v>
      </c>
      <c r="BA14" t="s">
        <v>446</v>
      </c>
      <c r="BC14">
        <f t="shared" si="8"/>
        <v>13</v>
      </c>
      <c r="BD14" t="s">
        <v>413</v>
      </c>
      <c r="BE14" t="s">
        <v>414</v>
      </c>
      <c r="BF14" t="s">
        <v>415</v>
      </c>
      <c r="BG14" t="s">
        <v>416</v>
      </c>
      <c r="BI14">
        <f t="shared" si="9"/>
        <v>13</v>
      </c>
      <c r="BJ14" t="s">
        <v>434</v>
      </c>
      <c r="BK14" t="s">
        <v>435</v>
      </c>
      <c r="BL14" t="s">
        <v>436</v>
      </c>
      <c r="BM14" t="s">
        <v>437</v>
      </c>
      <c r="BO14">
        <f t="shared" si="10"/>
        <v>13</v>
      </c>
      <c r="BP14" t="s">
        <v>480</v>
      </c>
      <c r="BQ14" t="s">
        <v>481</v>
      </c>
      <c r="BR14" t="s">
        <v>482</v>
      </c>
      <c r="BS14" t="s">
        <v>483</v>
      </c>
    </row>
    <row r="15" spans="1:71">
      <c r="A15">
        <f t="shared" si="14"/>
        <v>14</v>
      </c>
      <c r="B15" t="s">
        <v>484</v>
      </c>
      <c r="C15" t="s">
        <v>484</v>
      </c>
      <c r="D15" t="s">
        <v>485</v>
      </c>
      <c r="E15" t="s">
        <v>486</v>
      </c>
      <c r="G15">
        <f t="shared" ref="G15:G20" si="15">ROW()-1</f>
        <v>14</v>
      </c>
      <c r="H15" t="s">
        <v>487</v>
      </c>
      <c r="I15" t="s">
        <v>488</v>
      </c>
      <c r="J15" t="s">
        <v>489</v>
      </c>
      <c r="K15" t="s">
        <v>490</v>
      </c>
      <c r="M15">
        <f t="shared" si="1"/>
        <v>14</v>
      </c>
      <c r="O15" s="328"/>
      <c r="P15" s="328"/>
      <c r="Q15" s="328"/>
      <c r="S15">
        <f t="shared" si="2"/>
        <v>14</v>
      </c>
      <c r="Y15">
        <f t="shared" si="3"/>
        <v>14</v>
      </c>
      <c r="AE15">
        <f t="shared" si="4"/>
        <v>14</v>
      </c>
      <c r="AF15" t="s">
        <v>491</v>
      </c>
      <c r="AG15" t="s">
        <v>492</v>
      </c>
      <c r="AH15" t="s">
        <v>493</v>
      </c>
      <c r="AI15" t="s">
        <v>494</v>
      </c>
      <c r="AK15">
        <f t="shared" si="5"/>
        <v>14</v>
      </c>
      <c r="AQ15">
        <f t="shared" si="6"/>
        <v>14</v>
      </c>
      <c r="AR15" t="s">
        <v>495</v>
      </c>
      <c r="AS15" t="s">
        <v>496</v>
      </c>
      <c r="AT15" t="s">
        <v>497</v>
      </c>
      <c r="AU15" t="s">
        <v>498</v>
      </c>
      <c r="AW15">
        <f t="shared" si="7"/>
        <v>14</v>
      </c>
      <c r="AX15" t="s">
        <v>499</v>
      </c>
      <c r="AY15" t="s">
        <v>500</v>
      </c>
      <c r="AZ15" t="s">
        <v>500</v>
      </c>
      <c r="BA15" t="s">
        <v>499</v>
      </c>
      <c r="BC15">
        <f t="shared" si="8"/>
        <v>14</v>
      </c>
      <c r="BD15" t="s">
        <v>501</v>
      </c>
      <c r="BE15" t="s">
        <v>502</v>
      </c>
      <c r="BF15" t="s">
        <v>503</v>
      </c>
      <c r="BG15" t="s">
        <v>504</v>
      </c>
      <c r="BI15">
        <f t="shared" si="9"/>
        <v>14</v>
      </c>
      <c r="BJ15" t="s">
        <v>459</v>
      </c>
      <c r="BK15" t="s">
        <v>460</v>
      </c>
      <c r="BL15" t="s">
        <v>505</v>
      </c>
      <c r="BM15" t="s">
        <v>462</v>
      </c>
      <c r="BO15">
        <f t="shared" si="10"/>
        <v>14</v>
      </c>
    </row>
    <row r="16" spans="1:71">
      <c r="A16">
        <f t="shared" si="14"/>
        <v>15</v>
      </c>
      <c r="B16" t="s">
        <v>506</v>
      </c>
      <c r="C16" t="s">
        <v>507</v>
      </c>
      <c r="D16" t="s">
        <v>508</v>
      </c>
      <c r="E16" t="s">
        <v>507</v>
      </c>
      <c r="G16">
        <f t="shared" si="15"/>
        <v>15</v>
      </c>
      <c r="H16" t="s">
        <v>509</v>
      </c>
      <c r="I16" t="s">
        <v>510</v>
      </c>
      <c r="J16" t="s">
        <v>511</v>
      </c>
      <c r="K16" t="s">
        <v>512</v>
      </c>
      <c r="M16">
        <f t="shared" si="1"/>
        <v>15</v>
      </c>
      <c r="O16" s="328"/>
      <c r="P16" s="328"/>
      <c r="Q16" s="328"/>
      <c r="S16">
        <f t="shared" si="2"/>
        <v>15</v>
      </c>
      <c r="Y16">
        <f t="shared" si="3"/>
        <v>15</v>
      </c>
      <c r="AE16">
        <f t="shared" si="4"/>
        <v>15</v>
      </c>
      <c r="AF16" t="s">
        <v>513</v>
      </c>
      <c r="AG16" t="s">
        <v>514</v>
      </c>
      <c r="AH16" t="s">
        <v>515</v>
      </c>
      <c r="AI16" t="s">
        <v>516</v>
      </c>
      <c r="AK16">
        <f t="shared" si="5"/>
        <v>15</v>
      </c>
      <c r="AQ16">
        <f t="shared" si="6"/>
        <v>15</v>
      </c>
      <c r="AR16" t="s">
        <v>446</v>
      </c>
      <c r="AS16" t="s">
        <v>446</v>
      </c>
      <c r="AT16" t="s">
        <v>446</v>
      </c>
      <c r="AU16" t="s">
        <v>446</v>
      </c>
      <c r="AW16">
        <f t="shared" si="7"/>
        <v>15</v>
      </c>
      <c r="BC16">
        <f t="shared" si="8"/>
        <v>15</v>
      </c>
      <c r="BD16" t="s">
        <v>517</v>
      </c>
      <c r="BE16" t="s">
        <v>518</v>
      </c>
      <c r="BF16" t="s">
        <v>519</v>
      </c>
      <c r="BG16" t="s">
        <v>520</v>
      </c>
      <c r="BI16">
        <f t="shared" si="9"/>
        <v>15</v>
      </c>
      <c r="BJ16" t="s">
        <v>521</v>
      </c>
      <c r="BK16" t="s">
        <v>522</v>
      </c>
      <c r="BL16" t="s">
        <v>523</v>
      </c>
      <c r="BM16" t="s">
        <v>522</v>
      </c>
      <c r="BO16">
        <f t="shared" si="10"/>
        <v>15</v>
      </c>
    </row>
    <row r="17" spans="1:71">
      <c r="A17">
        <f t="shared" si="14"/>
        <v>16</v>
      </c>
      <c r="B17" t="s">
        <v>524</v>
      </c>
      <c r="C17" t="s">
        <v>525</v>
      </c>
      <c r="D17" t="s">
        <v>526</v>
      </c>
      <c r="E17" t="s">
        <v>527</v>
      </c>
      <c r="G17">
        <f t="shared" si="15"/>
        <v>16</v>
      </c>
      <c r="H17" t="s">
        <v>528</v>
      </c>
      <c r="I17" t="s">
        <v>529</v>
      </c>
      <c r="J17" t="s">
        <v>530</v>
      </c>
      <c r="K17" t="s">
        <v>531</v>
      </c>
      <c r="M17">
        <f t="shared" si="1"/>
        <v>16</v>
      </c>
      <c r="O17" s="328"/>
      <c r="P17" s="328"/>
      <c r="Q17" s="328"/>
      <c r="S17">
        <f t="shared" si="2"/>
        <v>16</v>
      </c>
      <c r="Y17">
        <f t="shared" si="3"/>
        <v>16</v>
      </c>
      <c r="AE17">
        <f t="shared" si="4"/>
        <v>16</v>
      </c>
      <c r="AF17" t="s">
        <v>431</v>
      </c>
      <c r="AG17" t="s">
        <v>432</v>
      </c>
      <c r="AH17" t="s">
        <v>532</v>
      </c>
      <c r="AI17" t="s">
        <v>344</v>
      </c>
      <c r="AK17">
        <f t="shared" si="5"/>
        <v>16</v>
      </c>
      <c r="AQ17">
        <f t="shared" si="6"/>
        <v>16</v>
      </c>
      <c r="AR17" t="s">
        <v>533</v>
      </c>
      <c r="AS17" t="s">
        <v>534</v>
      </c>
      <c r="AT17" t="s">
        <v>533</v>
      </c>
      <c r="AU17" t="s">
        <v>533</v>
      </c>
      <c r="AW17">
        <f t="shared" si="7"/>
        <v>16</v>
      </c>
      <c r="BC17">
        <f t="shared" si="8"/>
        <v>16</v>
      </c>
      <c r="BI17">
        <f t="shared" si="9"/>
        <v>16</v>
      </c>
      <c r="BO17">
        <f t="shared" si="10"/>
        <v>16</v>
      </c>
    </row>
    <row r="18" spans="1:71">
      <c r="A18">
        <f t="shared" ref="A18:A31" si="16">ROW()-1</f>
        <v>17</v>
      </c>
      <c r="B18" t="s">
        <v>535</v>
      </c>
      <c r="C18" t="s">
        <v>536</v>
      </c>
      <c r="D18" t="s">
        <v>537</v>
      </c>
      <c r="E18" t="s">
        <v>538</v>
      </c>
      <c r="G18">
        <f t="shared" si="15"/>
        <v>17</v>
      </c>
      <c r="H18" t="s">
        <v>539</v>
      </c>
      <c r="I18" t="s">
        <v>540</v>
      </c>
      <c r="J18" t="s">
        <v>541</v>
      </c>
      <c r="K18" t="s">
        <v>542</v>
      </c>
      <c r="M18">
        <f t="shared" si="1"/>
        <v>17</v>
      </c>
      <c r="O18" s="328"/>
      <c r="P18" s="328"/>
      <c r="Q18" s="328"/>
      <c r="S18">
        <f t="shared" si="2"/>
        <v>17</v>
      </c>
      <c r="Y18">
        <f t="shared" si="3"/>
        <v>17</v>
      </c>
      <c r="AE18">
        <f t="shared" si="4"/>
        <v>17</v>
      </c>
      <c r="AF18" t="s">
        <v>499</v>
      </c>
      <c r="AG18" t="s">
        <v>500</v>
      </c>
      <c r="AH18" t="s">
        <v>500</v>
      </c>
      <c r="AI18" t="s">
        <v>499</v>
      </c>
      <c r="AK18">
        <f t="shared" si="5"/>
        <v>17</v>
      </c>
      <c r="AQ18">
        <f t="shared" si="6"/>
        <v>17</v>
      </c>
      <c r="AR18" t="s">
        <v>543</v>
      </c>
      <c r="AS18" t="s">
        <v>544</v>
      </c>
      <c r="AT18" t="s">
        <v>543</v>
      </c>
      <c r="AU18" t="s">
        <v>543</v>
      </c>
      <c r="AW18">
        <f t="shared" si="7"/>
        <v>17</v>
      </c>
      <c r="BC18">
        <f t="shared" si="8"/>
        <v>17</v>
      </c>
      <c r="BI18">
        <f t="shared" si="9"/>
        <v>17</v>
      </c>
      <c r="BO18">
        <f t="shared" si="10"/>
        <v>17</v>
      </c>
    </row>
    <row r="19" spans="1:71">
      <c r="A19">
        <f t="shared" si="16"/>
        <v>18</v>
      </c>
      <c r="B19" t="s">
        <v>545</v>
      </c>
      <c r="C19" t="s">
        <v>546</v>
      </c>
      <c r="D19" t="s">
        <v>547</v>
      </c>
      <c r="E19" t="s">
        <v>548</v>
      </c>
      <c r="G19">
        <f t="shared" si="15"/>
        <v>18</v>
      </c>
      <c r="H19" t="s">
        <v>549</v>
      </c>
      <c r="I19" t="s">
        <v>550</v>
      </c>
      <c r="J19" t="s">
        <v>551</v>
      </c>
      <c r="K19" t="s">
        <v>552</v>
      </c>
      <c r="M19">
        <f t="shared" si="1"/>
        <v>18</v>
      </c>
      <c r="O19" s="328"/>
      <c r="P19" s="328"/>
      <c r="Q19" s="328"/>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7">
      <c r="A20">
        <f t="shared" si="16"/>
        <v>19</v>
      </c>
      <c r="B20" t="s">
        <v>553</v>
      </c>
      <c r="C20" t="s">
        <v>554</v>
      </c>
      <c r="D20" t="s">
        <v>555</v>
      </c>
      <c r="E20" t="s">
        <v>556</v>
      </c>
      <c r="G20">
        <f t="shared" si="15"/>
        <v>19</v>
      </c>
      <c r="H20" t="s">
        <v>557</v>
      </c>
      <c r="I20" t="s">
        <v>558</v>
      </c>
      <c r="J20" t="s">
        <v>559</v>
      </c>
      <c r="K20" t="s">
        <v>560</v>
      </c>
      <c r="M20">
        <f t="shared" si="1"/>
        <v>19</v>
      </c>
      <c r="O20" s="328"/>
      <c r="P20" s="328"/>
      <c r="Q20" s="328"/>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c r="A21">
        <f t="shared" si="16"/>
        <v>20</v>
      </c>
      <c r="B21" t="s">
        <v>561</v>
      </c>
      <c r="C21" t="s">
        <v>562</v>
      </c>
      <c r="D21" t="s">
        <v>563</v>
      </c>
      <c r="E21" t="s">
        <v>564</v>
      </c>
      <c r="M21">
        <f t="shared" si="1"/>
        <v>20</v>
      </c>
      <c r="O21" s="328"/>
      <c r="P21" s="328"/>
      <c r="Q21" s="328"/>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c r="A22">
        <f t="shared" si="16"/>
        <v>21</v>
      </c>
      <c r="B22" t="s">
        <v>565</v>
      </c>
      <c r="C22" t="s">
        <v>566</v>
      </c>
      <c r="D22" t="s">
        <v>567</v>
      </c>
      <c r="E22" t="s">
        <v>568</v>
      </c>
      <c r="M22">
        <f t="shared" si="1"/>
        <v>21</v>
      </c>
      <c r="N22" t="s">
        <v>446</v>
      </c>
      <c r="O22" s="328" t="s">
        <v>446</v>
      </c>
      <c r="P22" s="328" t="s">
        <v>446</v>
      </c>
      <c r="Q22" s="328" t="s">
        <v>446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c r="A23">
        <f t="shared" si="16"/>
        <v>22</v>
      </c>
      <c r="B23" t="s">
        <v>569</v>
      </c>
      <c r="C23" t="s">
        <v>570</v>
      </c>
      <c r="D23" t="s">
        <v>571</v>
      </c>
      <c r="E23" t="s">
        <v>570</v>
      </c>
      <c r="M23">
        <f t="shared" si="1"/>
        <v>22</v>
      </c>
      <c r="N23" t="s">
        <v>413</v>
      </c>
      <c r="O23" s="328" t="s">
        <v>414</v>
      </c>
      <c r="P23" s="328" t="s">
        <v>415</v>
      </c>
      <c r="Q23" s="328" t="s">
        <v>416</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c r="A24">
        <f t="shared" si="16"/>
        <v>23</v>
      </c>
      <c r="B24" t="s">
        <v>572</v>
      </c>
      <c r="C24" t="s">
        <v>573</v>
      </c>
      <c r="D24" t="s">
        <v>574</v>
      </c>
      <c r="E24" t="s">
        <v>575</v>
      </c>
      <c r="M24">
        <f t="shared" si="1"/>
        <v>23</v>
      </c>
      <c r="N24" t="s">
        <v>576</v>
      </c>
      <c r="O24" s="328" t="s">
        <v>577</v>
      </c>
      <c r="P24" s="328" t="s">
        <v>578</v>
      </c>
      <c r="Q24" s="328" t="s">
        <v>579</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c r="A25">
        <f t="shared" si="16"/>
        <v>24</v>
      </c>
      <c r="B25" t="s">
        <v>580</v>
      </c>
      <c r="C25" t="s">
        <v>581</v>
      </c>
      <c r="D25" t="s">
        <v>582</v>
      </c>
      <c r="E25" t="s">
        <v>583</v>
      </c>
      <c r="M25">
        <f t="shared" si="1"/>
        <v>24</v>
      </c>
      <c r="N25" t="s">
        <v>495</v>
      </c>
      <c r="O25" s="328" t="s">
        <v>584</v>
      </c>
      <c r="P25" s="328" t="s">
        <v>585</v>
      </c>
      <c r="Q25" s="328" t="s">
        <v>586</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c r="A26">
        <f t="shared" si="16"/>
        <v>25</v>
      </c>
      <c r="B26" t="s">
        <v>587</v>
      </c>
      <c r="C26" t="s">
        <v>588</v>
      </c>
      <c r="D26" t="s">
        <v>589</v>
      </c>
      <c r="E26" t="s">
        <v>590</v>
      </c>
      <c r="M26">
        <f t="shared" si="1"/>
        <v>25</v>
      </c>
      <c r="N26" t="s">
        <v>591</v>
      </c>
      <c r="O26" s="328" t="s">
        <v>592</v>
      </c>
      <c r="P26" s="328" t="s">
        <v>593</v>
      </c>
      <c r="Q26" s="328" t="s">
        <v>594</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c r="A27">
        <f t="shared" si="16"/>
        <v>26</v>
      </c>
      <c r="B27" t="s">
        <v>595</v>
      </c>
      <c r="C27" t="s">
        <v>596</v>
      </c>
      <c r="D27" t="s">
        <v>597</v>
      </c>
      <c r="E27" t="s">
        <v>598</v>
      </c>
      <c r="M27">
        <f t="shared" si="1"/>
        <v>26</v>
      </c>
      <c r="N27" t="s">
        <v>599</v>
      </c>
      <c r="O27" s="328" t="s">
        <v>600</v>
      </c>
      <c r="P27" s="328" t="s">
        <v>601</v>
      </c>
      <c r="Q27" s="328" t="s">
        <v>602</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c r="A28">
        <f t="shared" si="16"/>
        <v>27</v>
      </c>
      <c r="B28" t="s">
        <v>603</v>
      </c>
      <c r="C28" t="s">
        <v>604</v>
      </c>
      <c r="D28" t="s">
        <v>605</v>
      </c>
      <c r="E28" t="s">
        <v>606</v>
      </c>
      <c r="M28">
        <f t="shared" si="1"/>
        <v>27</v>
      </c>
      <c r="N28" t="s">
        <v>607</v>
      </c>
      <c r="O28" s="328" t="s">
        <v>608</v>
      </c>
      <c r="P28" s="328" t="s">
        <v>609</v>
      </c>
      <c r="Q28" s="328" t="s">
        <v>610</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c r="A29">
        <f t="shared" si="16"/>
        <v>28</v>
      </c>
      <c r="B29" t="s">
        <v>611</v>
      </c>
      <c r="C29" t="s">
        <v>612</v>
      </c>
      <c r="D29" t="s">
        <v>613</v>
      </c>
      <c r="E29" t="s">
        <v>614</v>
      </c>
      <c r="M29">
        <f t="shared" si="1"/>
        <v>28</v>
      </c>
      <c r="N29" t="s">
        <v>459</v>
      </c>
      <c r="O29" s="328" t="s">
        <v>460</v>
      </c>
      <c r="P29" s="328" t="s">
        <v>505</v>
      </c>
      <c r="Q29" s="328" t="s">
        <v>462</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c r="A30">
        <f t="shared" si="16"/>
        <v>29</v>
      </c>
      <c r="B30" t="s">
        <v>615</v>
      </c>
      <c r="C30" t="s">
        <v>616</v>
      </c>
      <c r="D30" t="s">
        <v>617</v>
      </c>
      <c r="E30" t="s">
        <v>618</v>
      </c>
      <c r="M30">
        <f t="shared" si="1"/>
        <v>29</v>
      </c>
      <c r="N30" t="s">
        <v>619</v>
      </c>
      <c r="O30" s="328" t="s">
        <v>620</v>
      </c>
      <c r="P30" s="328" t="s">
        <v>619</v>
      </c>
      <c r="Q30" s="328" t="s">
        <v>619</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c r="A31">
        <f t="shared" si="16"/>
        <v>30</v>
      </c>
      <c r="B31" t="s">
        <v>621</v>
      </c>
      <c r="C31" t="s">
        <v>622</v>
      </c>
      <c r="D31" t="s">
        <v>623</v>
      </c>
      <c r="E31" t="s">
        <v>624</v>
      </c>
      <c r="M31">
        <f t="shared" si="1"/>
        <v>30</v>
      </c>
      <c r="N31" t="s">
        <v>625</v>
      </c>
      <c r="O31" s="328" t="s">
        <v>626</v>
      </c>
      <c r="P31" s="328" t="s">
        <v>627</v>
      </c>
      <c r="Q31" s="328" t="s">
        <v>628</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c r="A32">
        <f>ROW()-1</f>
        <v>31</v>
      </c>
      <c r="B32" t="s">
        <v>629</v>
      </c>
      <c r="C32" t="s">
        <v>630</v>
      </c>
      <c r="D32" t="s">
        <v>631</v>
      </c>
      <c r="E32" t="s">
        <v>632</v>
      </c>
      <c r="M32">
        <f t="shared" si="1"/>
        <v>31</v>
      </c>
      <c r="N32" t="s">
        <v>633</v>
      </c>
      <c r="O32" s="328" t="s">
        <v>634</v>
      </c>
      <c r="P32" s="328" t="s">
        <v>635</v>
      </c>
      <c r="Q32" s="328" t="s">
        <v>636</v>
      </c>
      <c r="S32">
        <f t="shared" si="2"/>
        <v>31</v>
      </c>
      <c r="T32" t="s">
        <v>637</v>
      </c>
      <c r="U32" t="s">
        <v>638</v>
      </c>
      <c r="V32" t="s">
        <v>639</v>
      </c>
      <c r="W32" t="s">
        <v>640</v>
      </c>
      <c r="Y32">
        <f t="shared" si="3"/>
        <v>31</v>
      </c>
      <c r="Z32" t="s">
        <v>641</v>
      </c>
      <c r="AA32" t="s">
        <v>642</v>
      </c>
      <c r="AB32" t="s">
        <v>643</v>
      </c>
      <c r="AC32" t="s">
        <v>644</v>
      </c>
      <c r="AE32">
        <f t="shared" si="4"/>
        <v>31</v>
      </c>
      <c r="AF32" t="s">
        <v>645</v>
      </c>
      <c r="AG32" t="s">
        <v>646</v>
      </c>
      <c r="AH32" t="s">
        <v>647</v>
      </c>
      <c r="AI32" t="s">
        <v>646</v>
      </c>
      <c r="AK32">
        <f t="shared" si="5"/>
        <v>31</v>
      </c>
      <c r="AL32" s="328" t="s">
        <v>648</v>
      </c>
      <c r="AM32" s="328" t="s">
        <v>649</v>
      </c>
      <c r="AN32" s="328" t="s">
        <v>650</v>
      </c>
      <c r="AO32" s="328" t="s">
        <v>651</v>
      </c>
      <c r="AQ32">
        <f t="shared" si="6"/>
        <v>31</v>
      </c>
      <c r="AR32" t="s">
        <v>652</v>
      </c>
      <c r="AS32" t="s">
        <v>653</v>
      </c>
      <c r="AT32" t="s">
        <v>654</v>
      </c>
      <c r="AU32" t="s">
        <v>655</v>
      </c>
      <c r="AW32">
        <f t="shared" si="7"/>
        <v>31</v>
      </c>
      <c r="AX32" t="s">
        <v>656</v>
      </c>
      <c r="AY32" t="s">
        <v>657</v>
      </c>
      <c r="AZ32" t="s">
        <v>658</v>
      </c>
      <c r="BA32" t="s">
        <v>659</v>
      </c>
      <c r="BC32">
        <f t="shared" si="8"/>
        <v>31</v>
      </c>
      <c r="BD32" t="s">
        <v>660</v>
      </c>
      <c r="BE32" t="s">
        <v>661</v>
      </c>
      <c r="BF32" t="s">
        <v>662</v>
      </c>
      <c r="BG32" t="s">
        <v>661</v>
      </c>
      <c r="BI32">
        <f t="shared" si="9"/>
        <v>31</v>
      </c>
      <c r="BJ32" t="s">
        <v>205</v>
      </c>
      <c r="BK32" t="s">
        <v>206</v>
      </c>
      <c r="BL32" t="s">
        <v>207</v>
      </c>
      <c r="BM32" t="s">
        <v>208</v>
      </c>
      <c r="BO32">
        <f t="shared" si="10"/>
        <v>31</v>
      </c>
      <c r="BP32" t="s">
        <v>663</v>
      </c>
      <c r="BQ32" t="s">
        <v>664</v>
      </c>
      <c r="BR32" t="s">
        <v>665</v>
      </c>
      <c r="BS32" t="s">
        <v>666</v>
      </c>
    </row>
    <row r="33" spans="1:71">
      <c r="A33">
        <f t="shared" ref="A33:A36" si="17">ROW()-1</f>
        <v>32</v>
      </c>
      <c r="B33" t="s">
        <v>667</v>
      </c>
      <c r="C33" t="s">
        <v>668</v>
      </c>
      <c r="D33" t="s">
        <v>669</v>
      </c>
      <c r="E33" t="s">
        <v>670</v>
      </c>
      <c r="M33">
        <f t="shared" si="1"/>
        <v>32</v>
      </c>
      <c r="N33" t="s">
        <v>671</v>
      </c>
      <c r="O33" s="328" t="s">
        <v>672</v>
      </c>
      <c r="P33" s="328" t="s">
        <v>671</v>
      </c>
      <c r="Q33" s="328" t="s">
        <v>673</v>
      </c>
      <c r="S33">
        <f t="shared" si="2"/>
        <v>32</v>
      </c>
      <c r="T33" t="s">
        <v>674</v>
      </c>
      <c r="U33" t="s">
        <v>675</v>
      </c>
      <c r="V33" t="s">
        <v>676</v>
      </c>
      <c r="W33" t="s">
        <v>677</v>
      </c>
      <c r="Y33">
        <f t="shared" si="3"/>
        <v>32</v>
      </c>
      <c r="Z33" t="s">
        <v>678</v>
      </c>
      <c r="AA33" t="s">
        <v>679</v>
      </c>
      <c r="AB33" t="s">
        <v>680</v>
      </c>
      <c r="AC33" t="s">
        <v>681</v>
      </c>
      <c r="AE33">
        <f t="shared" si="4"/>
        <v>32</v>
      </c>
      <c r="AF33" t="s">
        <v>682</v>
      </c>
      <c r="AG33" t="s">
        <v>683</v>
      </c>
      <c r="AH33" t="s">
        <v>684</v>
      </c>
      <c r="AI33" t="s">
        <v>685</v>
      </c>
      <c r="AK33">
        <f t="shared" si="5"/>
        <v>32</v>
      </c>
      <c r="AL33" s="328" t="s">
        <v>686</v>
      </c>
      <c r="AM33" s="328" t="s">
        <v>687</v>
      </c>
      <c r="AN33" s="328" t="s">
        <v>688</v>
      </c>
      <c r="AO33" s="328" t="s">
        <v>689</v>
      </c>
      <c r="AQ33">
        <f t="shared" si="6"/>
        <v>32</v>
      </c>
      <c r="AR33" t="s">
        <v>690</v>
      </c>
      <c r="AS33" t="s">
        <v>691</v>
      </c>
      <c r="AT33" t="s">
        <v>692</v>
      </c>
      <c r="AU33" t="s">
        <v>693</v>
      </c>
      <c r="AW33">
        <f t="shared" si="7"/>
        <v>32</v>
      </c>
      <c r="AX33" t="s">
        <v>694</v>
      </c>
      <c r="AY33" t="s">
        <v>695</v>
      </c>
      <c r="AZ33" t="s">
        <v>696</v>
      </c>
      <c r="BA33" t="s">
        <v>697</v>
      </c>
      <c r="BC33">
        <f t="shared" si="8"/>
        <v>32</v>
      </c>
      <c r="BD33" t="s">
        <v>698</v>
      </c>
      <c r="BE33" t="s">
        <v>699</v>
      </c>
      <c r="BF33" t="s">
        <v>700</v>
      </c>
      <c r="BG33" t="s">
        <v>701</v>
      </c>
      <c r="BI33">
        <f t="shared" si="9"/>
        <v>32</v>
      </c>
      <c r="BJ33" t="s">
        <v>702</v>
      </c>
      <c r="BK33" t="s">
        <v>703</v>
      </c>
      <c r="BL33" t="s">
        <v>704</v>
      </c>
      <c r="BM33" t="s">
        <v>705</v>
      </c>
      <c r="BO33">
        <f t="shared" si="10"/>
        <v>32</v>
      </c>
      <c r="BP33" t="s">
        <v>706</v>
      </c>
      <c r="BQ33" t="s">
        <v>707</v>
      </c>
      <c r="BR33" t="s">
        <v>708</v>
      </c>
      <c r="BS33" t="s">
        <v>709</v>
      </c>
    </row>
    <row r="34" spans="1:71">
      <c r="A34">
        <f t="shared" si="17"/>
        <v>33</v>
      </c>
      <c r="B34" t="s">
        <v>710</v>
      </c>
      <c r="C34" t="s">
        <v>711</v>
      </c>
      <c r="D34" t="s">
        <v>712</v>
      </c>
      <c r="E34" t="s">
        <v>713</v>
      </c>
      <c r="M34">
        <f t="shared" si="1"/>
        <v>33</v>
      </c>
      <c r="N34" t="s">
        <v>714</v>
      </c>
      <c r="O34" s="328" t="s">
        <v>715</v>
      </c>
      <c r="P34" s="328" t="s">
        <v>716</v>
      </c>
      <c r="Q34" s="328" t="s">
        <v>717</v>
      </c>
      <c r="S34">
        <f t="shared" si="2"/>
        <v>33</v>
      </c>
      <c r="T34" t="s">
        <v>718</v>
      </c>
      <c r="U34" t="s">
        <v>719</v>
      </c>
      <c r="V34" t="s">
        <v>720</v>
      </c>
      <c r="W34" t="s">
        <v>721</v>
      </c>
      <c r="Y34">
        <f t="shared" si="3"/>
        <v>33</v>
      </c>
      <c r="Z34" t="s">
        <v>722</v>
      </c>
      <c r="AA34" t="s">
        <v>723</v>
      </c>
      <c r="AB34" t="s">
        <v>724</v>
      </c>
      <c r="AC34" t="s">
        <v>725</v>
      </c>
      <c r="AE34">
        <f t="shared" si="4"/>
        <v>33</v>
      </c>
      <c r="AF34" t="s">
        <v>726</v>
      </c>
      <c r="AG34" t="s">
        <v>727</v>
      </c>
      <c r="AH34" t="s">
        <v>728</v>
      </c>
      <c r="AI34" t="s">
        <v>729</v>
      </c>
      <c r="AK34">
        <f t="shared" si="5"/>
        <v>33</v>
      </c>
      <c r="AL34" s="328" t="s">
        <v>730</v>
      </c>
      <c r="AM34" s="328" t="s">
        <v>731</v>
      </c>
      <c r="AN34" s="328" t="s">
        <v>732</v>
      </c>
      <c r="AO34" s="328" t="s">
        <v>733</v>
      </c>
      <c r="AQ34">
        <f t="shared" si="6"/>
        <v>33</v>
      </c>
      <c r="AR34" t="s">
        <v>734</v>
      </c>
      <c r="AS34" t="s">
        <v>735</v>
      </c>
      <c r="AT34" t="s">
        <v>736</v>
      </c>
      <c r="AU34" t="s">
        <v>737</v>
      </c>
      <c r="AW34">
        <f t="shared" si="7"/>
        <v>33</v>
      </c>
      <c r="AX34" t="s">
        <v>738</v>
      </c>
      <c r="AY34" t="s">
        <v>738</v>
      </c>
      <c r="AZ34" t="s">
        <v>739</v>
      </c>
      <c r="BA34" t="s">
        <v>738</v>
      </c>
      <c r="BC34">
        <f t="shared" si="8"/>
        <v>33</v>
      </c>
      <c r="BD34" t="s">
        <v>740</v>
      </c>
      <c r="BE34" t="s">
        <v>741</v>
      </c>
      <c r="BF34" t="s">
        <v>742</v>
      </c>
      <c r="BG34" t="s">
        <v>743</v>
      </c>
      <c r="BI34">
        <f t="shared" si="9"/>
        <v>33</v>
      </c>
      <c r="BJ34" t="s">
        <v>744</v>
      </c>
      <c r="BK34" t="s">
        <v>745</v>
      </c>
      <c r="BL34" t="s">
        <v>746</v>
      </c>
      <c r="BM34" t="s">
        <v>747</v>
      </c>
      <c r="BO34">
        <f t="shared" si="10"/>
        <v>33</v>
      </c>
      <c r="BP34" t="s">
        <v>748</v>
      </c>
      <c r="BQ34" t="s">
        <v>749</v>
      </c>
      <c r="BR34" t="s">
        <v>750</v>
      </c>
      <c r="BS34" t="s">
        <v>751</v>
      </c>
    </row>
    <row r="35" spans="1:71">
      <c r="A35">
        <f t="shared" si="17"/>
        <v>34</v>
      </c>
      <c r="B35" t="s">
        <v>752</v>
      </c>
      <c r="C35" t="s">
        <v>752</v>
      </c>
      <c r="D35" t="s">
        <v>752</v>
      </c>
      <c r="E35" t="s">
        <v>752</v>
      </c>
      <c r="M35">
        <f t="shared" si="1"/>
        <v>34</v>
      </c>
      <c r="N35" t="s">
        <v>513</v>
      </c>
      <c r="O35" s="328" t="s">
        <v>514</v>
      </c>
      <c r="P35" s="328" t="s">
        <v>753</v>
      </c>
      <c r="Q35" s="328" t="s">
        <v>516</v>
      </c>
      <c r="S35">
        <f t="shared" si="2"/>
        <v>34</v>
      </c>
      <c r="T35" t="s">
        <v>754</v>
      </c>
      <c r="U35" t="s">
        <v>755</v>
      </c>
      <c r="V35" t="s">
        <v>756</v>
      </c>
      <c r="W35" t="s">
        <v>757</v>
      </c>
      <c r="Y35">
        <f t="shared" si="3"/>
        <v>34</v>
      </c>
      <c r="Z35" t="s">
        <v>758</v>
      </c>
      <c r="AA35" t="s">
        <v>759</v>
      </c>
      <c r="AB35" t="s">
        <v>760</v>
      </c>
      <c r="AC35" t="s">
        <v>761</v>
      </c>
      <c r="AE35">
        <f t="shared" si="4"/>
        <v>34</v>
      </c>
      <c r="AF35" t="s">
        <v>762</v>
      </c>
      <c r="AG35" t="s">
        <v>763</v>
      </c>
      <c r="AH35" t="s">
        <v>764</v>
      </c>
      <c r="AI35" t="s">
        <v>765</v>
      </c>
      <c r="AK35">
        <f t="shared" si="5"/>
        <v>34</v>
      </c>
      <c r="AL35" t="s">
        <v>766</v>
      </c>
      <c r="AM35" t="s">
        <v>767</v>
      </c>
      <c r="AN35" t="s">
        <v>768</v>
      </c>
      <c r="AO35" t="s">
        <v>769</v>
      </c>
      <c r="AQ35">
        <f t="shared" si="6"/>
        <v>34</v>
      </c>
      <c r="AR35" t="s">
        <v>770</v>
      </c>
      <c r="AS35" t="s">
        <v>771</v>
      </c>
      <c r="AT35" t="s">
        <v>772</v>
      </c>
      <c r="AU35" t="s">
        <v>773</v>
      </c>
      <c r="AW35">
        <f t="shared" si="7"/>
        <v>34</v>
      </c>
      <c r="AX35" t="s">
        <v>774</v>
      </c>
      <c r="AY35" t="s">
        <v>774</v>
      </c>
      <c r="AZ35" t="s">
        <v>774</v>
      </c>
      <c r="BA35" t="s">
        <v>775</v>
      </c>
      <c r="BC35">
        <f t="shared" si="8"/>
        <v>34</v>
      </c>
      <c r="BD35" t="s">
        <v>776</v>
      </c>
      <c r="BE35" t="s">
        <v>777</v>
      </c>
      <c r="BF35" t="s">
        <v>778</v>
      </c>
      <c r="BG35" t="s">
        <v>779</v>
      </c>
      <c r="BI35">
        <f t="shared" si="9"/>
        <v>34</v>
      </c>
      <c r="BJ35" t="s">
        <v>780</v>
      </c>
      <c r="BK35" t="s">
        <v>781</v>
      </c>
      <c r="BL35" t="s">
        <v>782</v>
      </c>
      <c r="BM35" t="s">
        <v>783</v>
      </c>
      <c r="BO35">
        <f t="shared" si="10"/>
        <v>34</v>
      </c>
      <c r="BP35" t="s">
        <v>784</v>
      </c>
      <c r="BQ35" t="s">
        <v>785</v>
      </c>
      <c r="BR35" t="s">
        <v>786</v>
      </c>
      <c r="BS35" t="s">
        <v>787</v>
      </c>
    </row>
    <row r="36" spans="1:71">
      <c r="A36">
        <f t="shared" si="17"/>
        <v>35</v>
      </c>
      <c r="B36" t="s">
        <v>788</v>
      </c>
      <c r="C36" t="s">
        <v>789</v>
      </c>
      <c r="D36" t="s">
        <v>790</v>
      </c>
      <c r="E36" t="s">
        <v>791</v>
      </c>
      <c r="M36">
        <f t="shared" si="1"/>
        <v>35</v>
      </c>
      <c r="N36" t="s">
        <v>431</v>
      </c>
      <c r="O36" s="328" t="s">
        <v>432</v>
      </c>
      <c r="P36" s="328" t="s">
        <v>433</v>
      </c>
      <c r="Q36" s="328" t="s">
        <v>344</v>
      </c>
      <c r="S36">
        <f t="shared" si="2"/>
        <v>35</v>
      </c>
      <c r="T36" t="s">
        <v>792</v>
      </c>
      <c r="U36" t="s">
        <v>793</v>
      </c>
      <c r="V36" t="s">
        <v>794</v>
      </c>
      <c r="W36" t="s">
        <v>795</v>
      </c>
      <c r="Y36">
        <f t="shared" si="3"/>
        <v>35</v>
      </c>
      <c r="Z36" t="s">
        <v>796</v>
      </c>
      <c r="AA36" t="s">
        <v>797</v>
      </c>
      <c r="AB36" t="s">
        <v>798</v>
      </c>
      <c r="AC36" t="s">
        <v>799</v>
      </c>
      <c r="AE36">
        <f t="shared" si="4"/>
        <v>35</v>
      </c>
      <c r="AF36" t="s">
        <v>800</v>
      </c>
      <c r="AG36" t="s">
        <v>801</v>
      </c>
      <c r="AH36" t="s">
        <v>802</v>
      </c>
      <c r="AI36" t="s">
        <v>803</v>
      </c>
      <c r="AK36">
        <f t="shared" si="5"/>
        <v>35</v>
      </c>
      <c r="AL36" s="328" t="s">
        <v>804</v>
      </c>
      <c r="AM36" s="328" t="s">
        <v>805</v>
      </c>
      <c r="AN36" s="328" t="s">
        <v>806</v>
      </c>
      <c r="AO36" s="328" t="s">
        <v>807</v>
      </c>
      <c r="AQ36">
        <f t="shared" si="6"/>
        <v>35</v>
      </c>
      <c r="AR36" t="s">
        <v>808</v>
      </c>
      <c r="AS36" t="s">
        <v>809</v>
      </c>
      <c r="AT36" t="s">
        <v>810</v>
      </c>
      <c r="AU36" t="s">
        <v>811</v>
      </c>
      <c r="AW36">
        <f t="shared" si="7"/>
        <v>35</v>
      </c>
      <c r="AX36" t="s">
        <v>812</v>
      </c>
      <c r="AY36" t="s">
        <v>813</v>
      </c>
      <c r="AZ36" t="s">
        <v>814</v>
      </c>
      <c r="BA36" t="s">
        <v>815</v>
      </c>
      <c r="BC36">
        <f t="shared" si="8"/>
        <v>35</v>
      </c>
      <c r="BD36" t="s">
        <v>816</v>
      </c>
      <c r="BE36" t="s">
        <v>817</v>
      </c>
      <c r="BF36" t="s">
        <v>818</v>
      </c>
      <c r="BG36" t="s">
        <v>819</v>
      </c>
      <c r="BI36">
        <f t="shared" si="9"/>
        <v>35</v>
      </c>
      <c r="BJ36" t="s">
        <v>820</v>
      </c>
      <c r="BK36" t="s">
        <v>821</v>
      </c>
      <c r="BL36" t="s">
        <v>822</v>
      </c>
      <c r="BM36" t="s">
        <v>823</v>
      </c>
      <c r="BO36">
        <f t="shared" si="10"/>
        <v>35</v>
      </c>
      <c r="BP36" t="s">
        <v>824</v>
      </c>
      <c r="BQ36" t="s">
        <v>825</v>
      </c>
      <c r="BR36" t="s">
        <v>826</v>
      </c>
      <c r="BS36" t="s">
        <v>827</v>
      </c>
    </row>
    <row r="37" spans="1:71">
      <c r="A37">
        <f t="shared" ref="A37:A47" si="18">ROW()-1</f>
        <v>36</v>
      </c>
      <c r="B37" t="s">
        <v>828</v>
      </c>
      <c r="C37" t="s">
        <v>829</v>
      </c>
      <c r="D37" t="s">
        <v>830</v>
      </c>
      <c r="E37" t="s">
        <v>831</v>
      </c>
      <c r="M37">
        <f t="shared" si="1"/>
        <v>36</v>
      </c>
      <c r="N37" t="s">
        <v>463</v>
      </c>
      <c r="O37" s="328" t="s">
        <v>464</v>
      </c>
      <c r="P37" s="328" t="s">
        <v>465</v>
      </c>
      <c r="Q37" s="328" t="s">
        <v>466</v>
      </c>
      <c r="S37">
        <f t="shared" si="2"/>
        <v>36</v>
      </c>
      <c r="T37" t="s">
        <v>832</v>
      </c>
      <c r="U37" t="s">
        <v>833</v>
      </c>
      <c r="V37" t="s">
        <v>834</v>
      </c>
      <c r="W37" t="s">
        <v>835</v>
      </c>
      <c r="Y37">
        <f t="shared" si="3"/>
        <v>36</v>
      </c>
      <c r="Z37" t="s">
        <v>836</v>
      </c>
      <c r="AA37" t="s">
        <v>837</v>
      </c>
      <c r="AB37" t="s">
        <v>838</v>
      </c>
      <c r="AC37" t="s">
        <v>839</v>
      </c>
      <c r="AE37">
        <f t="shared" si="4"/>
        <v>36</v>
      </c>
      <c r="AF37" t="s">
        <v>840</v>
      </c>
      <c r="AG37" t="s">
        <v>841</v>
      </c>
      <c r="AH37" t="s">
        <v>842</v>
      </c>
      <c r="AI37" t="s">
        <v>843</v>
      </c>
      <c r="AK37">
        <f t="shared" si="5"/>
        <v>36</v>
      </c>
      <c r="AL37" t="s">
        <v>844</v>
      </c>
      <c r="AM37" t="s">
        <v>845</v>
      </c>
      <c r="AN37" t="s">
        <v>846</v>
      </c>
      <c r="AO37" t="s">
        <v>847</v>
      </c>
      <c r="AQ37">
        <f t="shared" si="6"/>
        <v>36</v>
      </c>
      <c r="AR37" t="s">
        <v>848</v>
      </c>
      <c r="AS37" t="s">
        <v>849</v>
      </c>
      <c r="AT37" t="s">
        <v>850</v>
      </c>
      <c r="AU37" t="s">
        <v>851</v>
      </c>
      <c r="AW37">
        <f t="shared" si="7"/>
        <v>36</v>
      </c>
      <c r="AX37" t="s">
        <v>852</v>
      </c>
      <c r="AY37" t="s">
        <v>853</v>
      </c>
      <c r="AZ37" t="s">
        <v>854</v>
      </c>
      <c r="BA37" t="s">
        <v>855</v>
      </c>
      <c r="BC37">
        <f t="shared" si="8"/>
        <v>36</v>
      </c>
      <c r="BD37" t="s">
        <v>856</v>
      </c>
      <c r="BE37" t="s">
        <v>857</v>
      </c>
      <c r="BF37" t="s">
        <v>858</v>
      </c>
      <c r="BG37" t="s">
        <v>859</v>
      </c>
      <c r="BI37">
        <f t="shared" si="9"/>
        <v>36</v>
      </c>
      <c r="BJ37" t="s">
        <v>860</v>
      </c>
      <c r="BK37" t="s">
        <v>861</v>
      </c>
      <c r="BL37" t="s">
        <v>862</v>
      </c>
      <c r="BM37" t="s">
        <v>863</v>
      </c>
      <c r="BO37">
        <f t="shared" si="10"/>
        <v>36</v>
      </c>
      <c r="BP37" t="s">
        <v>864</v>
      </c>
      <c r="BQ37" t="s">
        <v>865</v>
      </c>
      <c r="BR37" t="s">
        <v>866</v>
      </c>
      <c r="BS37" t="s">
        <v>867</v>
      </c>
    </row>
    <row r="38" spans="1:71">
      <c r="A38">
        <f t="shared" si="18"/>
        <v>37</v>
      </c>
      <c r="B38" t="s">
        <v>868</v>
      </c>
      <c r="C38" t="s">
        <v>869</v>
      </c>
      <c r="D38" t="s">
        <v>870</v>
      </c>
      <c r="E38" t="s">
        <v>871</v>
      </c>
      <c r="M38">
        <f t="shared" si="1"/>
        <v>37</v>
      </c>
      <c r="N38" t="s">
        <v>434</v>
      </c>
      <c r="O38" s="328" t="s">
        <v>435</v>
      </c>
      <c r="P38" s="328" t="s">
        <v>436</v>
      </c>
      <c r="Q38" s="328" t="s">
        <v>437</v>
      </c>
      <c r="S38">
        <f t="shared" si="2"/>
        <v>37</v>
      </c>
      <c r="T38" t="s">
        <v>872</v>
      </c>
      <c r="U38" t="s">
        <v>873</v>
      </c>
      <c r="V38" t="s">
        <v>874</v>
      </c>
      <c r="W38" t="s">
        <v>875</v>
      </c>
      <c r="Y38">
        <f t="shared" si="3"/>
        <v>37</v>
      </c>
      <c r="Z38" t="s">
        <v>876</v>
      </c>
      <c r="AA38" t="s">
        <v>877</v>
      </c>
      <c r="AB38" t="s">
        <v>878</v>
      </c>
      <c r="AC38" t="s">
        <v>879</v>
      </c>
      <c r="AE38">
        <f t="shared" si="4"/>
        <v>37</v>
      </c>
      <c r="AF38" s="328" t="s">
        <v>880</v>
      </c>
      <c r="AG38" s="328" t="s">
        <v>881</v>
      </c>
      <c r="AH38" s="328" t="s">
        <v>882</v>
      </c>
      <c r="AI38" s="328" t="s">
        <v>883</v>
      </c>
      <c r="AK38">
        <f t="shared" si="5"/>
        <v>37</v>
      </c>
      <c r="AL38" t="s">
        <v>884</v>
      </c>
      <c r="AM38" t="s">
        <v>885</v>
      </c>
      <c r="AN38" t="s">
        <v>886</v>
      </c>
      <c r="AO38" t="s">
        <v>887</v>
      </c>
      <c r="AQ38">
        <f t="shared" si="6"/>
        <v>37</v>
      </c>
      <c r="AR38" t="s">
        <v>888</v>
      </c>
      <c r="AS38" t="s">
        <v>889</v>
      </c>
      <c r="AT38" t="s">
        <v>890</v>
      </c>
      <c r="AU38" t="s">
        <v>891</v>
      </c>
      <c r="AW38">
        <f t="shared" si="7"/>
        <v>37</v>
      </c>
      <c r="AX38" t="s">
        <v>738</v>
      </c>
      <c r="AY38" t="s">
        <v>738</v>
      </c>
      <c r="AZ38" t="s">
        <v>739</v>
      </c>
      <c r="BA38" t="s">
        <v>738</v>
      </c>
      <c r="BC38">
        <f t="shared" si="8"/>
        <v>37</v>
      </c>
      <c r="BD38" t="s">
        <v>892</v>
      </c>
      <c r="BE38" t="s">
        <v>893</v>
      </c>
      <c r="BF38" t="s">
        <v>894</v>
      </c>
      <c r="BG38" t="s">
        <v>895</v>
      </c>
      <c r="BI38">
        <f t="shared" si="9"/>
        <v>37</v>
      </c>
      <c r="BJ38" t="s">
        <v>896</v>
      </c>
      <c r="BK38" t="s">
        <v>897</v>
      </c>
      <c r="BL38" t="s">
        <v>898</v>
      </c>
      <c r="BM38" t="s">
        <v>899</v>
      </c>
      <c r="BO38">
        <f t="shared" si="10"/>
        <v>37</v>
      </c>
    </row>
    <row r="39" spans="1:71">
      <c r="A39">
        <f t="shared" si="18"/>
        <v>38</v>
      </c>
      <c r="B39" t="s">
        <v>900</v>
      </c>
      <c r="C39" t="s">
        <v>901</v>
      </c>
      <c r="D39" t="s">
        <v>902</v>
      </c>
      <c r="E39" t="s">
        <v>903</v>
      </c>
      <c r="M39">
        <f t="shared" si="1"/>
        <v>38</v>
      </c>
      <c r="N39" t="s">
        <v>499</v>
      </c>
      <c r="O39" s="328" t="s">
        <v>500</v>
      </c>
      <c r="P39" s="328" t="s">
        <v>500</v>
      </c>
      <c r="Q39" s="328" t="s">
        <v>499</v>
      </c>
      <c r="S39">
        <f t="shared" si="2"/>
        <v>38</v>
      </c>
      <c r="T39" t="s">
        <v>904</v>
      </c>
      <c r="U39" t="s">
        <v>873</v>
      </c>
      <c r="V39" t="s">
        <v>905</v>
      </c>
      <c r="W39" t="s">
        <v>906</v>
      </c>
      <c r="Y39">
        <f t="shared" si="3"/>
        <v>38</v>
      </c>
      <c r="AE39">
        <f t="shared" si="4"/>
        <v>38</v>
      </c>
      <c r="AK39">
        <f t="shared" si="5"/>
        <v>38</v>
      </c>
      <c r="AL39" s="328" t="s">
        <v>907</v>
      </c>
      <c r="AM39" s="328" t="s">
        <v>908</v>
      </c>
      <c r="AN39" s="328" t="s">
        <v>909</v>
      </c>
      <c r="AO39" s="328" t="s">
        <v>910</v>
      </c>
      <c r="AQ39">
        <f t="shared" si="6"/>
        <v>38</v>
      </c>
      <c r="AR39" t="s">
        <v>911</v>
      </c>
      <c r="AS39" t="s">
        <v>912</v>
      </c>
      <c r="AT39" t="s">
        <v>913</v>
      </c>
      <c r="AU39" t="s">
        <v>914</v>
      </c>
      <c r="AW39">
        <f t="shared" si="7"/>
        <v>38</v>
      </c>
      <c r="AX39" t="s">
        <v>774</v>
      </c>
      <c r="AY39" t="s">
        <v>774</v>
      </c>
      <c r="AZ39" t="s">
        <v>774</v>
      </c>
      <c r="BA39" t="s">
        <v>775</v>
      </c>
      <c r="BC39">
        <f t="shared" si="8"/>
        <v>38</v>
      </c>
      <c r="BD39" t="s">
        <v>915</v>
      </c>
      <c r="BE39" t="s">
        <v>916</v>
      </c>
      <c r="BF39" t="s">
        <v>917</v>
      </c>
      <c r="BG39" t="s">
        <v>918</v>
      </c>
      <c r="BI39">
        <f t="shared" si="9"/>
        <v>38</v>
      </c>
      <c r="BJ39" t="s">
        <v>919</v>
      </c>
      <c r="BK39" t="s">
        <v>920</v>
      </c>
      <c r="BL39" t="s">
        <v>921</v>
      </c>
      <c r="BM39" t="s">
        <v>922</v>
      </c>
      <c r="BO39">
        <f t="shared" si="10"/>
        <v>38</v>
      </c>
    </row>
    <row r="40" spans="1:71">
      <c r="A40">
        <f t="shared" si="18"/>
        <v>39</v>
      </c>
      <c r="B40" t="s">
        <v>923</v>
      </c>
      <c r="C40" t="s">
        <v>924</v>
      </c>
      <c r="D40" t="s">
        <v>925</v>
      </c>
      <c r="E40" t="s">
        <v>926</v>
      </c>
      <c r="M40">
        <f t="shared" si="1"/>
        <v>39</v>
      </c>
      <c r="O40" s="328"/>
      <c r="P40" s="328"/>
      <c r="Q40" s="328"/>
      <c r="S40">
        <f t="shared" si="2"/>
        <v>39</v>
      </c>
      <c r="T40" t="s">
        <v>674</v>
      </c>
      <c r="U40" t="s">
        <v>675</v>
      </c>
      <c r="V40" t="s">
        <v>676</v>
      </c>
      <c r="W40" t="s">
        <v>677</v>
      </c>
      <c r="Y40">
        <f t="shared" si="3"/>
        <v>39</v>
      </c>
      <c r="AE40">
        <f t="shared" si="4"/>
        <v>39</v>
      </c>
      <c r="AK40">
        <f t="shared" si="5"/>
        <v>39</v>
      </c>
      <c r="AL40" s="328" t="s">
        <v>927</v>
      </c>
      <c r="AM40" s="328" t="s">
        <v>928</v>
      </c>
      <c r="AN40" s="328" t="s">
        <v>929</v>
      </c>
      <c r="AO40" s="328" t="s">
        <v>930</v>
      </c>
      <c r="AQ40">
        <f t="shared" si="6"/>
        <v>39</v>
      </c>
      <c r="AR40" t="s">
        <v>931</v>
      </c>
      <c r="AS40" t="s">
        <v>932</v>
      </c>
      <c r="AT40" t="s">
        <v>933</v>
      </c>
      <c r="AU40" t="s">
        <v>934</v>
      </c>
      <c r="AW40">
        <f t="shared" si="7"/>
        <v>39</v>
      </c>
      <c r="AX40" t="s">
        <v>812</v>
      </c>
      <c r="AY40" t="s">
        <v>813</v>
      </c>
      <c r="AZ40" t="s">
        <v>814</v>
      </c>
      <c r="BA40" t="s">
        <v>815</v>
      </c>
      <c r="BC40">
        <f t="shared" si="8"/>
        <v>39</v>
      </c>
      <c r="BD40" t="s">
        <v>935</v>
      </c>
      <c r="BE40" t="s">
        <v>936</v>
      </c>
      <c r="BF40" t="s">
        <v>937</v>
      </c>
      <c r="BG40" t="s">
        <v>938</v>
      </c>
      <c r="BI40">
        <f t="shared" si="9"/>
        <v>39</v>
      </c>
      <c r="BJ40" t="s">
        <v>939</v>
      </c>
      <c r="BK40" t="s">
        <v>940</v>
      </c>
      <c r="BL40" t="s">
        <v>941</v>
      </c>
      <c r="BM40" t="s">
        <v>942</v>
      </c>
      <c r="BO40">
        <f t="shared" si="10"/>
        <v>39</v>
      </c>
    </row>
    <row r="41" spans="1:71">
      <c r="A41">
        <f t="shared" si="18"/>
        <v>40</v>
      </c>
      <c r="B41" t="s">
        <v>943</v>
      </c>
      <c r="C41" t="s">
        <v>944</v>
      </c>
      <c r="D41" t="s">
        <v>945</v>
      </c>
      <c r="E41" t="s">
        <v>946</v>
      </c>
      <c r="M41">
        <f t="shared" si="1"/>
        <v>40</v>
      </c>
      <c r="O41" s="328"/>
      <c r="P41" s="328"/>
      <c r="Q41" s="328"/>
      <c r="S41">
        <f t="shared" si="2"/>
        <v>40</v>
      </c>
      <c r="T41" t="s">
        <v>947</v>
      </c>
      <c r="U41" t="s">
        <v>948</v>
      </c>
      <c r="V41" t="s">
        <v>949</v>
      </c>
      <c r="W41" t="s">
        <v>950</v>
      </c>
      <c r="Y41">
        <f t="shared" si="3"/>
        <v>40</v>
      </c>
      <c r="AE41">
        <f t="shared" si="4"/>
        <v>40</v>
      </c>
      <c r="AK41">
        <f t="shared" si="5"/>
        <v>40</v>
      </c>
      <c r="AL41" s="328" t="s">
        <v>951</v>
      </c>
      <c r="AM41" s="328" t="s">
        <v>952</v>
      </c>
      <c r="AN41" s="328" t="s">
        <v>953</v>
      </c>
      <c r="AO41" s="328" t="s">
        <v>954</v>
      </c>
      <c r="AQ41">
        <f t="shared" si="6"/>
        <v>40</v>
      </c>
      <c r="AR41" t="s">
        <v>955</v>
      </c>
      <c r="AS41" t="s">
        <v>956</v>
      </c>
      <c r="AT41" t="s">
        <v>957</v>
      </c>
      <c r="AU41" t="s">
        <v>958</v>
      </c>
      <c r="AW41">
        <f t="shared" si="7"/>
        <v>40</v>
      </c>
      <c r="AX41" t="s">
        <v>959</v>
      </c>
      <c r="AY41" t="s">
        <v>960</v>
      </c>
      <c r="AZ41" t="s">
        <v>961</v>
      </c>
      <c r="BA41" t="s">
        <v>962</v>
      </c>
      <c r="BC41">
        <f t="shared" si="8"/>
        <v>40</v>
      </c>
      <c r="BD41" t="s">
        <v>963</v>
      </c>
      <c r="BE41" t="s">
        <v>964</v>
      </c>
      <c r="BF41" t="s">
        <v>965</v>
      </c>
      <c r="BG41" t="s">
        <v>966</v>
      </c>
      <c r="BI41">
        <f t="shared" si="9"/>
        <v>40</v>
      </c>
      <c r="BJ41" t="s">
        <v>967</v>
      </c>
      <c r="BK41" t="s">
        <v>968</v>
      </c>
      <c r="BL41" t="s">
        <v>969</v>
      </c>
      <c r="BM41" t="s">
        <v>970</v>
      </c>
      <c r="BO41">
        <f t="shared" si="10"/>
        <v>40</v>
      </c>
    </row>
    <row r="42" spans="1:71">
      <c r="A42">
        <f t="shared" si="18"/>
        <v>41</v>
      </c>
      <c r="B42" t="s">
        <v>971</v>
      </c>
      <c r="C42" t="s">
        <v>972</v>
      </c>
      <c r="D42" t="s">
        <v>973</v>
      </c>
      <c r="E42" t="s">
        <v>974</v>
      </c>
      <c r="M42">
        <f t="shared" si="1"/>
        <v>41</v>
      </c>
      <c r="N42" t="s">
        <v>975</v>
      </c>
      <c r="O42" s="328" t="s">
        <v>976</v>
      </c>
      <c r="P42" s="328" t="s">
        <v>977</v>
      </c>
      <c r="Q42" s="328" t="s">
        <v>978</v>
      </c>
      <c r="S42">
        <f t="shared" si="2"/>
        <v>41</v>
      </c>
      <c r="T42" t="s">
        <v>979</v>
      </c>
      <c r="U42" t="s">
        <v>980</v>
      </c>
      <c r="V42" t="s">
        <v>981</v>
      </c>
      <c r="W42" t="s">
        <v>982</v>
      </c>
      <c r="Y42">
        <f t="shared" si="3"/>
        <v>41</v>
      </c>
      <c r="AE42">
        <f t="shared" si="4"/>
        <v>41</v>
      </c>
      <c r="AF42" t="s">
        <v>983</v>
      </c>
      <c r="AG42" t="s">
        <v>984</v>
      </c>
      <c r="AH42" t="s">
        <v>985</v>
      </c>
      <c r="AI42" t="s">
        <v>986</v>
      </c>
      <c r="AK42">
        <f t="shared" si="5"/>
        <v>41</v>
      </c>
      <c r="AL42" t="s">
        <v>987</v>
      </c>
      <c r="AM42" t="s">
        <v>988</v>
      </c>
      <c r="AN42" t="s">
        <v>989</v>
      </c>
      <c r="AO42" t="s">
        <v>990</v>
      </c>
      <c r="AQ42">
        <f t="shared" si="6"/>
        <v>41</v>
      </c>
      <c r="AR42" t="s">
        <v>991</v>
      </c>
      <c r="AS42" t="s">
        <v>992</v>
      </c>
      <c r="AT42" t="s">
        <v>993</v>
      </c>
      <c r="AU42" t="s">
        <v>994</v>
      </c>
      <c r="AW42">
        <f t="shared" si="7"/>
        <v>41</v>
      </c>
      <c r="AX42" t="s">
        <v>995</v>
      </c>
      <c r="AY42" t="s">
        <v>996</v>
      </c>
      <c r="AZ42" t="s">
        <v>997</v>
      </c>
      <c r="BA42" t="s">
        <v>998</v>
      </c>
      <c r="BC42">
        <f t="shared" si="8"/>
        <v>41</v>
      </c>
      <c r="BD42" t="s">
        <v>999</v>
      </c>
      <c r="BE42" t="s">
        <v>1000</v>
      </c>
      <c r="BF42" t="s">
        <v>1001</v>
      </c>
      <c r="BG42" t="s">
        <v>1002</v>
      </c>
      <c r="BI42">
        <f t="shared" si="9"/>
        <v>41</v>
      </c>
      <c r="BJ42" t="s">
        <v>1003</v>
      </c>
      <c r="BK42" t="s">
        <v>1004</v>
      </c>
      <c r="BL42" t="s">
        <v>1005</v>
      </c>
      <c r="BM42" t="s">
        <v>1006</v>
      </c>
      <c r="BO42">
        <f t="shared" si="10"/>
        <v>41</v>
      </c>
    </row>
    <row r="43" spans="1:71">
      <c r="A43">
        <f t="shared" si="18"/>
        <v>42</v>
      </c>
      <c r="B43" t="s">
        <v>1007</v>
      </c>
      <c r="C43" t="s">
        <v>1008</v>
      </c>
      <c r="D43" t="s">
        <v>1009</v>
      </c>
      <c r="E43" t="s">
        <v>1010</v>
      </c>
      <c r="M43">
        <f t="shared" si="1"/>
        <v>42</v>
      </c>
      <c r="N43" t="s">
        <v>1011</v>
      </c>
      <c r="O43" s="328" t="s">
        <v>1012</v>
      </c>
      <c r="P43" s="328" t="s">
        <v>1013</v>
      </c>
      <c r="Q43" s="328" t="s">
        <v>1014</v>
      </c>
      <c r="S43">
        <f t="shared" si="2"/>
        <v>42</v>
      </c>
      <c r="T43" t="s">
        <v>1015</v>
      </c>
      <c r="U43" t="s">
        <v>1016</v>
      </c>
      <c r="V43" t="s">
        <v>1017</v>
      </c>
      <c r="W43" t="s">
        <v>1018</v>
      </c>
      <c r="Y43">
        <f t="shared" si="3"/>
        <v>42</v>
      </c>
      <c r="AE43">
        <f t="shared" si="4"/>
        <v>42</v>
      </c>
      <c r="AF43" t="s">
        <v>1019</v>
      </c>
      <c r="AG43" t="s">
        <v>1020</v>
      </c>
      <c r="AH43" t="s">
        <v>1021</v>
      </c>
      <c r="AI43" t="s">
        <v>1022</v>
      </c>
      <c r="AK43">
        <f t="shared" si="5"/>
        <v>42</v>
      </c>
      <c r="AL43" s="328" t="s">
        <v>1023</v>
      </c>
      <c r="AM43" s="328" t="s">
        <v>1024</v>
      </c>
      <c r="AN43" s="328" t="s">
        <v>1025</v>
      </c>
      <c r="AO43" s="328" t="s">
        <v>1026</v>
      </c>
      <c r="AQ43">
        <f t="shared" si="6"/>
        <v>42</v>
      </c>
      <c r="AR43" t="s">
        <v>1027</v>
      </c>
      <c r="AS43" t="s">
        <v>1028</v>
      </c>
      <c r="AT43" t="s">
        <v>1029</v>
      </c>
      <c r="AU43" t="s">
        <v>1028</v>
      </c>
      <c r="AW43">
        <f t="shared" si="7"/>
        <v>42</v>
      </c>
      <c r="AX43" t="s">
        <v>1030</v>
      </c>
      <c r="AY43" t="s">
        <v>1031</v>
      </c>
      <c r="AZ43" t="s">
        <v>1032</v>
      </c>
      <c r="BA43" t="s">
        <v>1033</v>
      </c>
      <c r="BC43">
        <f t="shared" si="8"/>
        <v>42</v>
      </c>
      <c r="BD43" t="s">
        <v>1034</v>
      </c>
      <c r="BE43" t="s">
        <v>1035</v>
      </c>
      <c r="BF43" t="s">
        <v>1036</v>
      </c>
      <c r="BG43" t="s">
        <v>1037</v>
      </c>
      <c r="BI43">
        <f t="shared" si="9"/>
        <v>42</v>
      </c>
      <c r="BJ43" t="s">
        <v>1038</v>
      </c>
      <c r="BK43" t="s">
        <v>1039</v>
      </c>
      <c r="BL43" t="s">
        <v>1040</v>
      </c>
      <c r="BM43" t="s">
        <v>1041</v>
      </c>
      <c r="BO43">
        <f t="shared" si="10"/>
        <v>42</v>
      </c>
    </row>
    <row r="44" spans="1:71">
      <c r="A44">
        <f t="shared" si="18"/>
        <v>43</v>
      </c>
      <c r="B44" t="s">
        <v>1042</v>
      </c>
      <c r="C44" t="s">
        <v>1043</v>
      </c>
      <c r="D44" t="s">
        <v>1044</v>
      </c>
      <c r="E44" t="s">
        <v>1045</v>
      </c>
      <c r="M44">
        <f t="shared" si="1"/>
        <v>43</v>
      </c>
      <c r="N44" t="s">
        <v>1046</v>
      </c>
      <c r="O44" s="328" t="s">
        <v>1047</v>
      </c>
      <c r="P44" s="328" t="s">
        <v>1048</v>
      </c>
      <c r="Q44" s="328" t="s">
        <v>1049</v>
      </c>
      <c r="S44">
        <f t="shared" si="2"/>
        <v>43</v>
      </c>
      <c r="T44" t="s">
        <v>1050</v>
      </c>
      <c r="U44" t="s">
        <v>1051</v>
      </c>
      <c r="V44" t="s">
        <v>1052</v>
      </c>
      <c r="W44" t="s">
        <v>1053</v>
      </c>
      <c r="Y44">
        <f t="shared" si="3"/>
        <v>43</v>
      </c>
      <c r="AE44">
        <f t="shared" si="4"/>
        <v>43</v>
      </c>
      <c r="AF44" t="s">
        <v>1054</v>
      </c>
      <c r="AG44" t="s">
        <v>1055</v>
      </c>
      <c r="AH44" t="s">
        <v>1056</v>
      </c>
      <c r="AI44" t="s">
        <v>1057</v>
      </c>
      <c r="AK44">
        <f t="shared" si="5"/>
        <v>43</v>
      </c>
      <c r="AL44" s="328" t="s">
        <v>1058</v>
      </c>
      <c r="AM44" s="328" t="s">
        <v>1059</v>
      </c>
      <c r="AN44" s="328" t="s">
        <v>1060</v>
      </c>
      <c r="AO44" s="328" t="s">
        <v>1061</v>
      </c>
      <c r="AQ44">
        <f t="shared" si="6"/>
        <v>43</v>
      </c>
      <c r="AR44" t="s">
        <v>1062</v>
      </c>
      <c r="AS44" t="s">
        <v>1063</v>
      </c>
      <c r="AT44" t="s">
        <v>1064</v>
      </c>
      <c r="AU44" t="s">
        <v>1065</v>
      </c>
      <c r="AW44">
        <f t="shared" si="7"/>
        <v>43</v>
      </c>
      <c r="AX44" t="s">
        <v>1066</v>
      </c>
      <c r="AY44" t="s">
        <v>1067</v>
      </c>
      <c r="AZ44" t="s">
        <v>1068</v>
      </c>
      <c r="BA44" t="s">
        <v>1069</v>
      </c>
      <c r="BC44">
        <f t="shared" si="8"/>
        <v>43</v>
      </c>
      <c r="BD44" t="s">
        <v>698</v>
      </c>
      <c r="BE44" t="s">
        <v>699</v>
      </c>
      <c r="BF44" t="s">
        <v>700</v>
      </c>
      <c r="BG44" t="s">
        <v>701</v>
      </c>
      <c r="BI44">
        <f t="shared" si="9"/>
        <v>43</v>
      </c>
      <c r="BJ44" t="s">
        <v>1070</v>
      </c>
      <c r="BK44" t="s">
        <v>1071</v>
      </c>
      <c r="BL44" t="s">
        <v>1072</v>
      </c>
      <c r="BM44" t="s">
        <v>1073</v>
      </c>
      <c r="BO44">
        <f t="shared" si="10"/>
        <v>43</v>
      </c>
    </row>
    <row r="45" spans="1:71">
      <c r="A45">
        <f t="shared" si="18"/>
        <v>44</v>
      </c>
      <c r="B45" t="s">
        <v>1074</v>
      </c>
      <c r="C45" t="s">
        <v>1075</v>
      </c>
      <c r="D45" t="s">
        <v>1076</v>
      </c>
      <c r="E45" t="s">
        <v>1075</v>
      </c>
      <c r="M45">
        <f t="shared" si="1"/>
        <v>44</v>
      </c>
      <c r="N45" t="s">
        <v>1077</v>
      </c>
      <c r="O45" s="328" t="s">
        <v>1078</v>
      </c>
      <c r="P45" s="328" t="s">
        <v>1079</v>
      </c>
      <c r="Q45" s="328" t="s">
        <v>1080</v>
      </c>
      <c r="S45">
        <f t="shared" si="2"/>
        <v>44</v>
      </c>
      <c r="Y45">
        <f t="shared" si="3"/>
        <v>44</v>
      </c>
      <c r="AE45">
        <f t="shared" si="4"/>
        <v>44</v>
      </c>
      <c r="AF45" t="s">
        <v>1081</v>
      </c>
      <c r="AG45" t="s">
        <v>1082</v>
      </c>
      <c r="AH45" t="s">
        <v>1083</v>
      </c>
      <c r="AI45" t="s">
        <v>1084</v>
      </c>
      <c r="AK45">
        <f t="shared" si="5"/>
        <v>44</v>
      </c>
      <c r="AL45" s="328" t="s">
        <v>1085</v>
      </c>
      <c r="AM45" s="328" t="s">
        <v>1086</v>
      </c>
      <c r="AN45" s="328" t="s">
        <v>1087</v>
      </c>
      <c r="AO45" s="328" t="s">
        <v>1088</v>
      </c>
      <c r="AQ45">
        <f t="shared" si="6"/>
        <v>44</v>
      </c>
      <c r="AR45" t="s">
        <v>1089</v>
      </c>
      <c r="AS45" t="s">
        <v>1090</v>
      </c>
      <c r="AT45" t="s">
        <v>1091</v>
      </c>
      <c r="AU45" t="s">
        <v>1092</v>
      </c>
      <c r="AW45">
        <f t="shared" si="7"/>
        <v>44</v>
      </c>
      <c r="AX45" t="s">
        <v>1093</v>
      </c>
      <c r="AY45" t="s">
        <v>1094</v>
      </c>
      <c r="AZ45" t="s">
        <v>1095</v>
      </c>
      <c r="BA45" t="s">
        <v>1096</v>
      </c>
      <c r="BC45">
        <f t="shared" si="8"/>
        <v>44</v>
      </c>
      <c r="BD45" t="s">
        <v>1097</v>
      </c>
      <c r="BE45" t="s">
        <v>1098</v>
      </c>
      <c r="BF45" t="s">
        <v>1099</v>
      </c>
      <c r="BG45" t="s">
        <v>1100</v>
      </c>
      <c r="BI45">
        <f t="shared" si="9"/>
        <v>44</v>
      </c>
      <c r="BJ45" t="s">
        <v>1101</v>
      </c>
      <c r="BK45" t="s">
        <v>1102</v>
      </c>
      <c r="BL45" t="s">
        <v>1103</v>
      </c>
      <c r="BM45" t="s">
        <v>1104</v>
      </c>
      <c r="BO45">
        <f t="shared" si="10"/>
        <v>44</v>
      </c>
    </row>
    <row r="46" spans="1:71">
      <c r="A46">
        <f t="shared" si="18"/>
        <v>45</v>
      </c>
      <c r="B46" t="s">
        <v>1105</v>
      </c>
      <c r="C46" t="s">
        <v>1105</v>
      </c>
      <c r="D46" t="s">
        <v>1105</v>
      </c>
      <c r="E46" t="s">
        <v>1105</v>
      </c>
      <c r="M46">
        <f t="shared" si="1"/>
        <v>45</v>
      </c>
      <c r="N46" t="s">
        <v>1106</v>
      </c>
      <c r="O46" s="328" t="s">
        <v>1107</v>
      </c>
      <c r="P46" s="328" t="s">
        <v>1108</v>
      </c>
      <c r="Q46" s="328" t="s">
        <v>1109</v>
      </c>
      <c r="S46">
        <f t="shared" si="2"/>
        <v>45</v>
      </c>
      <c r="Y46">
        <f t="shared" si="3"/>
        <v>45</v>
      </c>
      <c r="AE46">
        <f t="shared" si="4"/>
        <v>45</v>
      </c>
      <c r="AF46" t="s">
        <v>1110</v>
      </c>
      <c r="AG46" t="s">
        <v>1111</v>
      </c>
      <c r="AH46" t="s">
        <v>1112</v>
      </c>
      <c r="AI46" t="s">
        <v>1113</v>
      </c>
      <c r="AK46">
        <f t="shared" si="5"/>
        <v>45</v>
      </c>
      <c r="AL46" s="328" t="s">
        <v>1114</v>
      </c>
      <c r="AM46" s="328" t="s">
        <v>1115</v>
      </c>
      <c r="AN46" s="328" t="s">
        <v>1116</v>
      </c>
      <c r="AO46" s="328" t="s">
        <v>1117</v>
      </c>
      <c r="AQ46">
        <f t="shared" si="6"/>
        <v>45</v>
      </c>
      <c r="AR46" t="s">
        <v>1118</v>
      </c>
      <c r="AS46" t="s">
        <v>1119</v>
      </c>
      <c r="AT46" t="s">
        <v>1120</v>
      </c>
      <c r="AU46" t="s">
        <v>1121</v>
      </c>
      <c r="AW46">
        <f t="shared" si="7"/>
        <v>45</v>
      </c>
      <c r="AX46" t="s">
        <v>1122</v>
      </c>
      <c r="AY46" t="s">
        <v>1123</v>
      </c>
      <c r="AZ46" t="s">
        <v>1124</v>
      </c>
      <c r="BA46" t="s">
        <v>1125</v>
      </c>
      <c r="BC46">
        <f t="shared" si="8"/>
        <v>45</v>
      </c>
      <c r="BD46" t="s">
        <v>1126</v>
      </c>
      <c r="BE46" t="s">
        <v>1127</v>
      </c>
      <c r="BF46" t="s">
        <v>1128</v>
      </c>
      <c r="BG46" t="s">
        <v>1129</v>
      </c>
      <c r="BI46">
        <f t="shared" si="9"/>
        <v>45</v>
      </c>
      <c r="BJ46" t="s">
        <v>1130</v>
      </c>
      <c r="BK46" t="s">
        <v>1131</v>
      </c>
      <c r="BL46" t="s">
        <v>1132</v>
      </c>
      <c r="BM46" t="s">
        <v>1133</v>
      </c>
      <c r="BO46">
        <f t="shared" si="10"/>
        <v>45</v>
      </c>
    </row>
    <row r="47" spans="1:71">
      <c r="A47">
        <f t="shared" si="18"/>
        <v>46</v>
      </c>
      <c r="B47" t="s">
        <v>1134</v>
      </c>
      <c r="C47" t="s">
        <v>1134</v>
      </c>
      <c r="D47" t="s">
        <v>1134</v>
      </c>
      <c r="E47" t="s">
        <v>1134</v>
      </c>
      <c r="M47">
        <f t="shared" si="1"/>
        <v>46</v>
      </c>
      <c r="O47" s="328"/>
      <c r="P47" s="328"/>
      <c r="Q47" s="328"/>
      <c r="S47">
        <f t="shared" si="2"/>
        <v>46</v>
      </c>
      <c r="Y47">
        <f t="shared" si="3"/>
        <v>46</v>
      </c>
      <c r="AE47">
        <f t="shared" si="4"/>
        <v>46</v>
      </c>
      <c r="AF47" t="s">
        <v>1135</v>
      </c>
      <c r="AG47" t="s">
        <v>1136</v>
      </c>
      <c r="AH47" t="s">
        <v>1137</v>
      </c>
      <c r="AI47" t="s">
        <v>1138</v>
      </c>
      <c r="AK47">
        <f t="shared" si="5"/>
        <v>46</v>
      </c>
      <c r="AL47" s="328" t="s">
        <v>1139</v>
      </c>
      <c r="AM47" s="328" t="s">
        <v>1140</v>
      </c>
      <c r="AN47" s="328" t="s">
        <v>1141</v>
      </c>
      <c r="AO47" s="328" t="s">
        <v>1142</v>
      </c>
      <c r="AQ47">
        <f t="shared" si="6"/>
        <v>46</v>
      </c>
      <c r="AR47" t="s">
        <v>1143</v>
      </c>
      <c r="AS47" t="s">
        <v>1144</v>
      </c>
      <c r="AT47" t="s">
        <v>1145</v>
      </c>
      <c r="AU47" t="s">
        <v>1146</v>
      </c>
      <c r="AW47">
        <f t="shared" si="7"/>
        <v>46</v>
      </c>
      <c r="AX47" t="s">
        <v>1147</v>
      </c>
      <c r="AY47" t="s">
        <v>1148</v>
      </c>
      <c r="AZ47" t="s">
        <v>1149</v>
      </c>
      <c r="BA47" t="s">
        <v>1150</v>
      </c>
      <c r="BC47">
        <f t="shared" si="8"/>
        <v>46</v>
      </c>
      <c r="BD47" t="s">
        <v>1151</v>
      </c>
      <c r="BE47" t="s">
        <v>1152</v>
      </c>
      <c r="BF47" t="s">
        <v>1153</v>
      </c>
      <c r="BG47" t="s">
        <v>1154</v>
      </c>
      <c r="BI47">
        <f t="shared" si="9"/>
        <v>46</v>
      </c>
      <c r="BJ47" t="s">
        <v>1155</v>
      </c>
      <c r="BK47" t="s">
        <v>1156</v>
      </c>
      <c r="BL47" t="s">
        <v>1157</v>
      </c>
      <c r="BM47" t="s">
        <v>1158</v>
      </c>
      <c r="BO47">
        <f t="shared" si="10"/>
        <v>46</v>
      </c>
    </row>
    <row r="48" spans="1:71">
      <c r="A48">
        <f t="shared" ref="A48:A53" si="19">ROW()-1</f>
        <v>47</v>
      </c>
      <c r="B48" t="s">
        <v>1159</v>
      </c>
      <c r="C48" t="s">
        <v>1160</v>
      </c>
      <c r="D48" t="s">
        <v>1161</v>
      </c>
      <c r="E48" t="s">
        <v>1162</v>
      </c>
      <c r="M48">
        <f t="shared" si="1"/>
        <v>47</v>
      </c>
      <c r="O48" s="328"/>
      <c r="P48" s="328"/>
      <c r="Q48" s="328"/>
      <c r="S48">
        <f t="shared" si="2"/>
        <v>47</v>
      </c>
      <c r="Y48">
        <f t="shared" si="3"/>
        <v>47</v>
      </c>
      <c r="AE48">
        <f t="shared" si="4"/>
        <v>47</v>
      </c>
      <c r="AF48" t="s">
        <v>1163</v>
      </c>
      <c r="AG48" t="s">
        <v>1164</v>
      </c>
      <c r="AH48" t="s">
        <v>1165</v>
      </c>
      <c r="AI48" t="s">
        <v>1166</v>
      </c>
      <c r="AK48">
        <f t="shared" si="5"/>
        <v>47</v>
      </c>
      <c r="AL48" t="s">
        <v>1167</v>
      </c>
      <c r="AM48" t="s">
        <v>1168</v>
      </c>
      <c r="AN48" t="s">
        <v>1169</v>
      </c>
      <c r="AO48" t="s">
        <v>1170</v>
      </c>
      <c r="AQ48">
        <f t="shared" si="6"/>
        <v>47</v>
      </c>
      <c r="AR48" t="s">
        <v>1171</v>
      </c>
      <c r="AS48" t="s">
        <v>1172</v>
      </c>
      <c r="AT48" t="s">
        <v>1173</v>
      </c>
      <c r="AU48" t="s">
        <v>1174</v>
      </c>
      <c r="AW48">
        <f t="shared" si="7"/>
        <v>47</v>
      </c>
      <c r="AX48" t="s">
        <v>1175</v>
      </c>
      <c r="AY48" t="s">
        <v>1176</v>
      </c>
      <c r="AZ48" t="s">
        <v>1177</v>
      </c>
      <c r="BA48" t="s">
        <v>1178</v>
      </c>
      <c r="BC48">
        <f t="shared" si="8"/>
        <v>47</v>
      </c>
      <c r="BD48" t="s">
        <v>1179</v>
      </c>
      <c r="BE48" t="s">
        <v>1180</v>
      </c>
      <c r="BF48" t="s">
        <v>1181</v>
      </c>
      <c r="BG48" t="s">
        <v>1182</v>
      </c>
      <c r="BI48">
        <f t="shared" si="9"/>
        <v>47</v>
      </c>
      <c r="BJ48" t="s">
        <v>1183</v>
      </c>
      <c r="BK48" t="s">
        <v>1184</v>
      </c>
      <c r="BL48" t="s">
        <v>1185</v>
      </c>
      <c r="BM48" t="s">
        <v>1186</v>
      </c>
      <c r="BO48">
        <f t="shared" si="10"/>
        <v>47</v>
      </c>
    </row>
    <row r="49" spans="1:71">
      <c r="A49">
        <f t="shared" si="19"/>
        <v>48</v>
      </c>
      <c r="B49" t="s">
        <v>1187</v>
      </c>
      <c r="C49" t="s">
        <v>1187</v>
      </c>
      <c r="D49" t="s">
        <v>1187</v>
      </c>
      <c r="E49" t="s">
        <v>1187</v>
      </c>
      <c r="M49">
        <f t="shared" si="1"/>
        <v>48</v>
      </c>
      <c r="O49" s="328"/>
      <c r="P49" s="328"/>
      <c r="Q49" s="328"/>
      <c r="S49">
        <f t="shared" si="2"/>
        <v>48</v>
      </c>
      <c r="Y49">
        <f t="shared" si="3"/>
        <v>48</v>
      </c>
      <c r="AE49">
        <f t="shared" si="4"/>
        <v>48</v>
      </c>
      <c r="AF49" t="s">
        <v>1188</v>
      </c>
      <c r="AG49" t="s">
        <v>1189</v>
      </c>
      <c r="AH49" t="s">
        <v>1189</v>
      </c>
      <c r="AI49" t="s">
        <v>1190</v>
      </c>
      <c r="AK49">
        <f t="shared" si="5"/>
        <v>48</v>
      </c>
      <c r="AL49" t="s">
        <v>884</v>
      </c>
      <c r="AM49" t="s">
        <v>885</v>
      </c>
      <c r="AN49" t="s">
        <v>886</v>
      </c>
      <c r="AO49" t="s">
        <v>887</v>
      </c>
      <c r="AQ49">
        <f t="shared" si="6"/>
        <v>48</v>
      </c>
      <c r="AR49" t="s">
        <v>1191</v>
      </c>
      <c r="AS49" t="s">
        <v>1192</v>
      </c>
      <c r="AT49" t="s">
        <v>1193</v>
      </c>
      <c r="AU49" t="s">
        <v>1194</v>
      </c>
      <c r="AW49">
        <f t="shared" si="7"/>
        <v>48</v>
      </c>
      <c r="AX49" t="s">
        <v>1195</v>
      </c>
      <c r="AY49" t="s">
        <v>1196</v>
      </c>
      <c r="AZ49" t="s">
        <v>1197</v>
      </c>
      <c r="BA49" t="s">
        <v>1198</v>
      </c>
      <c r="BC49">
        <f t="shared" si="8"/>
        <v>48</v>
      </c>
      <c r="BD49" t="s">
        <v>1199</v>
      </c>
      <c r="BE49" t="s">
        <v>1200</v>
      </c>
      <c r="BF49" t="s">
        <v>1201</v>
      </c>
      <c r="BG49" t="s">
        <v>1202</v>
      </c>
      <c r="BI49">
        <f t="shared" si="9"/>
        <v>48</v>
      </c>
      <c r="BO49">
        <f t="shared" si="10"/>
        <v>48</v>
      </c>
    </row>
    <row r="50" spans="1:71">
      <c r="A50">
        <f t="shared" si="19"/>
        <v>49</v>
      </c>
      <c r="B50" t="s">
        <v>1203</v>
      </c>
      <c r="C50" t="s">
        <v>1203</v>
      </c>
      <c r="D50" t="s">
        <v>1203</v>
      </c>
      <c r="E50" t="s">
        <v>1203</v>
      </c>
      <c r="M50">
        <f t="shared" si="1"/>
        <v>49</v>
      </c>
      <c r="O50" s="328"/>
      <c r="P50" s="328"/>
      <c r="Q50" s="328"/>
      <c r="S50">
        <f t="shared" si="2"/>
        <v>49</v>
      </c>
      <c r="Y50">
        <f t="shared" si="3"/>
        <v>49</v>
      </c>
      <c r="AE50">
        <f t="shared" si="4"/>
        <v>49</v>
      </c>
      <c r="AK50">
        <f t="shared" si="5"/>
        <v>49</v>
      </c>
      <c r="AL50" s="328" t="s">
        <v>907</v>
      </c>
      <c r="AM50" s="328" t="s">
        <v>1204</v>
      </c>
      <c r="AN50" s="328" t="s">
        <v>1205</v>
      </c>
      <c r="AO50" s="328" t="s">
        <v>1206</v>
      </c>
      <c r="AQ50">
        <f t="shared" si="6"/>
        <v>49</v>
      </c>
      <c r="AR50" t="s">
        <v>1207</v>
      </c>
      <c r="AS50" t="s">
        <v>1208</v>
      </c>
      <c r="AT50" t="s">
        <v>1209</v>
      </c>
      <c r="AU50" t="s">
        <v>1210</v>
      </c>
      <c r="AW50">
        <f t="shared" si="7"/>
        <v>49</v>
      </c>
      <c r="AX50" t="s">
        <v>694</v>
      </c>
      <c r="AY50" t="s">
        <v>695</v>
      </c>
      <c r="AZ50" t="s">
        <v>696</v>
      </c>
      <c r="BA50" t="s">
        <v>697</v>
      </c>
      <c r="BC50">
        <f t="shared" si="8"/>
        <v>49</v>
      </c>
      <c r="BD50" t="s">
        <v>1211</v>
      </c>
      <c r="BE50" t="s">
        <v>1212</v>
      </c>
      <c r="BF50" t="s">
        <v>1213</v>
      </c>
      <c r="BG50" t="s">
        <v>1214</v>
      </c>
      <c r="BI50">
        <f t="shared" si="9"/>
        <v>49</v>
      </c>
      <c r="BO50">
        <f t="shared" si="10"/>
        <v>49</v>
      </c>
    </row>
    <row r="51" spans="1:71">
      <c r="A51">
        <f t="shared" si="19"/>
        <v>50</v>
      </c>
      <c r="B51" t="s">
        <v>1215</v>
      </c>
      <c r="C51" t="s">
        <v>1216</v>
      </c>
      <c r="D51" t="s">
        <v>1217</v>
      </c>
      <c r="E51" t="s">
        <v>1218</v>
      </c>
      <c r="M51">
        <f t="shared" si="1"/>
        <v>50</v>
      </c>
      <c r="O51" s="328"/>
      <c r="P51" s="328"/>
      <c r="Q51" s="328"/>
      <c r="S51">
        <f t="shared" si="2"/>
        <v>50</v>
      </c>
      <c r="Y51">
        <f t="shared" si="3"/>
        <v>50</v>
      </c>
      <c r="AE51">
        <f t="shared" si="4"/>
        <v>50</v>
      </c>
      <c r="AK51">
        <f t="shared" si="5"/>
        <v>50</v>
      </c>
      <c r="AL51" t="s">
        <v>1219</v>
      </c>
      <c r="AM51" t="s">
        <v>1220</v>
      </c>
      <c r="AN51" t="s">
        <v>1221</v>
      </c>
      <c r="AO51" t="s">
        <v>1222</v>
      </c>
      <c r="AQ51">
        <f t="shared" si="6"/>
        <v>50</v>
      </c>
      <c r="AR51" t="s">
        <v>1223</v>
      </c>
      <c r="AS51" t="s">
        <v>1224</v>
      </c>
      <c r="AT51" t="s">
        <v>1225</v>
      </c>
      <c r="AU51" t="s">
        <v>1226</v>
      </c>
      <c r="AW51">
        <f t="shared" si="7"/>
        <v>50</v>
      </c>
      <c r="AX51" t="s">
        <v>738</v>
      </c>
      <c r="AY51" t="s">
        <v>738</v>
      </c>
      <c r="AZ51" t="s">
        <v>739</v>
      </c>
      <c r="BA51" t="s">
        <v>738</v>
      </c>
      <c r="BC51">
        <f t="shared" si="8"/>
        <v>50</v>
      </c>
      <c r="BD51" t="s">
        <v>1227</v>
      </c>
      <c r="BE51" t="s">
        <v>699</v>
      </c>
      <c r="BF51" t="s">
        <v>1228</v>
      </c>
      <c r="BG51" t="s">
        <v>701</v>
      </c>
      <c r="BI51">
        <f t="shared" si="9"/>
        <v>50</v>
      </c>
      <c r="BO51">
        <f t="shared" si="10"/>
        <v>50</v>
      </c>
    </row>
    <row r="52" spans="1:71">
      <c r="A52">
        <f t="shared" si="19"/>
        <v>51</v>
      </c>
      <c r="B52" t="s">
        <v>1042</v>
      </c>
      <c r="C52" t="s">
        <v>1043</v>
      </c>
      <c r="D52" t="s">
        <v>1229</v>
      </c>
      <c r="E52" t="s">
        <v>1045</v>
      </c>
      <c r="M52">
        <f t="shared" si="1"/>
        <v>51</v>
      </c>
      <c r="N52" t="s">
        <v>1230</v>
      </c>
      <c r="O52" s="328" t="s">
        <v>1231</v>
      </c>
      <c r="P52" s="328" t="s">
        <v>1232</v>
      </c>
      <c r="Q52" s="328" t="s">
        <v>1233</v>
      </c>
      <c r="S52">
        <f t="shared" si="2"/>
        <v>51</v>
      </c>
      <c r="T52" t="s">
        <v>1234</v>
      </c>
      <c r="U52" t="s">
        <v>1235</v>
      </c>
      <c r="V52" t="s">
        <v>1236</v>
      </c>
      <c r="W52" t="s">
        <v>1237</v>
      </c>
      <c r="Y52">
        <f t="shared" si="3"/>
        <v>51</v>
      </c>
      <c r="AE52">
        <f t="shared" si="4"/>
        <v>51</v>
      </c>
      <c r="AK52">
        <f t="shared" si="5"/>
        <v>51</v>
      </c>
      <c r="AL52" s="328" t="s">
        <v>1238</v>
      </c>
      <c r="AM52" s="328" t="s">
        <v>1239</v>
      </c>
      <c r="AN52" s="328" t="s">
        <v>1240</v>
      </c>
      <c r="AO52" s="328" t="s">
        <v>1241</v>
      </c>
      <c r="AQ52">
        <f t="shared" si="6"/>
        <v>51</v>
      </c>
      <c r="AR52" t="s">
        <v>1242</v>
      </c>
      <c r="AS52" t="s">
        <v>1243</v>
      </c>
      <c r="AT52" t="s">
        <v>1244</v>
      </c>
      <c r="AU52" t="s">
        <v>1245</v>
      </c>
      <c r="AW52">
        <f t="shared" si="7"/>
        <v>51</v>
      </c>
      <c r="AX52" t="s">
        <v>774</v>
      </c>
      <c r="AY52" t="s">
        <v>774</v>
      </c>
      <c r="AZ52" t="s">
        <v>774</v>
      </c>
      <c r="BA52" t="s">
        <v>775</v>
      </c>
      <c r="BC52">
        <f t="shared" si="8"/>
        <v>51</v>
      </c>
      <c r="BD52" t="s">
        <v>1246</v>
      </c>
      <c r="BE52" t="s">
        <v>1098</v>
      </c>
      <c r="BF52" t="s">
        <v>1247</v>
      </c>
      <c r="BG52" t="s">
        <v>1100</v>
      </c>
      <c r="BI52">
        <f t="shared" si="9"/>
        <v>51</v>
      </c>
      <c r="BO52">
        <f t="shared" si="10"/>
        <v>51</v>
      </c>
      <c r="BP52" t="s">
        <v>1248</v>
      </c>
      <c r="BQ52" t="s">
        <v>1249</v>
      </c>
      <c r="BR52" t="s">
        <v>1250</v>
      </c>
      <c r="BS52" t="s">
        <v>1251</v>
      </c>
    </row>
    <row r="53" spans="1:71">
      <c r="A53">
        <f t="shared" si="19"/>
        <v>52</v>
      </c>
      <c r="B53" t="s">
        <v>1252</v>
      </c>
      <c r="C53" t="s">
        <v>1253</v>
      </c>
      <c r="D53" t="s">
        <v>1254</v>
      </c>
      <c r="E53" t="s">
        <v>1255</v>
      </c>
      <c r="M53">
        <f t="shared" si="1"/>
        <v>52</v>
      </c>
      <c r="N53" t="s">
        <v>1256</v>
      </c>
      <c r="O53" s="328" t="s">
        <v>1257</v>
      </c>
      <c r="P53" s="328" t="s">
        <v>1258</v>
      </c>
      <c r="Q53" s="328" t="s">
        <v>1259</v>
      </c>
      <c r="S53">
        <f t="shared" si="2"/>
        <v>52</v>
      </c>
      <c r="T53" t="s">
        <v>1260</v>
      </c>
      <c r="U53" t="s">
        <v>1261</v>
      </c>
      <c r="V53" t="s">
        <v>1262</v>
      </c>
      <c r="W53" t="s">
        <v>1263</v>
      </c>
      <c r="Y53">
        <f t="shared" si="3"/>
        <v>52</v>
      </c>
      <c r="AE53">
        <f t="shared" si="4"/>
        <v>52</v>
      </c>
      <c r="AK53">
        <f t="shared" si="5"/>
        <v>52</v>
      </c>
      <c r="AL53" s="328" t="s">
        <v>1264</v>
      </c>
      <c r="AM53" s="328" t="s">
        <v>1265</v>
      </c>
      <c r="AN53" s="328" t="s">
        <v>1266</v>
      </c>
      <c r="AO53" s="328" t="s">
        <v>1267</v>
      </c>
      <c r="AQ53">
        <f t="shared" si="6"/>
        <v>52</v>
      </c>
      <c r="AR53" t="s">
        <v>1268</v>
      </c>
      <c r="AS53" t="s">
        <v>1269</v>
      </c>
      <c r="AT53" t="s">
        <v>1270</v>
      </c>
      <c r="AU53" t="s">
        <v>1271</v>
      </c>
      <c r="AW53">
        <f t="shared" si="7"/>
        <v>52</v>
      </c>
      <c r="AX53" t="s">
        <v>812</v>
      </c>
      <c r="AY53" t="s">
        <v>813</v>
      </c>
      <c r="AZ53" t="s">
        <v>814</v>
      </c>
      <c r="BA53" t="s">
        <v>815</v>
      </c>
      <c r="BC53">
        <f t="shared" si="8"/>
        <v>52</v>
      </c>
      <c r="BD53" t="s">
        <v>1272</v>
      </c>
      <c r="BE53" t="s">
        <v>1273</v>
      </c>
      <c r="BF53" t="s">
        <v>1274</v>
      </c>
      <c r="BG53" t="s">
        <v>1275</v>
      </c>
      <c r="BI53">
        <f t="shared" si="9"/>
        <v>52</v>
      </c>
      <c r="BO53">
        <f t="shared" si="10"/>
        <v>52</v>
      </c>
      <c r="BP53" t="s">
        <v>1276</v>
      </c>
      <c r="BQ53" t="s">
        <v>1277</v>
      </c>
      <c r="BR53" t="s">
        <v>1278</v>
      </c>
      <c r="BS53" t="s">
        <v>1279</v>
      </c>
    </row>
    <row r="54" spans="1:71">
      <c r="A54">
        <f t="shared" ref="A54:A67" si="20">ROW()-1</f>
        <v>53</v>
      </c>
      <c r="B54" t="s">
        <v>1280</v>
      </c>
      <c r="C54" t="s">
        <v>1281</v>
      </c>
      <c r="D54" t="s">
        <v>1282</v>
      </c>
      <c r="E54" t="s">
        <v>1283</v>
      </c>
      <c r="M54">
        <f t="shared" si="1"/>
        <v>53</v>
      </c>
      <c r="N54" t="s">
        <v>1284</v>
      </c>
      <c r="O54" s="328" t="s">
        <v>1285</v>
      </c>
      <c r="P54" s="328" t="s">
        <v>1286</v>
      </c>
      <c r="Q54" s="328" t="s">
        <v>1287</v>
      </c>
      <c r="S54">
        <f t="shared" si="2"/>
        <v>53</v>
      </c>
      <c r="Y54">
        <f t="shared" si="3"/>
        <v>53</v>
      </c>
      <c r="AE54">
        <f t="shared" si="4"/>
        <v>53</v>
      </c>
      <c r="AK54">
        <f t="shared" si="5"/>
        <v>53</v>
      </c>
      <c r="AL54" s="328" t="s">
        <v>1288</v>
      </c>
      <c r="AM54" s="328" t="s">
        <v>1289</v>
      </c>
      <c r="AN54" s="328" t="s">
        <v>1290</v>
      </c>
      <c r="AO54" s="328" t="s">
        <v>1291</v>
      </c>
      <c r="AQ54">
        <f t="shared" si="6"/>
        <v>53</v>
      </c>
      <c r="AR54" s="328" t="s">
        <v>1292</v>
      </c>
      <c r="AS54" s="328" t="s">
        <v>1293</v>
      </c>
      <c r="AT54" s="328" t="s">
        <v>1294</v>
      </c>
      <c r="AU54" s="328" t="s">
        <v>1295</v>
      </c>
      <c r="AW54">
        <f t="shared" si="7"/>
        <v>53</v>
      </c>
      <c r="AX54" t="s">
        <v>852</v>
      </c>
      <c r="AY54" t="s">
        <v>853</v>
      </c>
      <c r="AZ54" t="s">
        <v>854</v>
      </c>
      <c r="BA54" t="s">
        <v>855</v>
      </c>
      <c r="BC54">
        <f t="shared" si="8"/>
        <v>53</v>
      </c>
      <c r="BD54" t="s">
        <v>1296</v>
      </c>
      <c r="BE54" t="s">
        <v>1297</v>
      </c>
      <c r="BF54" t="s">
        <v>1298</v>
      </c>
      <c r="BG54" t="s">
        <v>1299</v>
      </c>
      <c r="BI54">
        <f t="shared" si="9"/>
        <v>53</v>
      </c>
      <c r="BO54">
        <f t="shared" si="10"/>
        <v>53</v>
      </c>
      <c r="BP54" t="s">
        <v>1300</v>
      </c>
      <c r="BQ54" t="s">
        <v>1301</v>
      </c>
      <c r="BR54" t="s">
        <v>1302</v>
      </c>
      <c r="BS54" t="s">
        <v>1303</v>
      </c>
    </row>
    <row r="55" spans="1:71">
      <c r="A55">
        <f t="shared" si="20"/>
        <v>54</v>
      </c>
      <c r="B55" t="s">
        <v>1304</v>
      </c>
      <c r="C55" t="s">
        <v>1305</v>
      </c>
      <c r="D55" t="s">
        <v>1306</v>
      </c>
      <c r="E55" t="s">
        <v>1307</v>
      </c>
      <c r="M55">
        <f t="shared" si="1"/>
        <v>54</v>
      </c>
      <c r="N55" t="s">
        <v>1308</v>
      </c>
      <c r="O55" s="328" t="s">
        <v>1309</v>
      </c>
      <c r="P55" s="328" t="s">
        <v>1310</v>
      </c>
      <c r="Q55" s="328" t="s">
        <v>1311</v>
      </c>
      <c r="S55">
        <f t="shared" si="2"/>
        <v>54</v>
      </c>
      <c r="Y55">
        <f t="shared" si="3"/>
        <v>54</v>
      </c>
      <c r="AE55">
        <f t="shared" si="4"/>
        <v>54</v>
      </c>
      <c r="AK55">
        <f t="shared" si="5"/>
        <v>54</v>
      </c>
      <c r="AL55" s="328" t="s">
        <v>1312</v>
      </c>
      <c r="AM55" s="328" t="s">
        <v>1313</v>
      </c>
      <c r="AN55" s="328" t="s">
        <v>1314</v>
      </c>
      <c r="AO55" s="328" t="s">
        <v>1315</v>
      </c>
      <c r="AQ55">
        <f t="shared" si="6"/>
        <v>54</v>
      </c>
      <c r="AR55" t="s">
        <v>1316</v>
      </c>
      <c r="AS55" t="s">
        <v>1317</v>
      </c>
      <c r="AT55" t="s">
        <v>1318</v>
      </c>
      <c r="AU55" t="s">
        <v>1319</v>
      </c>
      <c r="AW55">
        <f t="shared" si="7"/>
        <v>54</v>
      </c>
      <c r="AX55" t="s">
        <v>738</v>
      </c>
      <c r="AY55" t="s">
        <v>738</v>
      </c>
      <c r="AZ55" t="s">
        <v>739</v>
      </c>
      <c r="BA55" t="s">
        <v>738</v>
      </c>
      <c r="BC55">
        <f t="shared" si="8"/>
        <v>54</v>
      </c>
      <c r="BD55" t="s">
        <v>1320</v>
      </c>
      <c r="BE55" t="s">
        <v>1321</v>
      </c>
      <c r="BF55" t="s">
        <v>1322</v>
      </c>
      <c r="BG55" t="s">
        <v>1323</v>
      </c>
      <c r="BI55">
        <f t="shared" si="9"/>
        <v>54</v>
      </c>
      <c r="BO55">
        <f t="shared" si="10"/>
        <v>54</v>
      </c>
      <c r="BP55" t="s">
        <v>1324</v>
      </c>
      <c r="BQ55" t="s">
        <v>1325</v>
      </c>
      <c r="BR55" t="s">
        <v>1326</v>
      </c>
      <c r="BS55" t="s">
        <v>1327</v>
      </c>
    </row>
    <row r="56" spans="1:71">
      <c r="A56">
        <f t="shared" si="20"/>
        <v>55</v>
      </c>
      <c r="M56">
        <f t="shared" si="1"/>
        <v>55</v>
      </c>
      <c r="O56" s="328"/>
      <c r="P56" s="328"/>
      <c r="Q56" s="328"/>
      <c r="S56">
        <f t="shared" si="2"/>
        <v>55</v>
      </c>
      <c r="Y56">
        <f t="shared" si="3"/>
        <v>55</v>
      </c>
      <c r="AE56">
        <f t="shared" si="4"/>
        <v>55</v>
      </c>
      <c r="AK56">
        <f t="shared" si="5"/>
        <v>55</v>
      </c>
      <c r="AL56" s="328" t="s">
        <v>1328</v>
      </c>
      <c r="AM56" s="328" t="s">
        <v>1329</v>
      </c>
      <c r="AN56" s="328" t="s">
        <v>1330</v>
      </c>
      <c r="AO56" s="328" t="s">
        <v>1331</v>
      </c>
      <c r="AQ56">
        <f t="shared" si="6"/>
        <v>55</v>
      </c>
      <c r="AR56" t="s">
        <v>1332</v>
      </c>
      <c r="AS56" t="s">
        <v>1332</v>
      </c>
      <c r="AT56" t="s">
        <v>1332</v>
      </c>
      <c r="AU56" t="s">
        <v>1332</v>
      </c>
      <c r="AW56">
        <f t="shared" si="7"/>
        <v>55</v>
      </c>
      <c r="AX56" t="s">
        <v>774</v>
      </c>
      <c r="AY56" t="s">
        <v>774</v>
      </c>
      <c r="AZ56" t="s">
        <v>774</v>
      </c>
      <c r="BA56" t="s">
        <v>775</v>
      </c>
      <c r="BC56">
        <f t="shared" si="8"/>
        <v>55</v>
      </c>
      <c r="BD56" t="s">
        <v>1333</v>
      </c>
      <c r="BE56" t="s">
        <v>1334</v>
      </c>
      <c r="BF56" t="s">
        <v>1335</v>
      </c>
      <c r="BG56" t="s">
        <v>1336</v>
      </c>
      <c r="BI56">
        <f t="shared" si="9"/>
        <v>55</v>
      </c>
      <c r="BO56">
        <f t="shared" si="10"/>
        <v>55</v>
      </c>
      <c r="BP56" t="s">
        <v>1337</v>
      </c>
      <c r="BQ56" t="s">
        <v>1338</v>
      </c>
      <c r="BR56" t="s">
        <v>1339</v>
      </c>
      <c r="BS56" t="s">
        <v>1340</v>
      </c>
    </row>
    <row r="57" spans="1:71">
      <c r="A57">
        <f t="shared" si="20"/>
        <v>56</v>
      </c>
      <c r="M57">
        <f t="shared" si="1"/>
        <v>56</v>
      </c>
      <c r="O57" s="328"/>
      <c r="P57" s="328"/>
      <c r="Q57" s="328"/>
      <c r="S57">
        <f t="shared" si="2"/>
        <v>56</v>
      </c>
      <c r="Y57">
        <f t="shared" si="3"/>
        <v>56</v>
      </c>
      <c r="AE57">
        <f t="shared" si="4"/>
        <v>56</v>
      </c>
      <c r="AK57">
        <f t="shared" si="5"/>
        <v>56</v>
      </c>
      <c r="AL57" s="328" t="s">
        <v>1341</v>
      </c>
      <c r="AM57" s="328" t="s">
        <v>1342</v>
      </c>
      <c r="AN57" s="328" t="s">
        <v>1343</v>
      </c>
      <c r="AO57" s="328" t="s">
        <v>1344</v>
      </c>
      <c r="AQ57">
        <f t="shared" si="6"/>
        <v>56</v>
      </c>
      <c r="AR57" t="s">
        <v>1345</v>
      </c>
      <c r="AS57" t="s">
        <v>1346</v>
      </c>
      <c r="AT57" t="s">
        <v>1347</v>
      </c>
      <c r="AU57" t="s">
        <v>1348</v>
      </c>
      <c r="AW57">
        <f t="shared" si="7"/>
        <v>56</v>
      </c>
      <c r="AX57" t="s">
        <v>812</v>
      </c>
      <c r="AY57" t="s">
        <v>813</v>
      </c>
      <c r="AZ57" t="s">
        <v>814</v>
      </c>
      <c r="BA57" t="s">
        <v>815</v>
      </c>
      <c r="BC57">
        <f t="shared" si="8"/>
        <v>56</v>
      </c>
      <c r="BI57">
        <f t="shared" si="9"/>
        <v>56</v>
      </c>
      <c r="BO57">
        <f t="shared" si="10"/>
        <v>56</v>
      </c>
    </row>
    <row r="58" spans="1:71">
      <c r="A58">
        <f t="shared" si="20"/>
        <v>57</v>
      </c>
      <c r="M58">
        <f t="shared" si="1"/>
        <v>57</v>
      </c>
      <c r="O58" s="328"/>
      <c r="P58" s="328"/>
      <c r="Q58" s="328"/>
      <c r="S58">
        <f t="shared" si="2"/>
        <v>57</v>
      </c>
      <c r="Y58">
        <f t="shared" si="3"/>
        <v>57</v>
      </c>
      <c r="AE58">
        <f t="shared" si="4"/>
        <v>57</v>
      </c>
      <c r="AK58">
        <f t="shared" si="5"/>
        <v>57</v>
      </c>
      <c r="AL58" s="328" t="s">
        <v>808</v>
      </c>
      <c r="AM58" s="328" t="s">
        <v>809</v>
      </c>
      <c r="AN58" s="328" t="s">
        <v>1349</v>
      </c>
      <c r="AO58" s="328" t="s">
        <v>811</v>
      </c>
      <c r="AQ58">
        <f t="shared" si="6"/>
        <v>57</v>
      </c>
      <c r="AR58" t="s">
        <v>1268</v>
      </c>
      <c r="AS58" t="s">
        <v>1269</v>
      </c>
      <c r="AT58" t="s">
        <v>1270</v>
      </c>
      <c r="AU58" t="s">
        <v>1271</v>
      </c>
      <c r="AW58">
        <f t="shared" si="7"/>
        <v>57</v>
      </c>
      <c r="AX58" t="s">
        <v>1350</v>
      </c>
      <c r="AY58" t="s">
        <v>1351</v>
      </c>
      <c r="AZ58" t="s">
        <v>1352</v>
      </c>
      <c r="BA58" t="s">
        <v>1353</v>
      </c>
      <c r="BC58">
        <f t="shared" si="8"/>
        <v>57</v>
      </c>
      <c r="BI58">
        <f t="shared" si="9"/>
        <v>57</v>
      </c>
      <c r="BO58">
        <f t="shared" si="10"/>
        <v>57</v>
      </c>
    </row>
    <row r="59" spans="1:71">
      <c r="A59">
        <f t="shared" si="20"/>
        <v>58</v>
      </c>
      <c r="M59">
        <f t="shared" si="1"/>
        <v>58</v>
      </c>
      <c r="O59" s="328"/>
      <c r="P59" s="328"/>
      <c r="Q59" s="328"/>
      <c r="S59">
        <f t="shared" si="2"/>
        <v>58</v>
      </c>
      <c r="Y59">
        <f t="shared" si="3"/>
        <v>58</v>
      </c>
      <c r="AE59">
        <f t="shared" si="4"/>
        <v>58</v>
      </c>
      <c r="AK59">
        <f t="shared" si="5"/>
        <v>58</v>
      </c>
      <c r="AL59" s="328" t="s">
        <v>1354</v>
      </c>
      <c r="AM59" s="328" t="s">
        <v>1355</v>
      </c>
      <c r="AN59" s="328" t="s">
        <v>1356</v>
      </c>
      <c r="AO59" s="328" t="s">
        <v>1357</v>
      </c>
      <c r="AQ59">
        <f t="shared" si="6"/>
        <v>58</v>
      </c>
      <c r="AR59" t="s">
        <v>1358</v>
      </c>
      <c r="AS59" t="s">
        <v>1359</v>
      </c>
      <c r="AT59" t="s">
        <v>1360</v>
      </c>
      <c r="AU59" t="s">
        <v>1361</v>
      </c>
      <c r="AW59">
        <f t="shared" si="7"/>
        <v>58</v>
      </c>
      <c r="AX59" t="s">
        <v>1362</v>
      </c>
      <c r="AY59" t="s">
        <v>1363</v>
      </c>
      <c r="AZ59" t="s">
        <v>1364</v>
      </c>
      <c r="BA59" t="s">
        <v>1365</v>
      </c>
      <c r="BC59">
        <f t="shared" si="8"/>
        <v>58</v>
      </c>
      <c r="BI59">
        <f t="shared" si="9"/>
        <v>58</v>
      </c>
      <c r="BO59">
        <f t="shared" si="10"/>
        <v>58</v>
      </c>
    </row>
    <row r="60" spans="1:71">
      <c r="A60">
        <f t="shared" si="20"/>
        <v>59</v>
      </c>
      <c r="M60">
        <f t="shared" si="1"/>
        <v>59</v>
      </c>
      <c r="O60" s="328"/>
      <c r="P60" s="328"/>
      <c r="Q60" s="328"/>
      <c r="S60">
        <f t="shared" si="2"/>
        <v>59</v>
      </c>
      <c r="Y60">
        <f t="shared" si="3"/>
        <v>59</v>
      </c>
      <c r="AE60">
        <f t="shared" si="4"/>
        <v>59</v>
      </c>
      <c r="AK60">
        <f t="shared" si="5"/>
        <v>59</v>
      </c>
      <c r="AL60" s="328" t="s">
        <v>1366</v>
      </c>
      <c r="AM60" s="328" t="s">
        <v>1367</v>
      </c>
      <c r="AN60" s="328" t="s">
        <v>1368</v>
      </c>
      <c r="AO60" s="328" t="s">
        <v>1369</v>
      </c>
      <c r="AQ60">
        <f t="shared" si="6"/>
        <v>59</v>
      </c>
      <c r="AR60" t="s">
        <v>1370</v>
      </c>
      <c r="AS60" t="s">
        <v>1371</v>
      </c>
      <c r="AT60" t="s">
        <v>1372</v>
      </c>
      <c r="AU60" t="s">
        <v>1373</v>
      </c>
      <c r="AW60">
        <f t="shared" si="7"/>
        <v>59</v>
      </c>
      <c r="BC60">
        <f t="shared" si="8"/>
        <v>59</v>
      </c>
      <c r="BI60">
        <f t="shared" si="9"/>
        <v>59</v>
      </c>
      <c r="BO60">
        <f t="shared" si="10"/>
        <v>59</v>
      </c>
    </row>
    <row r="61" spans="1:71">
      <c r="A61">
        <f t="shared" si="20"/>
        <v>60</v>
      </c>
      <c r="M61">
        <f t="shared" si="1"/>
        <v>60</v>
      </c>
      <c r="O61" s="328"/>
      <c r="P61" s="328"/>
      <c r="Q61" s="328"/>
      <c r="S61">
        <f t="shared" si="2"/>
        <v>60</v>
      </c>
      <c r="Y61">
        <f t="shared" si="3"/>
        <v>60</v>
      </c>
      <c r="AE61">
        <f t="shared" si="4"/>
        <v>60</v>
      </c>
      <c r="AK61">
        <f t="shared" si="5"/>
        <v>60</v>
      </c>
      <c r="AL61" s="328" t="s">
        <v>1374</v>
      </c>
      <c r="AM61" s="328" t="s">
        <v>1375</v>
      </c>
      <c r="AN61" s="328" t="s">
        <v>1376</v>
      </c>
      <c r="AO61" s="328" t="s">
        <v>1377</v>
      </c>
      <c r="AQ61">
        <f t="shared" si="6"/>
        <v>60</v>
      </c>
      <c r="AR61" t="s">
        <v>1378</v>
      </c>
      <c r="AS61" t="s">
        <v>1379</v>
      </c>
      <c r="AT61" t="s">
        <v>1380</v>
      </c>
      <c r="AU61" t="s">
        <v>1381</v>
      </c>
      <c r="AW61">
        <f t="shared" si="7"/>
        <v>60</v>
      </c>
      <c r="BC61">
        <f t="shared" si="8"/>
        <v>60</v>
      </c>
      <c r="BI61">
        <f t="shared" si="9"/>
        <v>60</v>
      </c>
      <c r="BO61">
        <f t="shared" si="10"/>
        <v>60</v>
      </c>
    </row>
    <row r="62" spans="1:71">
      <c r="A62">
        <f t="shared" si="20"/>
        <v>61</v>
      </c>
      <c r="M62">
        <f t="shared" si="1"/>
        <v>61</v>
      </c>
      <c r="N62" t="s">
        <v>979</v>
      </c>
      <c r="O62" s="328" t="s">
        <v>980</v>
      </c>
      <c r="P62" s="328" t="s">
        <v>981</v>
      </c>
      <c r="Q62" s="328" t="s">
        <v>982</v>
      </c>
      <c r="S62">
        <f t="shared" si="2"/>
        <v>61</v>
      </c>
      <c r="T62" t="s">
        <v>1382</v>
      </c>
      <c r="U62" t="s">
        <v>1383</v>
      </c>
      <c r="V62" t="s">
        <v>1384</v>
      </c>
      <c r="W62" t="s">
        <v>1385</v>
      </c>
      <c r="Y62">
        <f t="shared" si="3"/>
        <v>61</v>
      </c>
      <c r="AE62">
        <f t="shared" si="4"/>
        <v>61</v>
      </c>
      <c r="AF62" t="s">
        <v>1386</v>
      </c>
      <c r="AG62" t="s">
        <v>1387</v>
      </c>
      <c r="AH62" t="s">
        <v>1388</v>
      </c>
      <c r="AI62" t="s">
        <v>1389</v>
      </c>
      <c r="AK62">
        <f t="shared" si="5"/>
        <v>61</v>
      </c>
      <c r="AL62" s="328" t="s">
        <v>1390</v>
      </c>
      <c r="AM62" s="328" t="s">
        <v>1391</v>
      </c>
      <c r="AN62" s="328" t="s">
        <v>1392</v>
      </c>
      <c r="AO62" s="328" t="s">
        <v>1393</v>
      </c>
      <c r="AQ62">
        <f t="shared" si="6"/>
        <v>61</v>
      </c>
      <c r="AR62" t="s">
        <v>1394</v>
      </c>
      <c r="AS62" t="s">
        <v>1395</v>
      </c>
      <c r="AT62" t="s">
        <v>1396</v>
      </c>
      <c r="AU62" t="s">
        <v>1397</v>
      </c>
      <c r="AW62">
        <f t="shared" si="7"/>
        <v>61</v>
      </c>
      <c r="BC62">
        <f t="shared" si="8"/>
        <v>61</v>
      </c>
      <c r="BI62">
        <f t="shared" si="9"/>
        <v>61</v>
      </c>
      <c r="BJ62" t="s">
        <v>245</v>
      </c>
      <c r="BK62" t="s">
        <v>246</v>
      </c>
      <c r="BL62" t="s">
        <v>247</v>
      </c>
      <c r="BM62" t="s">
        <v>248</v>
      </c>
      <c r="BO62">
        <f t="shared" si="10"/>
        <v>61</v>
      </c>
    </row>
    <row r="63" spans="1:71">
      <c r="A63">
        <f t="shared" si="20"/>
        <v>62</v>
      </c>
      <c r="M63">
        <f t="shared" si="1"/>
        <v>62</v>
      </c>
      <c r="N63" t="s">
        <v>1398</v>
      </c>
      <c r="O63" s="328" t="s">
        <v>1399</v>
      </c>
      <c r="P63" s="328" t="s">
        <v>1400</v>
      </c>
      <c r="Q63" s="328" t="s">
        <v>1401</v>
      </c>
      <c r="S63">
        <f t="shared" si="2"/>
        <v>62</v>
      </c>
      <c r="T63" t="s">
        <v>1402</v>
      </c>
      <c r="U63" t="s">
        <v>1403</v>
      </c>
      <c r="V63" t="s">
        <v>1404</v>
      </c>
      <c r="W63" t="s">
        <v>1405</v>
      </c>
      <c r="Y63">
        <f t="shared" si="3"/>
        <v>62</v>
      </c>
      <c r="AE63">
        <f t="shared" si="4"/>
        <v>62</v>
      </c>
      <c r="AF63" t="s">
        <v>1406</v>
      </c>
      <c r="AG63" s="34" t="s">
        <v>1407</v>
      </c>
      <c r="AH63" t="s">
        <v>1408</v>
      </c>
      <c r="AI63" t="s">
        <v>1409</v>
      </c>
      <c r="AK63">
        <f t="shared" si="5"/>
        <v>62</v>
      </c>
      <c r="AL63" s="328" t="s">
        <v>1410</v>
      </c>
      <c r="AM63" s="328" t="s">
        <v>1411</v>
      </c>
      <c r="AN63" s="328" t="s">
        <v>1412</v>
      </c>
      <c r="AO63" s="328" t="s">
        <v>1413</v>
      </c>
      <c r="AQ63">
        <f t="shared" si="6"/>
        <v>62</v>
      </c>
      <c r="AR63" t="s">
        <v>808</v>
      </c>
      <c r="AS63" t="s">
        <v>809</v>
      </c>
      <c r="AT63" t="s">
        <v>810</v>
      </c>
      <c r="AU63" t="s">
        <v>811</v>
      </c>
      <c r="AW63">
        <f t="shared" si="7"/>
        <v>62</v>
      </c>
      <c r="BC63">
        <f t="shared" si="8"/>
        <v>62</v>
      </c>
      <c r="BI63">
        <f t="shared" si="9"/>
        <v>62</v>
      </c>
      <c r="BJ63" t="s">
        <v>1414</v>
      </c>
      <c r="BK63" t="s">
        <v>1415</v>
      </c>
      <c r="BL63" t="s">
        <v>1416</v>
      </c>
      <c r="BM63" t="s">
        <v>1417</v>
      </c>
      <c r="BO63">
        <f t="shared" si="10"/>
        <v>62</v>
      </c>
    </row>
    <row r="64" spans="1:71">
      <c r="A64">
        <f t="shared" si="20"/>
        <v>63</v>
      </c>
      <c r="M64">
        <f t="shared" si="1"/>
        <v>63</v>
      </c>
      <c r="N64" t="s">
        <v>1418</v>
      </c>
      <c r="O64" s="328" t="s">
        <v>1419</v>
      </c>
      <c r="P64" s="328" t="s">
        <v>1420</v>
      </c>
      <c r="Q64" s="328" t="s">
        <v>1421</v>
      </c>
      <c r="S64">
        <f t="shared" si="2"/>
        <v>63</v>
      </c>
      <c r="T64" t="s">
        <v>1422</v>
      </c>
      <c r="U64" t="s">
        <v>1423</v>
      </c>
      <c r="V64" t="s">
        <v>1424</v>
      </c>
      <c r="W64" t="s">
        <v>1425</v>
      </c>
      <c r="Y64">
        <f t="shared" si="3"/>
        <v>63</v>
      </c>
      <c r="AE64">
        <f t="shared" si="4"/>
        <v>63</v>
      </c>
      <c r="AF64" t="s">
        <v>1426</v>
      </c>
      <c r="AG64" t="s">
        <v>1427</v>
      </c>
      <c r="AH64" t="s">
        <v>1428</v>
      </c>
      <c r="AI64" t="s">
        <v>1426</v>
      </c>
      <c r="AK64">
        <f t="shared" si="5"/>
        <v>63</v>
      </c>
      <c r="AL64" s="328" t="s">
        <v>1410</v>
      </c>
      <c r="AM64" s="328" t="s">
        <v>1411</v>
      </c>
      <c r="AN64" s="328" t="s">
        <v>1412</v>
      </c>
      <c r="AO64" s="328" t="s">
        <v>1413</v>
      </c>
      <c r="AQ64">
        <f t="shared" si="6"/>
        <v>63</v>
      </c>
      <c r="AR64" s="328" t="s">
        <v>1429</v>
      </c>
      <c r="AS64" s="328" t="s">
        <v>1430</v>
      </c>
      <c r="AT64" s="328" t="s">
        <v>1431</v>
      </c>
      <c r="AU64" s="328" t="s">
        <v>1432</v>
      </c>
      <c r="AW64">
        <f t="shared" si="7"/>
        <v>63</v>
      </c>
      <c r="BC64">
        <f t="shared" si="8"/>
        <v>63</v>
      </c>
      <c r="BI64">
        <f t="shared" si="9"/>
        <v>63</v>
      </c>
      <c r="BJ64" t="s">
        <v>1433</v>
      </c>
      <c r="BK64" t="s">
        <v>1434</v>
      </c>
      <c r="BL64" t="s">
        <v>1435</v>
      </c>
      <c r="BM64" t="s">
        <v>1436</v>
      </c>
      <c r="BO64">
        <f t="shared" si="10"/>
        <v>63</v>
      </c>
    </row>
    <row r="65" spans="1:71">
      <c r="A65">
        <f t="shared" si="20"/>
        <v>64</v>
      </c>
      <c r="M65">
        <f t="shared" si="1"/>
        <v>64</v>
      </c>
      <c r="N65" t="s">
        <v>1437</v>
      </c>
      <c r="O65" s="328" t="s">
        <v>1438</v>
      </c>
      <c r="P65" s="328" t="s">
        <v>1439</v>
      </c>
      <c r="Q65" s="328" t="s">
        <v>1440</v>
      </c>
      <c r="S65">
        <f t="shared" si="2"/>
        <v>64</v>
      </c>
      <c r="T65" t="s">
        <v>1441</v>
      </c>
      <c r="U65" t="s">
        <v>1442</v>
      </c>
      <c r="V65" t="s">
        <v>1443</v>
      </c>
      <c r="W65" t="s">
        <v>1444</v>
      </c>
      <c r="Y65">
        <f t="shared" si="3"/>
        <v>64</v>
      </c>
      <c r="AE65">
        <f t="shared" si="4"/>
        <v>64</v>
      </c>
      <c r="AF65" t="s">
        <v>1445</v>
      </c>
      <c r="AG65" t="s">
        <v>1446</v>
      </c>
      <c r="AH65" t="s">
        <v>1447</v>
      </c>
      <c r="AI65" t="s">
        <v>1445</v>
      </c>
      <c r="AK65">
        <f t="shared" si="5"/>
        <v>64</v>
      </c>
      <c r="AL65" s="328" t="s">
        <v>1448</v>
      </c>
      <c r="AM65" s="328" t="s">
        <v>1449</v>
      </c>
      <c r="AN65" s="328" t="s">
        <v>1450</v>
      </c>
      <c r="AO65" s="328" t="s">
        <v>1451</v>
      </c>
      <c r="AQ65">
        <f t="shared" si="6"/>
        <v>64</v>
      </c>
      <c r="AR65" t="s">
        <v>1452</v>
      </c>
      <c r="AS65" t="s">
        <v>1453</v>
      </c>
      <c r="AT65" t="s">
        <v>1454</v>
      </c>
      <c r="AU65" t="s">
        <v>1455</v>
      </c>
      <c r="AW65">
        <f t="shared" si="7"/>
        <v>64</v>
      </c>
      <c r="BC65">
        <f t="shared" si="8"/>
        <v>64</v>
      </c>
      <c r="BI65">
        <f t="shared" si="9"/>
        <v>64</v>
      </c>
      <c r="BO65">
        <f t="shared" si="10"/>
        <v>64</v>
      </c>
    </row>
    <row r="66" spans="1:71">
      <c r="A66">
        <f t="shared" si="20"/>
        <v>65</v>
      </c>
      <c r="M66">
        <f t="shared" si="1"/>
        <v>65</v>
      </c>
      <c r="N66" t="s">
        <v>1456</v>
      </c>
      <c r="O66" s="328" t="s">
        <v>1457</v>
      </c>
      <c r="P66" s="328" t="s">
        <v>1458</v>
      </c>
      <c r="Q66" s="328" t="s">
        <v>1459</v>
      </c>
      <c r="S66">
        <f t="shared" si="2"/>
        <v>65</v>
      </c>
      <c r="T66" t="s">
        <v>1460</v>
      </c>
      <c r="U66" t="s">
        <v>1461</v>
      </c>
      <c r="V66" t="s">
        <v>1462</v>
      </c>
      <c r="W66" t="s">
        <v>1463</v>
      </c>
      <c r="Y66">
        <f t="shared" si="3"/>
        <v>65</v>
      </c>
      <c r="AE66">
        <f t="shared" si="4"/>
        <v>65</v>
      </c>
      <c r="AF66" t="s">
        <v>1464</v>
      </c>
      <c r="AG66" t="s">
        <v>1465</v>
      </c>
      <c r="AH66" t="s">
        <v>1466</v>
      </c>
      <c r="AI66" t="s">
        <v>1464</v>
      </c>
      <c r="AK66">
        <f t="shared" si="5"/>
        <v>65</v>
      </c>
      <c r="AL66" s="328" t="s">
        <v>1467</v>
      </c>
      <c r="AM66" s="328" t="s">
        <v>1468</v>
      </c>
      <c r="AN66" s="328" t="s">
        <v>1469</v>
      </c>
      <c r="AO66" s="328" t="s">
        <v>1470</v>
      </c>
      <c r="AQ66">
        <f t="shared" si="6"/>
        <v>65</v>
      </c>
      <c r="AR66" t="s">
        <v>1471</v>
      </c>
      <c r="AS66" t="s">
        <v>1472</v>
      </c>
      <c r="AT66" t="s">
        <v>1473</v>
      </c>
      <c r="AU66" t="s">
        <v>1474</v>
      </c>
      <c r="AW66">
        <f t="shared" si="7"/>
        <v>65</v>
      </c>
      <c r="BC66">
        <f t="shared" si="8"/>
        <v>65</v>
      </c>
      <c r="BI66">
        <f t="shared" si="9"/>
        <v>65</v>
      </c>
      <c r="BO66">
        <f t="shared" si="10"/>
        <v>65</v>
      </c>
    </row>
    <row r="67" spans="1:71">
      <c r="A67">
        <f t="shared" si="20"/>
        <v>66</v>
      </c>
      <c r="M67">
        <f t="shared" ref="M67:M130" si="21">ROW()-1</f>
        <v>66</v>
      </c>
      <c r="N67" t="s">
        <v>1475</v>
      </c>
      <c r="O67" s="328" t="s">
        <v>1476</v>
      </c>
      <c r="P67" s="328" t="s">
        <v>1477</v>
      </c>
      <c r="Q67" s="328" t="s">
        <v>1476</v>
      </c>
      <c r="S67">
        <f t="shared" ref="S67:S130" si="22">ROW()-1</f>
        <v>66</v>
      </c>
      <c r="T67" t="s">
        <v>1478</v>
      </c>
      <c r="U67" t="s">
        <v>1479</v>
      </c>
      <c r="V67" t="s">
        <v>1480</v>
      </c>
      <c r="W67" t="s">
        <v>1481</v>
      </c>
      <c r="Y67">
        <f t="shared" ref="Y67:Y130" si="23">ROW()-1</f>
        <v>66</v>
      </c>
      <c r="AE67">
        <f t="shared" ref="AE67:AE130" si="24">ROW()-1</f>
        <v>66</v>
      </c>
      <c r="AF67" t="s">
        <v>1482</v>
      </c>
      <c r="AG67" t="s">
        <v>1483</v>
      </c>
      <c r="AH67" t="s">
        <v>1484</v>
      </c>
      <c r="AI67" t="s">
        <v>1483</v>
      </c>
      <c r="AK67">
        <f t="shared" ref="AK67:AK130" si="25">ROW()-1</f>
        <v>66</v>
      </c>
      <c r="AL67" s="328" t="s">
        <v>1485</v>
      </c>
      <c r="AM67" s="328" t="s">
        <v>1486</v>
      </c>
      <c r="AN67" s="328" t="s">
        <v>1487</v>
      </c>
      <c r="AO67" s="328" t="s">
        <v>1488</v>
      </c>
      <c r="AQ67">
        <f t="shared" ref="AQ67:AQ130" si="26">ROW()-1</f>
        <v>66</v>
      </c>
      <c r="AR67" t="s">
        <v>1489</v>
      </c>
      <c r="AS67" t="s">
        <v>1490</v>
      </c>
      <c r="AT67" t="s">
        <v>1491</v>
      </c>
      <c r="AU67" t="s">
        <v>1492</v>
      </c>
      <c r="AW67">
        <f t="shared" ref="AW67:AW130" si="27">ROW()-1</f>
        <v>66</v>
      </c>
      <c r="BC67">
        <f t="shared" ref="BC67:BC130" si="28">ROW()-1</f>
        <v>66</v>
      </c>
      <c r="BI67">
        <f t="shared" ref="BI67:BI130" si="29">ROW()-1</f>
        <v>66</v>
      </c>
      <c r="BO67">
        <f t="shared" ref="BO67:BO130" si="30">ROW()-1</f>
        <v>66</v>
      </c>
    </row>
    <row r="68" spans="1:71">
      <c r="M68">
        <f t="shared" si="21"/>
        <v>67</v>
      </c>
      <c r="N68" t="s">
        <v>1493</v>
      </c>
      <c r="O68" s="328" t="s">
        <v>1494</v>
      </c>
      <c r="P68" s="328" t="s">
        <v>1495</v>
      </c>
      <c r="Q68" s="328" t="s">
        <v>1496</v>
      </c>
      <c r="S68">
        <f t="shared" si="22"/>
        <v>67</v>
      </c>
      <c r="T68" t="s">
        <v>1497</v>
      </c>
      <c r="U68" t="s">
        <v>1498</v>
      </c>
      <c r="V68" t="s">
        <v>1499</v>
      </c>
      <c r="W68" t="s">
        <v>1500</v>
      </c>
      <c r="Y68">
        <f t="shared" si="23"/>
        <v>67</v>
      </c>
      <c r="AE68">
        <f t="shared" si="24"/>
        <v>67</v>
      </c>
      <c r="AF68" t="s">
        <v>1501</v>
      </c>
      <c r="AG68" t="s">
        <v>1502</v>
      </c>
      <c r="AH68" t="s">
        <v>1503</v>
      </c>
      <c r="AI68" t="s">
        <v>1504</v>
      </c>
      <c r="AK68">
        <f t="shared" si="25"/>
        <v>67</v>
      </c>
      <c r="AQ68">
        <f t="shared" si="26"/>
        <v>67</v>
      </c>
      <c r="AR68" s="328" t="s">
        <v>1505</v>
      </c>
      <c r="AS68" s="328" t="s">
        <v>1506</v>
      </c>
      <c r="AT68" s="328" t="s">
        <v>1507</v>
      </c>
      <c r="AU68" s="328" t="s">
        <v>1508</v>
      </c>
      <c r="AW68">
        <f t="shared" si="27"/>
        <v>67</v>
      </c>
      <c r="BC68">
        <f t="shared" si="28"/>
        <v>67</v>
      </c>
      <c r="BI68">
        <f t="shared" si="29"/>
        <v>67</v>
      </c>
      <c r="BO68">
        <f t="shared" si="30"/>
        <v>67</v>
      </c>
    </row>
    <row r="69" spans="1:71">
      <c r="M69">
        <f t="shared" si="21"/>
        <v>68</v>
      </c>
      <c r="O69" s="328"/>
      <c r="P69" s="328"/>
      <c r="Q69" s="328"/>
      <c r="S69">
        <f t="shared" si="22"/>
        <v>68</v>
      </c>
      <c r="T69" t="s">
        <v>1509</v>
      </c>
      <c r="U69" t="s">
        <v>1510</v>
      </c>
      <c r="V69" t="s">
        <v>1511</v>
      </c>
      <c r="W69" t="s">
        <v>1512</v>
      </c>
      <c r="Y69">
        <f t="shared" si="23"/>
        <v>68</v>
      </c>
      <c r="AE69">
        <f t="shared" si="24"/>
        <v>68</v>
      </c>
      <c r="AF69" t="s">
        <v>1513</v>
      </c>
      <c r="AG69" t="s">
        <v>1514</v>
      </c>
      <c r="AH69" t="s">
        <v>1515</v>
      </c>
      <c r="AI69" t="s">
        <v>1513</v>
      </c>
      <c r="AK69">
        <f t="shared" si="25"/>
        <v>68</v>
      </c>
      <c r="AQ69">
        <f t="shared" si="26"/>
        <v>68</v>
      </c>
      <c r="AR69" s="328" t="s">
        <v>1516</v>
      </c>
      <c r="AS69" s="328" t="s">
        <v>1517</v>
      </c>
      <c r="AT69" s="328" t="s">
        <v>1518</v>
      </c>
      <c r="AU69" s="328" t="s">
        <v>1519</v>
      </c>
      <c r="AW69">
        <f t="shared" si="27"/>
        <v>68</v>
      </c>
      <c r="BC69">
        <f t="shared" si="28"/>
        <v>68</v>
      </c>
      <c r="BI69">
        <f t="shared" si="29"/>
        <v>68</v>
      </c>
      <c r="BO69">
        <f t="shared" si="30"/>
        <v>68</v>
      </c>
    </row>
    <row r="70" spans="1:71">
      <c r="M70">
        <f t="shared" si="21"/>
        <v>69</v>
      </c>
      <c r="O70" s="328"/>
      <c r="P70" s="328"/>
      <c r="Q70" s="328"/>
      <c r="S70">
        <f t="shared" si="22"/>
        <v>69</v>
      </c>
      <c r="T70" t="s">
        <v>1520</v>
      </c>
      <c r="U70" t="s">
        <v>1521</v>
      </c>
      <c r="V70" t="s">
        <v>1522</v>
      </c>
      <c r="W70" t="s">
        <v>1523</v>
      </c>
      <c r="Y70">
        <f t="shared" si="23"/>
        <v>69</v>
      </c>
      <c r="AE70">
        <f t="shared" si="24"/>
        <v>69</v>
      </c>
      <c r="AF70" t="s">
        <v>1524</v>
      </c>
      <c r="AG70" t="s">
        <v>1525</v>
      </c>
      <c r="AH70" t="s">
        <v>1526</v>
      </c>
      <c r="AI70" t="s">
        <v>1525</v>
      </c>
      <c r="AK70">
        <f t="shared" si="25"/>
        <v>69</v>
      </c>
      <c r="AQ70">
        <f t="shared" si="26"/>
        <v>69</v>
      </c>
      <c r="AR70" s="328" t="s">
        <v>1527</v>
      </c>
      <c r="AS70" s="328" t="s">
        <v>1528</v>
      </c>
      <c r="AT70" s="328" t="s">
        <v>1529</v>
      </c>
      <c r="AU70" s="328" t="s">
        <v>1530</v>
      </c>
      <c r="AW70">
        <f t="shared" si="27"/>
        <v>69</v>
      </c>
      <c r="BC70">
        <f t="shared" si="28"/>
        <v>69</v>
      </c>
      <c r="BI70">
        <f t="shared" si="29"/>
        <v>69</v>
      </c>
      <c r="BO70">
        <f t="shared" si="30"/>
        <v>69</v>
      </c>
    </row>
    <row r="71" spans="1:71">
      <c r="M71">
        <f t="shared" si="21"/>
        <v>70</v>
      </c>
      <c r="O71" s="328"/>
      <c r="P71" s="328"/>
      <c r="Q71" s="328"/>
      <c r="S71">
        <f t="shared" si="22"/>
        <v>70</v>
      </c>
      <c r="T71" t="s">
        <v>1531</v>
      </c>
      <c r="U71" t="s">
        <v>1532</v>
      </c>
      <c r="V71" t="s">
        <v>1533</v>
      </c>
      <c r="W71" t="s">
        <v>1534</v>
      </c>
      <c r="Y71">
        <f t="shared" si="23"/>
        <v>70</v>
      </c>
      <c r="AE71">
        <f t="shared" si="24"/>
        <v>70</v>
      </c>
      <c r="AF71" t="s">
        <v>1535</v>
      </c>
      <c r="AG71" t="s">
        <v>1536</v>
      </c>
      <c r="AH71" t="s">
        <v>1537</v>
      </c>
      <c r="AI71" t="s">
        <v>1538</v>
      </c>
      <c r="AK71">
        <f t="shared" si="25"/>
        <v>70</v>
      </c>
      <c r="AQ71">
        <f t="shared" si="26"/>
        <v>70</v>
      </c>
      <c r="AR71" t="s">
        <v>1539</v>
      </c>
      <c r="AS71" t="s">
        <v>1540</v>
      </c>
      <c r="AT71" t="s">
        <v>1541</v>
      </c>
      <c r="AU71" t="s">
        <v>1542</v>
      </c>
      <c r="AW71">
        <f t="shared" si="27"/>
        <v>70</v>
      </c>
      <c r="BC71">
        <f t="shared" si="28"/>
        <v>70</v>
      </c>
      <c r="BI71">
        <f t="shared" si="29"/>
        <v>70</v>
      </c>
      <c r="BO71">
        <f t="shared" si="30"/>
        <v>70</v>
      </c>
    </row>
    <row r="72" spans="1:71">
      <c r="M72">
        <f t="shared" si="21"/>
        <v>71</v>
      </c>
      <c r="N72" t="s">
        <v>1543</v>
      </c>
      <c r="O72" s="328" t="s">
        <v>1544</v>
      </c>
      <c r="P72" s="328" t="s">
        <v>1545</v>
      </c>
      <c r="Q72" s="328" t="s">
        <v>1546</v>
      </c>
      <c r="S72">
        <f t="shared" si="22"/>
        <v>71</v>
      </c>
      <c r="Y72">
        <f t="shared" si="23"/>
        <v>71</v>
      </c>
      <c r="AE72">
        <f t="shared" si="24"/>
        <v>71</v>
      </c>
      <c r="AF72" t="s">
        <v>1547</v>
      </c>
      <c r="AG72" t="s">
        <v>1548</v>
      </c>
      <c r="AH72" t="s">
        <v>1549</v>
      </c>
      <c r="AI72" t="s">
        <v>1547</v>
      </c>
      <c r="AK72">
        <f t="shared" si="25"/>
        <v>71</v>
      </c>
      <c r="AQ72">
        <f t="shared" si="26"/>
        <v>71</v>
      </c>
      <c r="AR72" t="s">
        <v>1550</v>
      </c>
      <c r="AS72" t="s">
        <v>1119</v>
      </c>
      <c r="AT72" t="s">
        <v>1551</v>
      </c>
      <c r="AU72" t="s">
        <v>1121</v>
      </c>
      <c r="AW72">
        <f t="shared" si="27"/>
        <v>71</v>
      </c>
      <c r="AX72" t="s">
        <v>1552</v>
      </c>
      <c r="AY72" t="s">
        <v>1553</v>
      </c>
      <c r="AZ72" t="s">
        <v>1554</v>
      </c>
      <c r="BA72" t="s">
        <v>1555</v>
      </c>
      <c r="BC72">
        <f t="shared" si="28"/>
        <v>71</v>
      </c>
      <c r="BI72">
        <f t="shared" si="29"/>
        <v>71</v>
      </c>
      <c r="BO72">
        <f t="shared" si="30"/>
        <v>71</v>
      </c>
      <c r="BP72" t="s">
        <v>1556</v>
      </c>
      <c r="BQ72" t="s">
        <v>1557</v>
      </c>
      <c r="BR72" t="s">
        <v>1558</v>
      </c>
      <c r="BS72" t="s">
        <v>1559</v>
      </c>
    </row>
    <row r="73" spans="1:71">
      <c r="M73">
        <f t="shared" si="21"/>
        <v>72</v>
      </c>
      <c r="N73" t="s">
        <v>1560</v>
      </c>
      <c r="O73" s="328" t="s">
        <v>1561</v>
      </c>
      <c r="P73" s="328" t="s">
        <v>1562</v>
      </c>
      <c r="Q73" s="328" t="s">
        <v>1563</v>
      </c>
      <c r="S73">
        <f t="shared" si="22"/>
        <v>72</v>
      </c>
      <c r="Y73">
        <f t="shared" si="23"/>
        <v>72</v>
      </c>
      <c r="AE73">
        <f t="shared" si="24"/>
        <v>72</v>
      </c>
      <c r="AF73" t="s">
        <v>1564</v>
      </c>
      <c r="AG73" t="s">
        <v>1565</v>
      </c>
      <c r="AH73" t="s">
        <v>1566</v>
      </c>
      <c r="AI73" t="s">
        <v>1564</v>
      </c>
      <c r="AK73">
        <f t="shared" si="25"/>
        <v>72</v>
      </c>
      <c r="AQ73">
        <f t="shared" si="26"/>
        <v>72</v>
      </c>
      <c r="AR73" s="328" t="s">
        <v>1567</v>
      </c>
      <c r="AS73" s="328" t="s">
        <v>1568</v>
      </c>
      <c r="AT73" s="328" t="s">
        <v>1569</v>
      </c>
      <c r="AU73" s="328" t="s">
        <v>1570</v>
      </c>
      <c r="AW73">
        <f t="shared" si="27"/>
        <v>72</v>
      </c>
      <c r="BC73">
        <f t="shared" si="28"/>
        <v>72</v>
      </c>
      <c r="BI73">
        <f t="shared" si="29"/>
        <v>72</v>
      </c>
      <c r="BO73">
        <f t="shared" si="30"/>
        <v>72</v>
      </c>
      <c r="BP73" t="s">
        <v>1571</v>
      </c>
      <c r="BQ73" t="s">
        <v>1572</v>
      </c>
      <c r="BR73" t="s">
        <v>1573</v>
      </c>
      <c r="BS73" t="s">
        <v>1574</v>
      </c>
    </row>
    <row r="74" spans="1:71">
      <c r="M74">
        <f t="shared" si="21"/>
        <v>73</v>
      </c>
      <c r="N74" t="s">
        <v>1575</v>
      </c>
      <c r="O74" s="328" t="s">
        <v>1576</v>
      </c>
      <c r="P74" s="328" t="s">
        <v>1577</v>
      </c>
      <c r="Q74" s="328" t="s">
        <v>1578</v>
      </c>
      <c r="S74">
        <f t="shared" si="22"/>
        <v>73</v>
      </c>
      <c r="Y74">
        <f t="shared" si="23"/>
        <v>73</v>
      </c>
      <c r="AE74">
        <f t="shared" si="24"/>
        <v>73</v>
      </c>
      <c r="AF74" t="s">
        <v>1579</v>
      </c>
      <c r="AG74" t="s">
        <v>1579</v>
      </c>
      <c r="AH74" t="s">
        <v>1580</v>
      </c>
      <c r="AI74" t="s">
        <v>1579</v>
      </c>
      <c r="AK74">
        <f t="shared" si="25"/>
        <v>73</v>
      </c>
      <c r="AQ74">
        <f t="shared" si="26"/>
        <v>73</v>
      </c>
      <c r="AR74" s="328" t="s">
        <v>1581</v>
      </c>
      <c r="AS74" s="328" t="s">
        <v>1582</v>
      </c>
      <c r="AT74" s="328" t="s">
        <v>1583</v>
      </c>
      <c r="AU74" s="328" t="s">
        <v>1584</v>
      </c>
      <c r="AW74">
        <f t="shared" si="27"/>
        <v>73</v>
      </c>
      <c r="BC74">
        <f t="shared" si="28"/>
        <v>73</v>
      </c>
      <c r="BI74">
        <f t="shared" si="29"/>
        <v>73</v>
      </c>
      <c r="BO74">
        <f t="shared" si="30"/>
        <v>73</v>
      </c>
      <c r="BP74" t="s">
        <v>1585</v>
      </c>
      <c r="BQ74" t="s">
        <v>1586</v>
      </c>
      <c r="BR74" t="s">
        <v>1587</v>
      </c>
      <c r="BS74" t="s">
        <v>1588</v>
      </c>
    </row>
    <row r="75" spans="1:71">
      <c r="M75">
        <f t="shared" si="21"/>
        <v>74</v>
      </c>
      <c r="N75" t="s">
        <v>1589</v>
      </c>
      <c r="O75" s="328" t="s">
        <v>1590</v>
      </c>
      <c r="P75" s="328" t="s">
        <v>1591</v>
      </c>
      <c r="Q75" s="328" t="s">
        <v>1592</v>
      </c>
      <c r="S75">
        <f t="shared" si="22"/>
        <v>74</v>
      </c>
      <c r="Y75">
        <f t="shared" si="23"/>
        <v>74</v>
      </c>
      <c r="AE75">
        <f t="shared" si="24"/>
        <v>74</v>
      </c>
      <c r="AF75" t="s">
        <v>1593</v>
      </c>
      <c r="AG75" t="s">
        <v>1594</v>
      </c>
      <c r="AH75" t="s">
        <v>1595</v>
      </c>
      <c r="AI75" t="s">
        <v>1594</v>
      </c>
      <c r="AK75">
        <f t="shared" si="25"/>
        <v>74</v>
      </c>
      <c r="AQ75">
        <f t="shared" si="26"/>
        <v>74</v>
      </c>
      <c r="AR75" s="328" t="s">
        <v>1596</v>
      </c>
      <c r="AS75" s="328" t="s">
        <v>1597</v>
      </c>
      <c r="AT75" s="328" t="s">
        <v>1598</v>
      </c>
      <c r="AU75" s="328" t="s">
        <v>1599</v>
      </c>
      <c r="AW75">
        <f t="shared" si="27"/>
        <v>74</v>
      </c>
      <c r="BC75">
        <f t="shared" si="28"/>
        <v>74</v>
      </c>
      <c r="BI75">
        <f t="shared" si="29"/>
        <v>74</v>
      </c>
      <c r="BO75">
        <f t="shared" si="30"/>
        <v>74</v>
      </c>
      <c r="BP75" t="s">
        <v>1600</v>
      </c>
      <c r="BQ75" t="s">
        <v>1601</v>
      </c>
      <c r="BR75" t="s">
        <v>1602</v>
      </c>
      <c r="BS75" t="s">
        <v>1603</v>
      </c>
    </row>
    <row r="76" spans="1:71">
      <c r="M76">
        <f t="shared" si="21"/>
        <v>75</v>
      </c>
      <c r="N76" t="s">
        <v>1604</v>
      </c>
      <c r="O76" s="328" t="s">
        <v>1605</v>
      </c>
      <c r="P76" s="328" t="s">
        <v>1606</v>
      </c>
      <c r="Q76" s="328" t="s">
        <v>1607</v>
      </c>
      <c r="S76">
        <f t="shared" si="22"/>
        <v>75</v>
      </c>
      <c r="Y76">
        <f t="shared" si="23"/>
        <v>75</v>
      </c>
      <c r="AE76">
        <f t="shared" si="24"/>
        <v>75</v>
      </c>
      <c r="AF76" t="s">
        <v>1608</v>
      </c>
      <c r="AG76" t="s">
        <v>1609</v>
      </c>
      <c r="AH76" t="s">
        <v>1609</v>
      </c>
      <c r="AI76" t="s">
        <v>1609</v>
      </c>
      <c r="AK76">
        <f t="shared" si="25"/>
        <v>75</v>
      </c>
      <c r="AQ76">
        <f t="shared" si="26"/>
        <v>75</v>
      </c>
      <c r="AW76">
        <f t="shared" si="27"/>
        <v>75</v>
      </c>
      <c r="BC76">
        <f t="shared" si="28"/>
        <v>75</v>
      </c>
      <c r="BI76">
        <f t="shared" si="29"/>
        <v>75</v>
      </c>
      <c r="BO76">
        <f t="shared" si="30"/>
        <v>75</v>
      </c>
      <c r="BP76" t="s">
        <v>1610</v>
      </c>
      <c r="BQ76" t="s">
        <v>1611</v>
      </c>
      <c r="BR76" t="s">
        <v>1612</v>
      </c>
      <c r="BS76" t="s">
        <v>1613</v>
      </c>
    </row>
    <row r="77" spans="1:71">
      <c r="M77">
        <f t="shared" si="21"/>
        <v>76</v>
      </c>
      <c r="N77" t="s">
        <v>1614</v>
      </c>
      <c r="O77" s="328" t="s">
        <v>1615</v>
      </c>
      <c r="P77" s="328" t="s">
        <v>1616</v>
      </c>
      <c r="Q77" s="328" t="s">
        <v>1617</v>
      </c>
      <c r="S77">
        <f t="shared" si="22"/>
        <v>76</v>
      </c>
      <c r="Y77">
        <f t="shared" si="23"/>
        <v>76</v>
      </c>
      <c r="AE77">
        <f t="shared" si="24"/>
        <v>76</v>
      </c>
      <c r="AF77" t="s">
        <v>1618</v>
      </c>
      <c r="AG77" t="s">
        <v>1619</v>
      </c>
      <c r="AH77" t="s">
        <v>1620</v>
      </c>
      <c r="AI77" t="s">
        <v>1618</v>
      </c>
      <c r="AK77">
        <f t="shared" si="25"/>
        <v>76</v>
      </c>
      <c r="AQ77">
        <f t="shared" si="26"/>
        <v>76</v>
      </c>
      <c r="AW77">
        <f t="shared" si="27"/>
        <v>76</v>
      </c>
      <c r="BC77">
        <f t="shared" si="28"/>
        <v>76</v>
      </c>
      <c r="BI77">
        <f t="shared" si="29"/>
        <v>76</v>
      </c>
      <c r="BO77">
        <f t="shared" si="30"/>
        <v>76</v>
      </c>
      <c r="BP77" t="s">
        <v>1621</v>
      </c>
      <c r="BQ77" t="s">
        <v>1621</v>
      </c>
      <c r="BR77" t="s">
        <v>1622</v>
      </c>
      <c r="BS77" t="s">
        <v>1621</v>
      </c>
    </row>
    <row r="78" spans="1:71">
      <c r="M78">
        <f t="shared" si="21"/>
        <v>77</v>
      </c>
      <c r="N78" t="s">
        <v>1623</v>
      </c>
      <c r="O78" s="328" t="s">
        <v>1624</v>
      </c>
      <c r="P78" s="328" t="s">
        <v>1625</v>
      </c>
      <c r="Q78" s="328" t="s">
        <v>1626</v>
      </c>
      <c r="S78">
        <f t="shared" si="22"/>
        <v>77</v>
      </c>
      <c r="Y78">
        <f t="shared" si="23"/>
        <v>77</v>
      </c>
      <c r="AE78">
        <f t="shared" si="24"/>
        <v>77</v>
      </c>
      <c r="AF78" t="s">
        <v>1627</v>
      </c>
      <c r="AG78" t="s">
        <v>1628</v>
      </c>
      <c r="AH78" t="s">
        <v>1629</v>
      </c>
      <c r="AI78" t="s">
        <v>1627</v>
      </c>
      <c r="AK78">
        <f t="shared" si="25"/>
        <v>77</v>
      </c>
      <c r="AQ78">
        <f t="shared" si="26"/>
        <v>77</v>
      </c>
      <c r="AW78">
        <f t="shared" si="27"/>
        <v>77</v>
      </c>
      <c r="BC78">
        <f t="shared" si="28"/>
        <v>77</v>
      </c>
      <c r="BI78">
        <f t="shared" si="29"/>
        <v>77</v>
      </c>
      <c r="BO78">
        <f t="shared" si="30"/>
        <v>77</v>
      </c>
      <c r="BP78" t="s">
        <v>1630</v>
      </c>
      <c r="BQ78" t="s">
        <v>1631</v>
      </c>
      <c r="BR78" t="s">
        <v>1632</v>
      </c>
      <c r="BS78" t="s">
        <v>1633</v>
      </c>
    </row>
    <row r="79" spans="1:71">
      <c r="M79">
        <f t="shared" si="21"/>
        <v>78</v>
      </c>
      <c r="N79" t="s">
        <v>1634</v>
      </c>
      <c r="O79" s="328" t="s">
        <v>1635</v>
      </c>
      <c r="P79" s="328" t="s">
        <v>1636</v>
      </c>
      <c r="Q79" s="328" t="s">
        <v>1637</v>
      </c>
      <c r="S79">
        <f t="shared" si="22"/>
        <v>78</v>
      </c>
      <c r="Y79">
        <f t="shared" si="23"/>
        <v>78</v>
      </c>
      <c r="AE79">
        <f t="shared" si="24"/>
        <v>78</v>
      </c>
      <c r="AF79" t="s">
        <v>1638</v>
      </c>
      <c r="AG79" t="s">
        <v>1639</v>
      </c>
      <c r="AH79" t="s">
        <v>1640</v>
      </c>
      <c r="AI79" t="s">
        <v>1638</v>
      </c>
      <c r="AK79">
        <f t="shared" si="25"/>
        <v>78</v>
      </c>
      <c r="AQ79">
        <f t="shared" si="26"/>
        <v>78</v>
      </c>
      <c r="AW79">
        <f t="shared" si="27"/>
        <v>78</v>
      </c>
      <c r="BC79">
        <f t="shared" si="28"/>
        <v>78</v>
      </c>
      <c r="BI79">
        <f t="shared" si="29"/>
        <v>78</v>
      </c>
      <c r="BO79">
        <f t="shared" si="30"/>
        <v>78</v>
      </c>
      <c r="BP79" t="s">
        <v>1641</v>
      </c>
      <c r="BQ79" t="s">
        <v>1642</v>
      </c>
      <c r="BR79" t="s">
        <v>1643</v>
      </c>
      <c r="BS79" t="s">
        <v>1642</v>
      </c>
    </row>
    <row r="80" spans="1:71">
      <c r="M80">
        <f t="shared" si="21"/>
        <v>79</v>
      </c>
      <c r="N80" t="s">
        <v>1644</v>
      </c>
      <c r="O80" s="328" t="s">
        <v>1645</v>
      </c>
      <c r="P80" s="328" t="s">
        <v>1646</v>
      </c>
      <c r="Q80" s="328" t="s">
        <v>1647</v>
      </c>
      <c r="S80">
        <f t="shared" si="22"/>
        <v>79</v>
      </c>
      <c r="Y80">
        <f t="shared" si="23"/>
        <v>79</v>
      </c>
      <c r="AE80">
        <f t="shared" si="24"/>
        <v>79</v>
      </c>
      <c r="AF80" t="s">
        <v>1648</v>
      </c>
      <c r="AG80" t="s">
        <v>1649</v>
      </c>
      <c r="AH80" t="s">
        <v>1650</v>
      </c>
      <c r="AI80" t="s">
        <v>1648</v>
      </c>
      <c r="AK80">
        <f t="shared" si="25"/>
        <v>79</v>
      </c>
      <c r="AQ80">
        <f t="shared" si="26"/>
        <v>79</v>
      </c>
      <c r="AW80">
        <f t="shared" si="27"/>
        <v>79</v>
      </c>
      <c r="BC80">
        <f t="shared" si="28"/>
        <v>79</v>
      </c>
      <c r="BI80">
        <f t="shared" si="29"/>
        <v>79</v>
      </c>
      <c r="BO80">
        <f t="shared" si="30"/>
        <v>79</v>
      </c>
      <c r="BP80" t="s">
        <v>1651</v>
      </c>
      <c r="BQ80" t="s">
        <v>1652</v>
      </c>
      <c r="BR80" t="s">
        <v>1653</v>
      </c>
      <c r="BS80" t="s">
        <v>1654</v>
      </c>
    </row>
    <row r="81" spans="13:71">
      <c r="M81">
        <f t="shared" si="21"/>
        <v>80</v>
      </c>
      <c r="N81" t="s">
        <v>1011</v>
      </c>
      <c r="O81" s="328" t="s">
        <v>1012</v>
      </c>
      <c r="P81" s="328" t="s">
        <v>1013</v>
      </c>
      <c r="Q81" s="328" t="s">
        <v>1014</v>
      </c>
      <c r="S81">
        <f t="shared" si="22"/>
        <v>80</v>
      </c>
      <c r="Y81">
        <f t="shared" si="23"/>
        <v>80</v>
      </c>
      <c r="AE81">
        <f t="shared" si="24"/>
        <v>80</v>
      </c>
      <c r="AF81" t="s">
        <v>1655</v>
      </c>
      <c r="AG81" t="s">
        <v>1656</v>
      </c>
      <c r="AH81" t="s">
        <v>1657</v>
      </c>
      <c r="AI81" t="s">
        <v>1655</v>
      </c>
      <c r="AK81">
        <f t="shared" si="25"/>
        <v>80</v>
      </c>
      <c r="AQ81">
        <f t="shared" si="26"/>
        <v>80</v>
      </c>
      <c r="AW81">
        <f t="shared" si="27"/>
        <v>80</v>
      </c>
      <c r="BC81">
        <f t="shared" si="28"/>
        <v>80</v>
      </c>
      <c r="BI81">
        <f t="shared" si="29"/>
        <v>80</v>
      </c>
      <c r="BO81">
        <f t="shared" si="30"/>
        <v>80</v>
      </c>
      <c r="BP81" t="s">
        <v>1658</v>
      </c>
      <c r="BQ81" t="s">
        <v>1659</v>
      </c>
      <c r="BR81" t="s">
        <v>1660</v>
      </c>
      <c r="BS81" t="s">
        <v>1661</v>
      </c>
    </row>
    <row r="82" spans="13:71">
      <c r="M82">
        <f t="shared" si="21"/>
        <v>81</v>
      </c>
      <c r="N82" t="s">
        <v>1662</v>
      </c>
      <c r="O82" s="328" t="s">
        <v>1663</v>
      </c>
      <c r="P82" s="328" t="s">
        <v>1664</v>
      </c>
      <c r="Q82" s="328" t="s">
        <v>1665</v>
      </c>
      <c r="S82">
        <f t="shared" si="22"/>
        <v>81</v>
      </c>
      <c r="Y82">
        <f t="shared" si="23"/>
        <v>81</v>
      </c>
      <c r="AE82">
        <f t="shared" si="24"/>
        <v>81</v>
      </c>
      <c r="AF82" t="s">
        <v>1666</v>
      </c>
      <c r="AG82" t="s">
        <v>1666</v>
      </c>
      <c r="AH82" t="s">
        <v>1667</v>
      </c>
      <c r="AI82" t="s">
        <v>1666</v>
      </c>
      <c r="AK82">
        <f t="shared" si="25"/>
        <v>81</v>
      </c>
      <c r="AL82" t="s">
        <v>1668</v>
      </c>
      <c r="AM82" t="s">
        <v>1669</v>
      </c>
      <c r="AN82" t="s">
        <v>1670</v>
      </c>
      <c r="AO82" t="s">
        <v>1671</v>
      </c>
      <c r="AQ82">
        <f t="shared" si="26"/>
        <v>81</v>
      </c>
      <c r="AR82" t="s">
        <v>1672</v>
      </c>
      <c r="AS82" t="s">
        <v>1673</v>
      </c>
      <c r="AT82" t="s">
        <v>1674</v>
      </c>
      <c r="AU82" t="s">
        <v>1675</v>
      </c>
      <c r="AW82">
        <f t="shared" si="27"/>
        <v>81</v>
      </c>
      <c r="AX82" t="s">
        <v>1676</v>
      </c>
      <c r="AY82" t="s">
        <v>1677</v>
      </c>
      <c r="AZ82" t="s">
        <v>1678</v>
      </c>
      <c r="BA82" t="s">
        <v>1679</v>
      </c>
      <c r="BC82">
        <f t="shared" si="28"/>
        <v>81</v>
      </c>
      <c r="BI82">
        <f t="shared" si="29"/>
        <v>81</v>
      </c>
      <c r="BJ82" t="s">
        <v>1680</v>
      </c>
      <c r="BK82" s="328" t="s">
        <v>1681</v>
      </c>
      <c r="BL82" s="328" t="s">
        <v>1682</v>
      </c>
      <c r="BM82" s="328" t="s">
        <v>1683</v>
      </c>
      <c r="BO82">
        <f t="shared" si="30"/>
        <v>81</v>
      </c>
    </row>
    <row r="83" spans="13:71">
      <c r="M83">
        <f t="shared" si="21"/>
        <v>82</v>
      </c>
      <c r="N83" t="s">
        <v>1684</v>
      </c>
      <c r="O83" s="328" t="s">
        <v>1685</v>
      </c>
      <c r="P83" s="328" t="s">
        <v>1686</v>
      </c>
      <c r="Q83" s="328" t="s">
        <v>1687</v>
      </c>
      <c r="S83">
        <f t="shared" si="22"/>
        <v>82</v>
      </c>
      <c r="Y83">
        <f t="shared" si="23"/>
        <v>82</v>
      </c>
      <c r="AE83">
        <f t="shared" si="24"/>
        <v>82</v>
      </c>
      <c r="AF83" t="s">
        <v>1688</v>
      </c>
      <c r="AG83" t="s">
        <v>1689</v>
      </c>
      <c r="AH83" t="s">
        <v>1690</v>
      </c>
      <c r="AI83" t="s">
        <v>1688</v>
      </c>
      <c r="AK83">
        <f t="shared" si="25"/>
        <v>82</v>
      </c>
      <c r="AL83" s="474" t="s">
        <v>1691</v>
      </c>
      <c r="AM83" s="474" t="s">
        <v>1692</v>
      </c>
      <c r="AN83" s="474" t="s">
        <v>1693</v>
      </c>
      <c r="AO83" s="474" t="s">
        <v>1694</v>
      </c>
      <c r="AQ83">
        <f t="shared" si="26"/>
        <v>82</v>
      </c>
      <c r="AR83" t="s">
        <v>1695</v>
      </c>
      <c r="AS83" t="s">
        <v>1696</v>
      </c>
      <c r="AT83" t="s">
        <v>1697</v>
      </c>
      <c r="AU83" t="s">
        <v>1698</v>
      </c>
      <c r="AW83">
        <f t="shared" si="27"/>
        <v>82</v>
      </c>
      <c r="AX83" t="s">
        <v>1699</v>
      </c>
      <c r="AY83" t="s">
        <v>1700</v>
      </c>
      <c r="AZ83" t="s">
        <v>1701</v>
      </c>
      <c r="BA83" t="s">
        <v>1702</v>
      </c>
      <c r="BC83">
        <f t="shared" si="28"/>
        <v>82</v>
      </c>
      <c r="BI83">
        <f t="shared" si="29"/>
        <v>82</v>
      </c>
      <c r="BJ83" t="s">
        <v>1703</v>
      </c>
      <c r="BK83" t="s">
        <v>1704</v>
      </c>
      <c r="BL83" t="s">
        <v>1705</v>
      </c>
      <c r="BM83" t="s">
        <v>1706</v>
      </c>
      <c r="BO83">
        <f t="shared" si="30"/>
        <v>82</v>
      </c>
    </row>
    <row r="84" spans="13:71">
      <c r="M84">
        <f t="shared" si="21"/>
        <v>83</v>
      </c>
      <c r="N84" t="s">
        <v>1707</v>
      </c>
      <c r="O84" s="328" t="s">
        <v>1708</v>
      </c>
      <c r="P84" s="328" t="s">
        <v>1707</v>
      </c>
      <c r="Q84" s="328" t="s">
        <v>1709</v>
      </c>
      <c r="S84">
        <f t="shared" si="22"/>
        <v>83</v>
      </c>
      <c r="Y84">
        <f t="shared" si="23"/>
        <v>83</v>
      </c>
      <c r="AE84">
        <f t="shared" si="24"/>
        <v>83</v>
      </c>
      <c r="AF84" t="s">
        <v>1710</v>
      </c>
      <c r="AG84" t="s">
        <v>1710</v>
      </c>
      <c r="AH84" t="s">
        <v>1711</v>
      </c>
      <c r="AI84" t="s">
        <v>1711</v>
      </c>
      <c r="AK84">
        <f t="shared" si="25"/>
        <v>83</v>
      </c>
      <c r="AL84" t="s">
        <v>1712</v>
      </c>
      <c r="AM84" t="s">
        <v>1713</v>
      </c>
      <c r="AN84" t="s">
        <v>1714</v>
      </c>
      <c r="AO84" t="s">
        <v>1715</v>
      </c>
      <c r="AQ84">
        <f t="shared" si="26"/>
        <v>83</v>
      </c>
      <c r="AR84" t="s">
        <v>1716</v>
      </c>
      <c r="AS84" t="s">
        <v>1717</v>
      </c>
      <c r="AT84" t="s">
        <v>1718</v>
      </c>
      <c r="AU84" t="s">
        <v>1719</v>
      </c>
      <c r="AW84">
        <f t="shared" si="27"/>
        <v>83</v>
      </c>
      <c r="AX84" t="s">
        <v>1720</v>
      </c>
      <c r="AY84" t="s">
        <v>1720</v>
      </c>
      <c r="AZ84" t="s">
        <v>1721</v>
      </c>
      <c r="BA84" t="s">
        <v>1722</v>
      </c>
      <c r="BC84">
        <f t="shared" si="28"/>
        <v>83</v>
      </c>
      <c r="BI84">
        <f t="shared" si="29"/>
        <v>83</v>
      </c>
      <c r="BJ84" t="s">
        <v>1703</v>
      </c>
      <c r="BK84" t="s">
        <v>1704</v>
      </c>
      <c r="BL84" t="s">
        <v>1705</v>
      </c>
      <c r="BM84" t="s">
        <v>1706</v>
      </c>
      <c r="BO84">
        <f t="shared" si="30"/>
        <v>83</v>
      </c>
    </row>
    <row r="85" spans="13:71">
      <c r="M85">
        <f t="shared" si="21"/>
        <v>84</v>
      </c>
      <c r="N85" t="s">
        <v>1723</v>
      </c>
      <c r="O85" s="328" t="s">
        <v>1724</v>
      </c>
      <c r="P85" s="328" t="s">
        <v>1723</v>
      </c>
      <c r="Q85" s="328" t="s">
        <v>1725</v>
      </c>
      <c r="S85">
        <f t="shared" si="22"/>
        <v>84</v>
      </c>
      <c r="Y85">
        <f t="shared" si="23"/>
        <v>84</v>
      </c>
      <c r="AE85">
        <f t="shared" si="24"/>
        <v>84</v>
      </c>
      <c r="AF85" t="s">
        <v>1726</v>
      </c>
      <c r="AG85" t="s">
        <v>1726</v>
      </c>
      <c r="AH85" t="s">
        <v>1726</v>
      </c>
      <c r="AI85" t="s">
        <v>1726</v>
      </c>
      <c r="AK85">
        <f t="shared" si="25"/>
        <v>84</v>
      </c>
      <c r="AL85" t="s">
        <v>1727</v>
      </c>
      <c r="AM85" t="s">
        <v>1728</v>
      </c>
      <c r="AN85" t="s">
        <v>1729</v>
      </c>
      <c r="AO85" t="s">
        <v>1730</v>
      </c>
      <c r="AQ85">
        <f t="shared" si="26"/>
        <v>84</v>
      </c>
      <c r="AW85">
        <f t="shared" si="27"/>
        <v>84</v>
      </c>
      <c r="AX85" t="s">
        <v>1731</v>
      </c>
      <c r="AY85" t="s">
        <v>1732</v>
      </c>
      <c r="AZ85" t="s">
        <v>1733</v>
      </c>
      <c r="BA85" t="s">
        <v>1734</v>
      </c>
      <c r="BC85">
        <f t="shared" si="28"/>
        <v>84</v>
      </c>
      <c r="BI85">
        <f t="shared" si="29"/>
        <v>84</v>
      </c>
      <c r="BO85">
        <f t="shared" si="30"/>
        <v>84</v>
      </c>
    </row>
    <row r="86" spans="13:71">
      <c r="M86">
        <f t="shared" si="21"/>
        <v>85</v>
      </c>
      <c r="N86" t="s">
        <v>1735</v>
      </c>
      <c r="O86" s="328" t="s">
        <v>1736</v>
      </c>
      <c r="P86" s="328" t="s">
        <v>1737</v>
      </c>
      <c r="Q86" s="328" t="s">
        <v>1738</v>
      </c>
      <c r="S86">
        <f t="shared" si="22"/>
        <v>85</v>
      </c>
      <c r="Y86">
        <f t="shared" si="23"/>
        <v>85</v>
      </c>
      <c r="AE86">
        <f t="shared" si="24"/>
        <v>85</v>
      </c>
      <c r="AF86" t="s">
        <v>1739</v>
      </c>
      <c r="AG86" t="s">
        <v>1740</v>
      </c>
      <c r="AH86" t="s">
        <v>1740</v>
      </c>
      <c r="AI86" t="s">
        <v>1740</v>
      </c>
      <c r="AK86">
        <f t="shared" si="25"/>
        <v>85</v>
      </c>
      <c r="AQ86">
        <f t="shared" si="26"/>
        <v>85</v>
      </c>
      <c r="AW86">
        <f t="shared" si="27"/>
        <v>85</v>
      </c>
      <c r="AX86" t="s">
        <v>1741</v>
      </c>
      <c r="AY86" t="s">
        <v>1742</v>
      </c>
      <c r="AZ86" t="s">
        <v>1743</v>
      </c>
      <c r="BA86" t="s">
        <v>1744</v>
      </c>
      <c r="BC86">
        <f t="shared" si="28"/>
        <v>85</v>
      </c>
      <c r="BI86">
        <f t="shared" si="29"/>
        <v>85</v>
      </c>
      <c r="BO86">
        <f t="shared" si="30"/>
        <v>85</v>
      </c>
    </row>
    <row r="87" spans="13:71">
      <c r="M87">
        <f t="shared" si="21"/>
        <v>86</v>
      </c>
      <c r="N87" t="s">
        <v>1745</v>
      </c>
      <c r="O87" s="328" t="s">
        <v>1746</v>
      </c>
      <c r="P87" s="328" t="s">
        <v>1747</v>
      </c>
      <c r="Q87" s="328" t="s">
        <v>1748</v>
      </c>
      <c r="S87">
        <f t="shared" si="22"/>
        <v>86</v>
      </c>
      <c r="Y87">
        <f t="shared" si="23"/>
        <v>86</v>
      </c>
      <c r="AE87">
        <f t="shared" si="24"/>
        <v>86</v>
      </c>
      <c r="AF87" t="s">
        <v>1749</v>
      </c>
      <c r="AG87" t="s">
        <v>1750</v>
      </c>
      <c r="AH87" t="s">
        <v>1751</v>
      </c>
      <c r="AI87" t="s">
        <v>1750</v>
      </c>
      <c r="AK87">
        <f t="shared" si="25"/>
        <v>86</v>
      </c>
      <c r="AQ87">
        <f t="shared" si="26"/>
        <v>86</v>
      </c>
      <c r="AW87">
        <f t="shared" si="27"/>
        <v>86</v>
      </c>
      <c r="BC87">
        <f t="shared" si="28"/>
        <v>86</v>
      </c>
      <c r="BI87">
        <f t="shared" si="29"/>
        <v>86</v>
      </c>
      <c r="BO87">
        <f t="shared" si="30"/>
        <v>86</v>
      </c>
    </row>
    <row r="88" spans="13:71">
      <c r="M88">
        <f t="shared" si="21"/>
        <v>87</v>
      </c>
      <c r="N88" s="328" t="s">
        <v>1752</v>
      </c>
      <c r="O88" s="328" t="s">
        <v>1753</v>
      </c>
      <c r="P88" s="328" t="s">
        <v>1754</v>
      </c>
      <c r="Q88" s="328" t="s">
        <v>1755</v>
      </c>
      <c r="S88">
        <f t="shared" si="22"/>
        <v>87</v>
      </c>
      <c r="Y88">
        <f t="shared" si="23"/>
        <v>87</v>
      </c>
      <c r="AE88">
        <f t="shared" si="24"/>
        <v>87</v>
      </c>
      <c r="AF88" t="s">
        <v>1756</v>
      </c>
      <c r="AG88" t="s">
        <v>1757</v>
      </c>
      <c r="AH88" t="s">
        <v>1758</v>
      </c>
      <c r="AI88" t="s">
        <v>1756</v>
      </c>
      <c r="AK88">
        <f t="shared" si="25"/>
        <v>87</v>
      </c>
      <c r="AQ88">
        <f t="shared" si="26"/>
        <v>87</v>
      </c>
      <c r="AW88">
        <f t="shared" si="27"/>
        <v>87</v>
      </c>
      <c r="BC88">
        <f t="shared" si="28"/>
        <v>87</v>
      </c>
      <c r="BI88">
        <f t="shared" si="29"/>
        <v>87</v>
      </c>
      <c r="BO88">
        <f t="shared" si="30"/>
        <v>87</v>
      </c>
    </row>
    <row r="89" spans="13:71">
      <c r="M89">
        <f t="shared" si="21"/>
        <v>88</v>
      </c>
      <c r="N89" t="s">
        <v>1759</v>
      </c>
      <c r="O89" s="328" t="s">
        <v>1760</v>
      </c>
      <c r="P89" s="328" t="s">
        <v>1761</v>
      </c>
      <c r="Q89" s="328" t="s">
        <v>1762</v>
      </c>
      <c r="S89">
        <f t="shared" si="22"/>
        <v>88</v>
      </c>
      <c r="Y89">
        <f t="shared" si="23"/>
        <v>88</v>
      </c>
      <c r="AE89">
        <f t="shared" si="24"/>
        <v>88</v>
      </c>
      <c r="AF89" t="s">
        <v>1763</v>
      </c>
      <c r="AG89" t="s">
        <v>1764</v>
      </c>
      <c r="AH89" t="s">
        <v>1765</v>
      </c>
      <c r="AI89" t="s">
        <v>1764</v>
      </c>
      <c r="AK89">
        <f t="shared" si="25"/>
        <v>88</v>
      </c>
      <c r="AQ89">
        <f t="shared" si="26"/>
        <v>88</v>
      </c>
      <c r="AW89">
        <f t="shared" si="27"/>
        <v>88</v>
      </c>
      <c r="BC89">
        <f t="shared" si="28"/>
        <v>88</v>
      </c>
      <c r="BI89">
        <f t="shared" si="29"/>
        <v>88</v>
      </c>
      <c r="BO89">
        <f t="shared" si="30"/>
        <v>88</v>
      </c>
    </row>
    <row r="90" spans="13:71">
      <c r="M90">
        <f t="shared" si="21"/>
        <v>89</v>
      </c>
      <c r="N90" t="s">
        <v>1766</v>
      </c>
      <c r="O90" s="328" t="s">
        <v>1767</v>
      </c>
      <c r="P90" s="328" t="s">
        <v>1768</v>
      </c>
      <c r="Q90" s="328" t="s">
        <v>1769</v>
      </c>
      <c r="S90">
        <f t="shared" si="22"/>
        <v>89</v>
      </c>
      <c r="Y90">
        <f t="shared" si="23"/>
        <v>89</v>
      </c>
      <c r="AE90">
        <f t="shared" si="24"/>
        <v>89</v>
      </c>
      <c r="AF90" t="s">
        <v>1556</v>
      </c>
      <c r="AG90" t="s">
        <v>1557</v>
      </c>
      <c r="AH90" t="s">
        <v>1558</v>
      </c>
      <c r="AI90" t="s">
        <v>1559</v>
      </c>
      <c r="AK90">
        <f t="shared" si="25"/>
        <v>89</v>
      </c>
      <c r="AQ90">
        <f t="shared" si="26"/>
        <v>89</v>
      </c>
      <c r="AW90">
        <f t="shared" si="27"/>
        <v>89</v>
      </c>
      <c r="BC90">
        <f t="shared" si="28"/>
        <v>89</v>
      </c>
      <c r="BI90">
        <f t="shared" si="29"/>
        <v>89</v>
      </c>
      <c r="BO90">
        <f t="shared" si="30"/>
        <v>89</v>
      </c>
    </row>
    <row r="91" spans="13:71">
      <c r="M91">
        <f t="shared" si="21"/>
        <v>90</v>
      </c>
      <c r="N91" t="s">
        <v>1770</v>
      </c>
      <c r="O91" s="328" t="s">
        <v>1771</v>
      </c>
      <c r="P91" s="328" t="s">
        <v>1772</v>
      </c>
      <c r="Q91" s="328" t="s">
        <v>1773</v>
      </c>
      <c r="S91">
        <f t="shared" si="22"/>
        <v>90</v>
      </c>
      <c r="Y91">
        <f t="shared" si="23"/>
        <v>90</v>
      </c>
      <c r="AE91">
        <f t="shared" si="24"/>
        <v>90</v>
      </c>
      <c r="AF91" s="474" t="s">
        <v>1571</v>
      </c>
      <c r="AG91" s="474" t="s">
        <v>1774</v>
      </c>
      <c r="AH91" s="474" t="s">
        <v>1573</v>
      </c>
      <c r="AI91" s="474" t="s">
        <v>1574</v>
      </c>
      <c r="AK91">
        <f t="shared" si="25"/>
        <v>90</v>
      </c>
      <c r="AQ91">
        <f t="shared" si="26"/>
        <v>90</v>
      </c>
      <c r="AW91">
        <f t="shared" si="27"/>
        <v>90</v>
      </c>
      <c r="BC91">
        <f t="shared" si="28"/>
        <v>90</v>
      </c>
      <c r="BI91">
        <f t="shared" si="29"/>
        <v>90</v>
      </c>
      <c r="BO91">
        <f t="shared" si="30"/>
        <v>90</v>
      </c>
    </row>
    <row r="92" spans="13:71">
      <c r="M92">
        <f t="shared" si="21"/>
        <v>91</v>
      </c>
      <c r="N92" t="s">
        <v>1775</v>
      </c>
      <c r="O92" s="328" t="s">
        <v>1776</v>
      </c>
      <c r="P92" s="328" t="s">
        <v>1777</v>
      </c>
      <c r="Q92" s="328" t="s">
        <v>1778</v>
      </c>
      <c r="S92">
        <f t="shared" si="22"/>
        <v>91</v>
      </c>
      <c r="Y92">
        <f t="shared" si="23"/>
        <v>91</v>
      </c>
      <c r="AE92">
        <f t="shared" si="24"/>
        <v>91</v>
      </c>
      <c r="AK92">
        <f t="shared" si="25"/>
        <v>91</v>
      </c>
      <c r="AQ92">
        <f t="shared" si="26"/>
        <v>91</v>
      </c>
      <c r="AR92" t="s">
        <v>1779</v>
      </c>
      <c r="AS92" t="s">
        <v>1780</v>
      </c>
      <c r="AT92" t="s">
        <v>1781</v>
      </c>
      <c r="AU92" t="s">
        <v>1782</v>
      </c>
      <c r="AW92">
        <f t="shared" si="27"/>
        <v>91</v>
      </c>
      <c r="BC92">
        <f t="shared" si="28"/>
        <v>91</v>
      </c>
      <c r="BI92">
        <f t="shared" si="29"/>
        <v>91</v>
      </c>
      <c r="BO92">
        <f t="shared" si="30"/>
        <v>91</v>
      </c>
      <c r="BP92" t="s">
        <v>1783</v>
      </c>
      <c r="BQ92" t="s">
        <v>1784</v>
      </c>
      <c r="BR92" t="s">
        <v>1785</v>
      </c>
      <c r="BS92" t="s">
        <v>1786</v>
      </c>
    </row>
    <row r="93" spans="13:71">
      <c r="M93">
        <f t="shared" si="21"/>
        <v>92</v>
      </c>
      <c r="N93" t="s">
        <v>1787</v>
      </c>
      <c r="O93" s="328" t="s">
        <v>1788</v>
      </c>
      <c r="P93" s="328" t="s">
        <v>1789</v>
      </c>
      <c r="Q93" s="328" t="s">
        <v>1790</v>
      </c>
      <c r="S93">
        <f t="shared" si="22"/>
        <v>92</v>
      </c>
      <c r="Y93">
        <f t="shared" si="23"/>
        <v>92</v>
      </c>
      <c r="AE93">
        <f t="shared" si="24"/>
        <v>92</v>
      </c>
      <c r="AK93">
        <f t="shared" si="25"/>
        <v>92</v>
      </c>
      <c r="AQ93">
        <f t="shared" si="26"/>
        <v>92</v>
      </c>
      <c r="AR93" t="s">
        <v>1791</v>
      </c>
      <c r="AS93" t="s">
        <v>1792</v>
      </c>
      <c r="AT93" t="s">
        <v>1793</v>
      </c>
      <c r="AU93" t="s">
        <v>1794</v>
      </c>
      <c r="AW93">
        <f t="shared" si="27"/>
        <v>92</v>
      </c>
      <c r="BC93">
        <f t="shared" si="28"/>
        <v>92</v>
      </c>
      <c r="BI93">
        <f t="shared" si="29"/>
        <v>92</v>
      </c>
      <c r="BO93">
        <f t="shared" si="30"/>
        <v>92</v>
      </c>
      <c r="BP93" t="s">
        <v>1795</v>
      </c>
      <c r="BQ93" t="s">
        <v>1796</v>
      </c>
      <c r="BR93" t="s">
        <v>1797</v>
      </c>
      <c r="BS93" t="s">
        <v>1798</v>
      </c>
    </row>
    <row r="94" spans="13:71">
      <c r="M94">
        <f t="shared" si="21"/>
        <v>93</v>
      </c>
      <c r="N94" t="s">
        <v>1050</v>
      </c>
      <c r="O94" s="328" t="s">
        <v>1051</v>
      </c>
      <c r="P94" s="328" t="s">
        <v>1052</v>
      </c>
      <c r="Q94" s="328" t="s">
        <v>1053</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738</v>
      </c>
      <c r="BQ94" t="s">
        <v>738</v>
      </c>
      <c r="BR94" t="s">
        <v>739</v>
      </c>
      <c r="BS94" t="s">
        <v>738</v>
      </c>
    </row>
    <row r="95" spans="13:71">
      <c r="M95">
        <f t="shared" si="21"/>
        <v>94</v>
      </c>
      <c r="N95" t="s">
        <v>1799</v>
      </c>
      <c r="O95" s="328" t="s">
        <v>1800</v>
      </c>
      <c r="P95" s="328" t="s">
        <v>1801</v>
      </c>
      <c r="Q95" s="328" t="s">
        <v>1802</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1803</v>
      </c>
      <c r="BQ95" t="s">
        <v>1803</v>
      </c>
      <c r="BR95" t="s">
        <v>1804</v>
      </c>
      <c r="BS95" t="s">
        <v>1803</v>
      </c>
    </row>
    <row r="96" spans="13:71">
      <c r="M96">
        <f t="shared" si="21"/>
        <v>95</v>
      </c>
      <c r="N96" t="s">
        <v>1805</v>
      </c>
      <c r="O96" s="328" t="s">
        <v>1806</v>
      </c>
      <c r="P96" s="328" t="s">
        <v>1807</v>
      </c>
      <c r="Q96" s="328" t="s">
        <v>1808</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1809</v>
      </c>
      <c r="BQ96" t="s">
        <v>1809</v>
      </c>
      <c r="BR96" t="s">
        <v>1810</v>
      </c>
      <c r="BS96" t="s">
        <v>1809</v>
      </c>
    </row>
    <row r="97" spans="13:71">
      <c r="M97">
        <f t="shared" si="21"/>
        <v>96</v>
      </c>
      <c r="N97" t="s">
        <v>1811</v>
      </c>
      <c r="O97" s="328" t="s">
        <v>1812</v>
      </c>
      <c r="P97" s="328" t="s">
        <v>1813</v>
      </c>
      <c r="Q97" s="328" t="s">
        <v>1814</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1815</v>
      </c>
      <c r="BQ97" t="s">
        <v>1815</v>
      </c>
      <c r="BR97" t="s">
        <v>1816</v>
      </c>
      <c r="BS97" t="s">
        <v>1815</v>
      </c>
    </row>
    <row r="98" spans="13:71">
      <c r="M98">
        <f t="shared" si="21"/>
        <v>97</v>
      </c>
      <c r="N98" t="s">
        <v>1817</v>
      </c>
      <c r="O98" s="328" t="s">
        <v>1818</v>
      </c>
      <c r="P98" s="328" t="s">
        <v>1819</v>
      </c>
      <c r="Q98" s="328" t="s">
        <v>1820</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1821</v>
      </c>
      <c r="BQ98" t="s">
        <v>1822</v>
      </c>
      <c r="BR98" t="s">
        <v>1823</v>
      </c>
      <c r="BS98" t="s">
        <v>1824</v>
      </c>
    </row>
    <row r="99" spans="13:71">
      <c r="M99">
        <f t="shared" si="21"/>
        <v>98</v>
      </c>
      <c r="N99" t="s">
        <v>1825</v>
      </c>
      <c r="O99" s="328" t="s">
        <v>1826</v>
      </c>
      <c r="P99" s="328" t="s">
        <v>1827</v>
      </c>
      <c r="Q99" s="328" t="s">
        <v>1828</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1829</v>
      </c>
      <c r="BQ99" t="s">
        <v>1830</v>
      </c>
      <c r="BR99" t="s">
        <v>1831</v>
      </c>
      <c r="BS99" t="s">
        <v>1832</v>
      </c>
    </row>
    <row r="100" spans="13:71">
      <c r="M100">
        <f t="shared" si="21"/>
        <v>99</v>
      </c>
      <c r="N100" t="s">
        <v>1833</v>
      </c>
      <c r="O100" s="328" t="s">
        <v>1834</v>
      </c>
      <c r="P100" s="328" t="s">
        <v>1835</v>
      </c>
      <c r="Q100" s="328" t="s">
        <v>1836</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c r="M101">
        <f t="shared" si="21"/>
        <v>100</v>
      </c>
      <c r="N101" t="s">
        <v>1837</v>
      </c>
      <c r="O101" s="328" t="s">
        <v>1838</v>
      </c>
      <c r="P101" s="328" t="s">
        <v>1839</v>
      </c>
      <c r="Q101" s="328" t="s">
        <v>1840</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c r="M102">
        <f t="shared" si="21"/>
        <v>101</v>
      </c>
      <c r="N102" t="s">
        <v>1841</v>
      </c>
      <c r="O102" s="328" t="s">
        <v>1842</v>
      </c>
      <c r="P102" s="328" t="s">
        <v>1843</v>
      </c>
      <c r="Q102" s="328" t="s">
        <v>1844</v>
      </c>
      <c r="S102">
        <f t="shared" si="22"/>
        <v>101</v>
      </c>
      <c r="Y102">
        <f t="shared" si="23"/>
        <v>101</v>
      </c>
      <c r="AE102">
        <f t="shared" si="24"/>
        <v>101</v>
      </c>
      <c r="AF102" t="s">
        <v>1845</v>
      </c>
      <c r="AG102" t="s">
        <v>1846</v>
      </c>
      <c r="AH102" t="s">
        <v>1847</v>
      </c>
      <c r="AI102" t="s">
        <v>1848</v>
      </c>
      <c r="AK102">
        <f t="shared" si="25"/>
        <v>101</v>
      </c>
      <c r="AQ102">
        <f t="shared" si="26"/>
        <v>101</v>
      </c>
      <c r="AR102" t="s">
        <v>1849</v>
      </c>
      <c r="AS102" t="s">
        <v>1850</v>
      </c>
      <c r="AT102" t="s">
        <v>1851</v>
      </c>
      <c r="AU102" t="s">
        <v>1852</v>
      </c>
      <c r="AW102">
        <f t="shared" si="27"/>
        <v>101</v>
      </c>
      <c r="BC102">
        <f t="shared" si="28"/>
        <v>101</v>
      </c>
      <c r="BI102">
        <f t="shared" si="29"/>
        <v>101</v>
      </c>
      <c r="BO102">
        <f t="shared" si="30"/>
        <v>101</v>
      </c>
    </row>
    <row r="103" spans="13:71">
      <c r="M103">
        <f t="shared" si="21"/>
        <v>102</v>
      </c>
      <c r="N103" t="s">
        <v>1853</v>
      </c>
      <c r="O103" s="328" t="s">
        <v>1854</v>
      </c>
      <c r="P103" s="328" t="s">
        <v>1855</v>
      </c>
      <c r="Q103" s="328" t="s">
        <v>1856</v>
      </c>
      <c r="S103">
        <f t="shared" si="22"/>
        <v>102</v>
      </c>
      <c r="Y103">
        <f t="shared" si="23"/>
        <v>102</v>
      </c>
      <c r="AE103">
        <f t="shared" si="24"/>
        <v>102</v>
      </c>
      <c r="AF103" t="s">
        <v>341</v>
      </c>
      <c r="AG103" t="s">
        <v>342</v>
      </c>
      <c r="AH103" t="s">
        <v>343</v>
      </c>
      <c r="AI103" t="s">
        <v>344</v>
      </c>
      <c r="AK103">
        <f t="shared" si="25"/>
        <v>102</v>
      </c>
      <c r="AQ103">
        <f t="shared" si="26"/>
        <v>102</v>
      </c>
      <c r="AW103">
        <f t="shared" si="27"/>
        <v>102</v>
      </c>
      <c r="BC103">
        <f t="shared" si="28"/>
        <v>102</v>
      </c>
      <c r="BI103">
        <f t="shared" si="29"/>
        <v>102</v>
      </c>
      <c r="BO103">
        <f t="shared" si="30"/>
        <v>102</v>
      </c>
    </row>
    <row r="104" spans="13:71">
      <c r="M104">
        <f t="shared" si="21"/>
        <v>103</v>
      </c>
      <c r="N104" t="s">
        <v>1857</v>
      </c>
      <c r="O104" s="328" t="s">
        <v>1858</v>
      </c>
      <c r="P104" s="328" t="s">
        <v>1859</v>
      </c>
      <c r="Q104" s="328" t="s">
        <v>1860</v>
      </c>
      <c r="S104">
        <f t="shared" si="22"/>
        <v>103</v>
      </c>
      <c r="Y104">
        <f t="shared" si="23"/>
        <v>103</v>
      </c>
      <c r="AE104">
        <f t="shared" si="24"/>
        <v>103</v>
      </c>
      <c r="AF104" t="s">
        <v>1845</v>
      </c>
      <c r="AG104" t="s">
        <v>1846</v>
      </c>
      <c r="AH104" t="s">
        <v>1847</v>
      </c>
      <c r="AI104" t="s">
        <v>1848</v>
      </c>
      <c r="AK104">
        <f t="shared" si="25"/>
        <v>103</v>
      </c>
      <c r="AQ104">
        <f t="shared" si="26"/>
        <v>103</v>
      </c>
      <c r="AW104">
        <f t="shared" si="27"/>
        <v>103</v>
      </c>
      <c r="BC104">
        <f t="shared" si="28"/>
        <v>103</v>
      </c>
      <c r="BI104">
        <f t="shared" si="29"/>
        <v>103</v>
      </c>
      <c r="BO104">
        <f t="shared" si="30"/>
        <v>103</v>
      </c>
    </row>
    <row r="105" spans="13:71">
      <c r="M105">
        <f t="shared" si="21"/>
        <v>104</v>
      </c>
      <c r="N105" t="s">
        <v>1861</v>
      </c>
      <c r="O105" s="328" t="s">
        <v>1862</v>
      </c>
      <c r="P105" s="328" t="s">
        <v>1863</v>
      </c>
      <c r="Q105" s="328" t="s">
        <v>1864</v>
      </c>
      <c r="S105">
        <f t="shared" si="22"/>
        <v>104</v>
      </c>
      <c r="Y105">
        <f t="shared" si="23"/>
        <v>104</v>
      </c>
      <c r="AE105">
        <f t="shared" si="24"/>
        <v>104</v>
      </c>
      <c r="AF105" t="s">
        <v>1865</v>
      </c>
      <c r="AG105" t="s">
        <v>1866</v>
      </c>
      <c r="AH105" t="s">
        <v>1867</v>
      </c>
      <c r="AI105" t="s">
        <v>1868</v>
      </c>
      <c r="AK105">
        <f t="shared" si="25"/>
        <v>104</v>
      </c>
      <c r="AQ105">
        <f t="shared" si="26"/>
        <v>104</v>
      </c>
      <c r="AW105">
        <f t="shared" si="27"/>
        <v>104</v>
      </c>
      <c r="BC105">
        <f t="shared" si="28"/>
        <v>104</v>
      </c>
      <c r="BI105">
        <f t="shared" si="29"/>
        <v>104</v>
      </c>
      <c r="BO105">
        <f t="shared" si="30"/>
        <v>104</v>
      </c>
    </row>
    <row r="106" spans="13:71">
      <c r="M106">
        <f t="shared" si="21"/>
        <v>105</v>
      </c>
      <c r="N106" t="s">
        <v>1869</v>
      </c>
      <c r="O106" s="328" t="s">
        <v>1870</v>
      </c>
      <c r="P106" s="328" t="s">
        <v>1871</v>
      </c>
      <c r="Q106" s="328" t="s">
        <v>1872</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c r="M107">
        <f t="shared" si="21"/>
        <v>106</v>
      </c>
      <c r="N107" t="s">
        <v>1873</v>
      </c>
      <c r="O107" s="328" t="s">
        <v>1874</v>
      </c>
      <c r="P107" s="328" t="s">
        <v>1875</v>
      </c>
      <c r="Q107" s="328" t="s">
        <v>1876</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c r="M108">
        <f t="shared" si="21"/>
        <v>107</v>
      </c>
      <c r="N108" t="s">
        <v>1877</v>
      </c>
      <c r="O108" s="328" t="s">
        <v>1878</v>
      </c>
      <c r="P108" s="328" t="s">
        <v>1879</v>
      </c>
      <c r="Q108" s="328" t="s">
        <v>1880</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c r="M109">
        <f t="shared" si="21"/>
        <v>108</v>
      </c>
      <c r="N109" t="s">
        <v>1881</v>
      </c>
      <c r="O109" s="328" t="s">
        <v>1882</v>
      </c>
      <c r="P109" s="328" t="s">
        <v>1883</v>
      </c>
      <c r="Q109" s="328" t="s">
        <v>1884</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c r="M110">
        <f t="shared" si="21"/>
        <v>109</v>
      </c>
      <c r="N110" t="s">
        <v>1885</v>
      </c>
      <c r="O110" s="328" t="s">
        <v>1886</v>
      </c>
      <c r="P110" s="328" t="s">
        <v>1282</v>
      </c>
      <c r="Q110" s="328" t="s">
        <v>1887</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c r="M111">
        <f t="shared" si="21"/>
        <v>110</v>
      </c>
      <c r="N111" t="s">
        <v>1888</v>
      </c>
      <c r="O111" s="328" t="s">
        <v>1889</v>
      </c>
      <c r="P111" s="328" t="s">
        <v>1890</v>
      </c>
      <c r="Q111" s="328" t="s">
        <v>1891</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c r="M112">
        <f t="shared" si="21"/>
        <v>111</v>
      </c>
      <c r="N112" t="s">
        <v>1892</v>
      </c>
      <c r="O112" s="328" t="s">
        <v>1893</v>
      </c>
      <c r="P112" s="328" t="s">
        <v>1894</v>
      </c>
      <c r="Q112" s="328" t="s">
        <v>1895</v>
      </c>
      <c r="S112">
        <f t="shared" si="22"/>
        <v>111</v>
      </c>
      <c r="Y112">
        <f t="shared" si="23"/>
        <v>111</v>
      </c>
      <c r="AE112">
        <f t="shared" si="24"/>
        <v>111</v>
      </c>
      <c r="AF112" t="s">
        <v>1896</v>
      </c>
      <c r="AG112" t="s">
        <v>1897</v>
      </c>
      <c r="AH112" t="s">
        <v>1898</v>
      </c>
      <c r="AI112" t="s">
        <v>1899</v>
      </c>
      <c r="AK112">
        <f t="shared" si="25"/>
        <v>111</v>
      </c>
      <c r="AQ112">
        <f t="shared" si="26"/>
        <v>111</v>
      </c>
      <c r="AR112" t="s">
        <v>1900</v>
      </c>
      <c r="AS112" t="s">
        <v>1901</v>
      </c>
      <c r="AT112" t="s">
        <v>1902</v>
      </c>
      <c r="AU112" t="s">
        <v>1903</v>
      </c>
      <c r="AW112">
        <f t="shared" si="27"/>
        <v>111</v>
      </c>
      <c r="BC112">
        <f t="shared" si="28"/>
        <v>111</v>
      </c>
      <c r="BI112">
        <f t="shared" si="29"/>
        <v>111</v>
      </c>
      <c r="BO112">
        <f t="shared" si="30"/>
        <v>111</v>
      </c>
    </row>
    <row r="113" spans="13:67">
      <c r="M113">
        <f t="shared" si="21"/>
        <v>112</v>
      </c>
      <c r="N113" t="s">
        <v>1904</v>
      </c>
      <c r="O113" s="328" t="s">
        <v>1905</v>
      </c>
      <c r="P113" s="328" t="s">
        <v>1906</v>
      </c>
      <c r="Q113" s="328" t="s">
        <v>1907</v>
      </c>
      <c r="S113">
        <f t="shared" si="22"/>
        <v>112</v>
      </c>
      <c r="Y113">
        <f t="shared" si="23"/>
        <v>112</v>
      </c>
      <c r="AE113">
        <f t="shared" si="24"/>
        <v>112</v>
      </c>
      <c r="AF113" t="s">
        <v>1908</v>
      </c>
      <c r="AG113" t="s">
        <v>1909</v>
      </c>
      <c r="AH113" t="s">
        <v>1910</v>
      </c>
      <c r="AI113" t="s">
        <v>1911</v>
      </c>
      <c r="AK113">
        <f t="shared" si="25"/>
        <v>112</v>
      </c>
      <c r="AQ113">
        <f t="shared" si="26"/>
        <v>112</v>
      </c>
      <c r="AR113" t="s">
        <v>1912</v>
      </c>
      <c r="AS113" t="s">
        <v>1913</v>
      </c>
      <c r="AT113" t="s">
        <v>1914</v>
      </c>
      <c r="AU113" t="s">
        <v>1915</v>
      </c>
      <c r="AW113">
        <f t="shared" si="27"/>
        <v>112</v>
      </c>
      <c r="BC113">
        <f t="shared" si="28"/>
        <v>112</v>
      </c>
      <c r="BI113">
        <f t="shared" si="29"/>
        <v>112</v>
      </c>
      <c r="BO113">
        <f t="shared" si="30"/>
        <v>112</v>
      </c>
    </row>
    <row r="114" spans="13:67">
      <c r="M114">
        <f t="shared" si="21"/>
        <v>113</v>
      </c>
      <c r="N114" t="s">
        <v>1916</v>
      </c>
      <c r="O114" s="328" t="s">
        <v>1917</v>
      </c>
      <c r="P114" s="328" t="s">
        <v>1918</v>
      </c>
      <c r="Q114" s="328" t="s">
        <v>1919</v>
      </c>
      <c r="S114">
        <f t="shared" si="22"/>
        <v>113</v>
      </c>
      <c r="Y114">
        <f t="shared" si="23"/>
        <v>113</v>
      </c>
      <c r="AE114">
        <f t="shared" si="24"/>
        <v>113</v>
      </c>
      <c r="AF114" t="s">
        <v>1920</v>
      </c>
      <c r="AG114" t="s">
        <v>1921</v>
      </c>
      <c r="AH114" t="s">
        <v>1922</v>
      </c>
      <c r="AI114" t="s">
        <v>1923</v>
      </c>
      <c r="AK114">
        <f t="shared" si="25"/>
        <v>113</v>
      </c>
      <c r="AQ114">
        <f t="shared" si="26"/>
        <v>113</v>
      </c>
      <c r="AR114" t="s">
        <v>1924</v>
      </c>
      <c r="AS114" t="s">
        <v>1925</v>
      </c>
      <c r="AT114" t="s">
        <v>1926</v>
      </c>
      <c r="AU114" t="s">
        <v>1927</v>
      </c>
      <c r="AW114">
        <f t="shared" si="27"/>
        <v>113</v>
      </c>
      <c r="BC114">
        <f t="shared" si="28"/>
        <v>113</v>
      </c>
      <c r="BI114">
        <f t="shared" si="29"/>
        <v>113</v>
      </c>
      <c r="BO114">
        <f t="shared" si="30"/>
        <v>113</v>
      </c>
    </row>
    <row r="115" spans="13:67">
      <c r="M115">
        <f t="shared" si="21"/>
        <v>114</v>
      </c>
      <c r="N115" t="s">
        <v>1916</v>
      </c>
      <c r="O115" s="328" t="s">
        <v>1917</v>
      </c>
      <c r="P115" s="328" t="s">
        <v>1918</v>
      </c>
      <c r="Q115" s="328" t="s">
        <v>1919</v>
      </c>
      <c r="S115">
        <f t="shared" si="22"/>
        <v>114</v>
      </c>
      <c r="Y115">
        <f t="shared" si="23"/>
        <v>114</v>
      </c>
      <c r="AE115">
        <f t="shared" si="24"/>
        <v>114</v>
      </c>
      <c r="AF115" t="s">
        <v>1928</v>
      </c>
      <c r="AG115" t="s">
        <v>1929</v>
      </c>
      <c r="AH115" t="s">
        <v>1930</v>
      </c>
      <c r="AI115" t="s">
        <v>1931</v>
      </c>
      <c r="AK115">
        <f t="shared" si="25"/>
        <v>114</v>
      </c>
      <c r="AQ115">
        <f t="shared" si="26"/>
        <v>114</v>
      </c>
      <c r="AR115" t="s">
        <v>1932</v>
      </c>
      <c r="AS115" t="s">
        <v>1933</v>
      </c>
      <c r="AT115" t="s">
        <v>1934</v>
      </c>
      <c r="AU115" t="s">
        <v>1935</v>
      </c>
      <c r="AW115">
        <f t="shared" si="27"/>
        <v>114</v>
      </c>
      <c r="BC115">
        <f t="shared" si="28"/>
        <v>114</v>
      </c>
      <c r="BI115">
        <f t="shared" si="29"/>
        <v>114</v>
      </c>
      <c r="BO115">
        <f t="shared" si="30"/>
        <v>114</v>
      </c>
    </row>
    <row r="116" spans="13:67">
      <c r="M116">
        <f t="shared" si="21"/>
        <v>115</v>
      </c>
      <c r="N116" t="s">
        <v>1936</v>
      </c>
      <c r="O116" s="328" t="s">
        <v>1937</v>
      </c>
      <c r="P116" s="328" t="s">
        <v>1938</v>
      </c>
      <c r="Q116" s="328" t="s">
        <v>1939</v>
      </c>
      <c r="S116">
        <f t="shared" si="22"/>
        <v>115</v>
      </c>
      <c r="Y116">
        <f t="shared" si="23"/>
        <v>115</v>
      </c>
      <c r="AE116">
        <f t="shared" si="24"/>
        <v>115</v>
      </c>
      <c r="AF116" t="s">
        <v>1940</v>
      </c>
      <c r="AG116" t="s">
        <v>1941</v>
      </c>
      <c r="AH116" t="s">
        <v>1942</v>
      </c>
      <c r="AI116" t="s">
        <v>1942</v>
      </c>
      <c r="AK116">
        <f t="shared" si="25"/>
        <v>115</v>
      </c>
      <c r="AQ116">
        <f t="shared" si="26"/>
        <v>115</v>
      </c>
      <c r="AR116" t="s">
        <v>1943</v>
      </c>
      <c r="AS116" t="s">
        <v>1944</v>
      </c>
      <c r="AT116" t="s">
        <v>1945</v>
      </c>
      <c r="AU116" t="s">
        <v>1946</v>
      </c>
      <c r="AW116">
        <f t="shared" si="27"/>
        <v>115</v>
      </c>
      <c r="BC116">
        <f t="shared" si="28"/>
        <v>115</v>
      </c>
      <c r="BI116">
        <f t="shared" si="29"/>
        <v>115</v>
      </c>
      <c r="BO116">
        <f t="shared" si="30"/>
        <v>115</v>
      </c>
    </row>
    <row r="117" spans="13:67">
      <c r="M117">
        <f t="shared" si="21"/>
        <v>116</v>
      </c>
      <c r="N117" t="s">
        <v>1947</v>
      </c>
      <c r="O117" s="328" t="s">
        <v>1948</v>
      </c>
      <c r="P117" s="328" t="s">
        <v>1949</v>
      </c>
      <c r="Q117" s="328" t="s">
        <v>1950</v>
      </c>
      <c r="S117">
        <f t="shared" si="22"/>
        <v>116</v>
      </c>
      <c r="Y117">
        <f t="shared" si="23"/>
        <v>116</v>
      </c>
      <c r="AE117">
        <f t="shared" si="24"/>
        <v>116</v>
      </c>
      <c r="AF117" t="s">
        <v>1951</v>
      </c>
      <c r="AG117" t="s">
        <v>1952</v>
      </c>
      <c r="AH117" t="s">
        <v>1953</v>
      </c>
      <c r="AI117" t="s">
        <v>1954</v>
      </c>
      <c r="AK117">
        <f t="shared" si="25"/>
        <v>116</v>
      </c>
      <c r="AQ117">
        <f t="shared" si="26"/>
        <v>116</v>
      </c>
      <c r="AW117">
        <f t="shared" si="27"/>
        <v>116</v>
      </c>
      <c r="BC117">
        <f t="shared" si="28"/>
        <v>116</v>
      </c>
      <c r="BI117">
        <f t="shared" si="29"/>
        <v>116</v>
      </c>
      <c r="BO117">
        <f t="shared" si="30"/>
        <v>116</v>
      </c>
    </row>
    <row r="118" spans="13:67">
      <c r="M118">
        <f t="shared" si="21"/>
        <v>117</v>
      </c>
      <c r="N118" t="s">
        <v>1955</v>
      </c>
      <c r="O118" s="328" t="s">
        <v>1956</v>
      </c>
      <c r="P118" s="328" t="s">
        <v>1957</v>
      </c>
      <c r="Q118" s="328" t="s">
        <v>1958</v>
      </c>
      <c r="S118">
        <f t="shared" si="22"/>
        <v>117</v>
      </c>
      <c r="Y118">
        <f t="shared" si="23"/>
        <v>117</v>
      </c>
      <c r="AE118">
        <f t="shared" si="24"/>
        <v>117</v>
      </c>
      <c r="AF118" t="s">
        <v>1556</v>
      </c>
      <c r="AG118" t="s">
        <v>1557</v>
      </c>
      <c r="AH118" t="s">
        <v>1558</v>
      </c>
      <c r="AI118" t="s">
        <v>1559</v>
      </c>
      <c r="AK118">
        <f t="shared" si="25"/>
        <v>117</v>
      </c>
      <c r="AQ118">
        <f t="shared" si="26"/>
        <v>117</v>
      </c>
      <c r="AW118">
        <f t="shared" si="27"/>
        <v>117</v>
      </c>
      <c r="BC118">
        <f t="shared" si="28"/>
        <v>117</v>
      </c>
      <c r="BI118">
        <f t="shared" si="29"/>
        <v>117</v>
      </c>
      <c r="BO118">
        <f t="shared" si="30"/>
        <v>117</v>
      </c>
    </row>
    <row r="119" spans="13:67">
      <c r="M119">
        <f t="shared" si="21"/>
        <v>118</v>
      </c>
      <c r="N119" t="s">
        <v>1959</v>
      </c>
      <c r="O119" s="328" t="s">
        <v>1960</v>
      </c>
      <c r="P119" s="328" t="s">
        <v>1961</v>
      </c>
      <c r="Q119" s="328" t="s">
        <v>1962</v>
      </c>
      <c r="S119">
        <f t="shared" si="22"/>
        <v>118</v>
      </c>
      <c r="Y119">
        <f t="shared" si="23"/>
        <v>118</v>
      </c>
      <c r="AE119">
        <f t="shared" si="24"/>
        <v>118</v>
      </c>
      <c r="AF119" t="s">
        <v>1600</v>
      </c>
      <c r="AG119" t="s">
        <v>1601</v>
      </c>
      <c r="AH119" t="s">
        <v>1602</v>
      </c>
      <c r="AI119" t="s">
        <v>1603</v>
      </c>
      <c r="AK119">
        <f t="shared" si="25"/>
        <v>118</v>
      </c>
      <c r="AQ119">
        <f t="shared" si="26"/>
        <v>118</v>
      </c>
      <c r="AW119">
        <f t="shared" si="27"/>
        <v>118</v>
      </c>
      <c r="BC119">
        <f t="shared" si="28"/>
        <v>118</v>
      </c>
      <c r="BI119">
        <f t="shared" si="29"/>
        <v>118</v>
      </c>
      <c r="BO119">
        <f t="shared" si="30"/>
        <v>118</v>
      </c>
    </row>
    <row r="120" spans="13:67">
      <c r="M120">
        <f t="shared" si="21"/>
        <v>119</v>
      </c>
      <c r="N120" t="s">
        <v>1963</v>
      </c>
      <c r="O120" s="328" t="s">
        <v>1964</v>
      </c>
      <c r="P120" s="328" t="s">
        <v>1965</v>
      </c>
      <c r="Q120" s="328" t="s">
        <v>1966</v>
      </c>
      <c r="S120">
        <f t="shared" si="22"/>
        <v>119</v>
      </c>
      <c r="Y120">
        <f t="shared" si="23"/>
        <v>119</v>
      </c>
      <c r="AE120">
        <f t="shared" si="24"/>
        <v>119</v>
      </c>
      <c r="AF120" t="s">
        <v>1967</v>
      </c>
      <c r="AG120" t="s">
        <v>1968</v>
      </c>
      <c r="AH120" t="s">
        <v>1969</v>
      </c>
      <c r="AI120" t="s">
        <v>1970</v>
      </c>
      <c r="AK120">
        <f t="shared" si="25"/>
        <v>119</v>
      </c>
      <c r="AQ120">
        <f t="shared" si="26"/>
        <v>119</v>
      </c>
      <c r="AW120">
        <f t="shared" si="27"/>
        <v>119</v>
      </c>
      <c r="BC120">
        <f t="shared" si="28"/>
        <v>119</v>
      </c>
      <c r="BI120">
        <f t="shared" si="29"/>
        <v>119</v>
      </c>
      <c r="BO120">
        <f t="shared" si="30"/>
        <v>119</v>
      </c>
    </row>
    <row r="121" spans="13:67">
      <c r="M121">
        <f t="shared" si="21"/>
        <v>120</v>
      </c>
      <c r="N121" t="s">
        <v>1971</v>
      </c>
      <c r="O121" s="328" t="s">
        <v>1972</v>
      </c>
      <c r="P121" s="328" t="s">
        <v>1973</v>
      </c>
      <c r="Q121" s="328" t="s">
        <v>1974</v>
      </c>
      <c r="S121">
        <f t="shared" si="22"/>
        <v>120</v>
      </c>
      <c r="Y121">
        <f t="shared" si="23"/>
        <v>120</v>
      </c>
      <c r="AE121">
        <f t="shared" si="24"/>
        <v>120</v>
      </c>
      <c r="AF121" t="s">
        <v>1610</v>
      </c>
      <c r="AG121" t="s">
        <v>1611</v>
      </c>
      <c r="AH121" t="s">
        <v>1612</v>
      </c>
      <c r="AI121" t="s">
        <v>1613</v>
      </c>
      <c r="AK121">
        <f t="shared" si="25"/>
        <v>120</v>
      </c>
      <c r="AQ121">
        <f t="shared" si="26"/>
        <v>120</v>
      </c>
      <c r="AW121">
        <f t="shared" si="27"/>
        <v>120</v>
      </c>
      <c r="BC121">
        <f t="shared" si="28"/>
        <v>120</v>
      </c>
      <c r="BI121">
        <f t="shared" si="29"/>
        <v>120</v>
      </c>
      <c r="BO121">
        <f t="shared" si="30"/>
        <v>120</v>
      </c>
    </row>
    <row r="122" spans="13:67">
      <c r="M122">
        <f t="shared" si="21"/>
        <v>121</v>
      </c>
      <c r="N122" t="s">
        <v>1975</v>
      </c>
      <c r="O122" s="328" t="s">
        <v>1976</v>
      </c>
      <c r="P122" s="328" t="s">
        <v>1977</v>
      </c>
      <c r="Q122" s="328" t="s">
        <v>1978</v>
      </c>
      <c r="S122">
        <f t="shared" si="22"/>
        <v>121</v>
      </c>
      <c r="Y122">
        <f t="shared" si="23"/>
        <v>121</v>
      </c>
      <c r="AE122">
        <f t="shared" si="24"/>
        <v>121</v>
      </c>
      <c r="AF122" t="s">
        <v>1979</v>
      </c>
      <c r="AG122" t="s">
        <v>1980</v>
      </c>
      <c r="AH122" t="s">
        <v>1981</v>
      </c>
      <c r="AI122" t="s">
        <v>1982</v>
      </c>
      <c r="AK122">
        <f t="shared" si="25"/>
        <v>121</v>
      </c>
      <c r="AQ122">
        <f t="shared" si="26"/>
        <v>121</v>
      </c>
      <c r="AW122">
        <f t="shared" si="27"/>
        <v>121</v>
      </c>
      <c r="BC122">
        <f t="shared" si="28"/>
        <v>121</v>
      </c>
      <c r="BI122">
        <f t="shared" si="29"/>
        <v>121</v>
      </c>
      <c r="BO122">
        <f t="shared" si="30"/>
        <v>121</v>
      </c>
    </row>
    <row r="123" spans="13:67">
      <c r="M123">
        <f t="shared" si="21"/>
        <v>122</v>
      </c>
      <c r="N123" t="s">
        <v>1983</v>
      </c>
      <c r="O123" s="328" t="s">
        <v>1984</v>
      </c>
      <c r="P123" s="328" t="s">
        <v>1985</v>
      </c>
      <c r="Q123" s="328" t="s">
        <v>1986</v>
      </c>
      <c r="S123">
        <f t="shared" si="22"/>
        <v>122</v>
      </c>
      <c r="Y123">
        <f t="shared" si="23"/>
        <v>122</v>
      </c>
      <c r="AE123">
        <f t="shared" si="24"/>
        <v>122</v>
      </c>
      <c r="AF123" t="s">
        <v>1641</v>
      </c>
      <c r="AG123" t="s">
        <v>1642</v>
      </c>
      <c r="AH123" t="s">
        <v>1643</v>
      </c>
      <c r="AI123" t="s">
        <v>1642</v>
      </c>
      <c r="AK123">
        <f t="shared" si="25"/>
        <v>122</v>
      </c>
      <c r="AQ123">
        <f t="shared" si="26"/>
        <v>122</v>
      </c>
      <c r="AW123">
        <f t="shared" si="27"/>
        <v>122</v>
      </c>
      <c r="BC123">
        <f t="shared" si="28"/>
        <v>122</v>
      </c>
      <c r="BI123">
        <f t="shared" si="29"/>
        <v>122</v>
      </c>
      <c r="BO123">
        <f t="shared" si="30"/>
        <v>122</v>
      </c>
    </row>
    <row r="124" spans="13:67">
      <c r="M124">
        <f t="shared" si="21"/>
        <v>123</v>
      </c>
      <c r="N124" t="s">
        <v>1987</v>
      </c>
      <c r="O124" s="328" t="s">
        <v>1988</v>
      </c>
      <c r="P124" s="328" t="s">
        <v>1989</v>
      </c>
      <c r="Q124" s="328" t="s">
        <v>1990</v>
      </c>
      <c r="S124">
        <f t="shared" si="22"/>
        <v>123</v>
      </c>
      <c r="Y124">
        <f t="shared" si="23"/>
        <v>123</v>
      </c>
      <c r="AE124">
        <f t="shared" si="24"/>
        <v>123</v>
      </c>
      <c r="AF124" t="s">
        <v>1991</v>
      </c>
      <c r="AG124" t="s">
        <v>1992</v>
      </c>
      <c r="AH124" t="s">
        <v>1993</v>
      </c>
      <c r="AI124" t="s">
        <v>1994</v>
      </c>
      <c r="AK124">
        <f t="shared" si="25"/>
        <v>123</v>
      </c>
      <c r="AQ124">
        <f t="shared" si="26"/>
        <v>123</v>
      </c>
      <c r="AW124">
        <f t="shared" si="27"/>
        <v>123</v>
      </c>
      <c r="BC124">
        <f t="shared" si="28"/>
        <v>123</v>
      </c>
      <c r="BI124">
        <f t="shared" si="29"/>
        <v>123</v>
      </c>
      <c r="BO124">
        <f t="shared" si="30"/>
        <v>123</v>
      </c>
    </row>
    <row r="125" spans="13:67">
      <c r="M125">
        <f t="shared" si="21"/>
        <v>124</v>
      </c>
      <c r="N125" t="s">
        <v>1995</v>
      </c>
      <c r="O125" s="328" t="s">
        <v>1996</v>
      </c>
      <c r="P125" s="328" t="s">
        <v>1997</v>
      </c>
      <c r="Q125" s="328" t="s">
        <v>1998</v>
      </c>
      <c r="S125">
        <f t="shared" si="22"/>
        <v>124</v>
      </c>
      <c r="Y125">
        <f t="shared" si="23"/>
        <v>124</v>
      </c>
      <c r="AE125">
        <f t="shared" si="24"/>
        <v>124</v>
      </c>
      <c r="AF125" t="s">
        <v>1999</v>
      </c>
      <c r="AG125" t="s">
        <v>2000</v>
      </c>
      <c r="AH125" t="s">
        <v>2001</v>
      </c>
      <c r="AI125" t="s">
        <v>2002</v>
      </c>
      <c r="AK125">
        <f t="shared" si="25"/>
        <v>124</v>
      </c>
      <c r="AQ125">
        <f t="shared" si="26"/>
        <v>124</v>
      </c>
      <c r="AW125">
        <f t="shared" si="27"/>
        <v>124</v>
      </c>
      <c r="BC125">
        <f t="shared" si="28"/>
        <v>124</v>
      </c>
      <c r="BI125">
        <f t="shared" si="29"/>
        <v>124</v>
      </c>
      <c r="BO125">
        <f t="shared" si="30"/>
        <v>124</v>
      </c>
    </row>
    <row r="126" spans="13:67">
      <c r="M126">
        <f t="shared" si="21"/>
        <v>125</v>
      </c>
      <c r="N126" t="s">
        <v>2003</v>
      </c>
      <c r="O126" s="328" t="s">
        <v>2004</v>
      </c>
      <c r="P126" s="328" t="s">
        <v>2005</v>
      </c>
      <c r="Q126" s="328" t="s">
        <v>2006</v>
      </c>
      <c r="S126">
        <f t="shared" si="22"/>
        <v>125</v>
      </c>
      <c r="Y126">
        <f t="shared" si="23"/>
        <v>125</v>
      </c>
      <c r="AE126">
        <f t="shared" si="24"/>
        <v>125</v>
      </c>
      <c r="AF126" t="s">
        <v>1585</v>
      </c>
      <c r="AG126" t="s">
        <v>1586</v>
      </c>
      <c r="AH126" t="s">
        <v>1587</v>
      </c>
      <c r="AI126" t="s">
        <v>1588</v>
      </c>
      <c r="AK126">
        <f t="shared" si="25"/>
        <v>125</v>
      </c>
      <c r="AQ126">
        <f t="shared" si="26"/>
        <v>125</v>
      </c>
      <c r="AW126">
        <f t="shared" si="27"/>
        <v>125</v>
      </c>
      <c r="BC126">
        <f t="shared" si="28"/>
        <v>125</v>
      </c>
      <c r="BI126">
        <f t="shared" si="29"/>
        <v>125</v>
      </c>
      <c r="BO126">
        <f t="shared" si="30"/>
        <v>125</v>
      </c>
    </row>
    <row r="127" spans="13:67">
      <c r="M127">
        <f t="shared" si="21"/>
        <v>126</v>
      </c>
      <c r="N127" t="s">
        <v>2007</v>
      </c>
      <c r="O127" s="328" t="s">
        <v>2008</v>
      </c>
      <c r="P127" s="328" t="s">
        <v>2009</v>
      </c>
      <c r="Q127" s="328" t="s">
        <v>2010</v>
      </c>
      <c r="S127">
        <f t="shared" si="22"/>
        <v>126</v>
      </c>
      <c r="Y127">
        <f t="shared" si="23"/>
        <v>126</v>
      </c>
      <c r="AE127">
        <f t="shared" si="24"/>
        <v>126</v>
      </c>
      <c r="AF127" t="s">
        <v>2011</v>
      </c>
      <c r="AG127" t="s">
        <v>2012</v>
      </c>
      <c r="AH127" t="s">
        <v>2013</v>
      </c>
      <c r="AI127" t="s">
        <v>2014</v>
      </c>
      <c r="AK127">
        <f t="shared" si="25"/>
        <v>126</v>
      </c>
      <c r="AQ127">
        <f t="shared" si="26"/>
        <v>126</v>
      </c>
      <c r="AW127">
        <f t="shared" si="27"/>
        <v>126</v>
      </c>
      <c r="BC127">
        <f t="shared" si="28"/>
        <v>126</v>
      </c>
      <c r="BI127">
        <f t="shared" si="29"/>
        <v>126</v>
      </c>
      <c r="BO127">
        <f t="shared" si="30"/>
        <v>126</v>
      </c>
    </row>
    <row r="128" spans="13:67">
      <c r="M128">
        <f t="shared" si="21"/>
        <v>127</v>
      </c>
      <c r="N128" s="474" t="s">
        <v>2015</v>
      </c>
      <c r="O128" s="474" t="s">
        <v>2016</v>
      </c>
      <c r="P128" s="474" t="s">
        <v>2017</v>
      </c>
      <c r="Q128" s="474" t="s">
        <v>2018</v>
      </c>
      <c r="S128">
        <f t="shared" si="22"/>
        <v>127</v>
      </c>
      <c r="Y128">
        <f t="shared" si="23"/>
        <v>127</v>
      </c>
      <c r="AE128">
        <f t="shared" si="24"/>
        <v>127</v>
      </c>
      <c r="AF128" t="s">
        <v>2019</v>
      </c>
      <c r="AG128" t="s">
        <v>2020</v>
      </c>
      <c r="AH128" t="s">
        <v>2021</v>
      </c>
      <c r="AI128" t="s">
        <v>2022</v>
      </c>
      <c r="AK128">
        <f t="shared" si="25"/>
        <v>127</v>
      </c>
      <c r="AQ128">
        <f t="shared" si="26"/>
        <v>127</v>
      </c>
      <c r="AW128">
        <f t="shared" si="27"/>
        <v>127</v>
      </c>
      <c r="BC128">
        <f t="shared" si="28"/>
        <v>127</v>
      </c>
      <c r="BI128">
        <f t="shared" si="29"/>
        <v>127</v>
      </c>
      <c r="BO128">
        <f t="shared" si="30"/>
        <v>127</v>
      </c>
    </row>
    <row r="129" spans="13:71">
      <c r="M129">
        <f t="shared" si="21"/>
        <v>128</v>
      </c>
      <c r="N129" s="474" t="s">
        <v>2023</v>
      </c>
      <c r="O129" s="474" t="s">
        <v>2024</v>
      </c>
      <c r="P129" s="474" t="s">
        <v>2025</v>
      </c>
      <c r="Q129" s="474" t="s">
        <v>2026</v>
      </c>
      <c r="S129">
        <f t="shared" si="22"/>
        <v>128</v>
      </c>
      <c r="Y129">
        <f t="shared" si="23"/>
        <v>128</v>
      </c>
      <c r="AE129">
        <f t="shared" si="24"/>
        <v>128</v>
      </c>
      <c r="AF129" t="s">
        <v>1621</v>
      </c>
      <c r="AG129" t="s">
        <v>1621</v>
      </c>
      <c r="AH129" t="s">
        <v>1622</v>
      </c>
      <c r="AI129" t="s">
        <v>1621</v>
      </c>
      <c r="AK129">
        <f t="shared" si="25"/>
        <v>128</v>
      </c>
      <c r="AQ129">
        <f t="shared" si="26"/>
        <v>128</v>
      </c>
      <c r="AW129">
        <f t="shared" si="27"/>
        <v>128</v>
      </c>
      <c r="BC129">
        <f t="shared" si="28"/>
        <v>128</v>
      </c>
      <c r="BI129">
        <f t="shared" si="29"/>
        <v>128</v>
      </c>
      <c r="BO129">
        <f t="shared" si="30"/>
        <v>128</v>
      </c>
    </row>
    <row r="130" spans="13:71">
      <c r="M130">
        <f t="shared" si="21"/>
        <v>129</v>
      </c>
      <c r="N130" s="474" t="s">
        <v>2027</v>
      </c>
      <c r="O130" s="474" t="s">
        <v>2028</v>
      </c>
      <c r="P130" s="474" t="s">
        <v>2029</v>
      </c>
      <c r="Q130" s="474" t="s">
        <v>2030</v>
      </c>
      <c r="S130">
        <f t="shared" si="22"/>
        <v>129</v>
      </c>
      <c r="Y130">
        <f t="shared" si="23"/>
        <v>129</v>
      </c>
      <c r="AE130">
        <f t="shared" si="24"/>
        <v>129</v>
      </c>
      <c r="AF130" t="s">
        <v>2031</v>
      </c>
      <c r="AG130" t="s">
        <v>2032</v>
      </c>
      <c r="AH130" t="s">
        <v>2033</v>
      </c>
      <c r="AI130" t="s">
        <v>2034</v>
      </c>
      <c r="AK130">
        <f t="shared" si="25"/>
        <v>129</v>
      </c>
      <c r="AQ130">
        <f t="shared" si="26"/>
        <v>129</v>
      </c>
      <c r="AW130">
        <f t="shared" si="27"/>
        <v>129</v>
      </c>
      <c r="BC130">
        <f t="shared" si="28"/>
        <v>129</v>
      </c>
      <c r="BI130">
        <f t="shared" si="29"/>
        <v>129</v>
      </c>
      <c r="BO130">
        <f t="shared" si="30"/>
        <v>129</v>
      </c>
    </row>
    <row r="131" spans="13:71">
      <c r="M131">
        <f t="shared" ref="M131:M151" si="31">ROW()-1</f>
        <v>130</v>
      </c>
      <c r="O131" s="328"/>
      <c r="P131" s="328"/>
      <c r="Q131" s="328"/>
      <c r="S131">
        <f t="shared" ref="S131:S151" si="32">ROW()-1</f>
        <v>130</v>
      </c>
      <c r="Y131">
        <f t="shared" ref="Y131:Y151" si="33">ROW()-1</f>
        <v>130</v>
      </c>
      <c r="AE131">
        <f t="shared" ref="AE131:AE151" si="34">ROW()-1</f>
        <v>130</v>
      </c>
      <c r="AK131">
        <f t="shared" ref="AK131:AK151" si="35">ROW()-1</f>
        <v>130</v>
      </c>
      <c r="AQ131">
        <f t="shared" ref="AQ131:AQ151" si="36">ROW()-1</f>
        <v>130</v>
      </c>
      <c r="AR131" t="s">
        <v>2035</v>
      </c>
      <c r="AS131" t="s">
        <v>2036</v>
      </c>
      <c r="AT131" t="s">
        <v>2037</v>
      </c>
      <c r="AU131" t="s">
        <v>2038</v>
      </c>
      <c r="AW131">
        <f t="shared" ref="AW131:AW151" si="37">ROW()-1</f>
        <v>130</v>
      </c>
      <c r="BC131">
        <f t="shared" ref="BC131:BC151" si="38">ROW()-1</f>
        <v>130</v>
      </c>
      <c r="BI131">
        <f t="shared" ref="BI131:BI151" si="39">ROW()-1</f>
        <v>130</v>
      </c>
      <c r="BO131">
        <f t="shared" ref="BO131:BO151" si="40">ROW()-1</f>
        <v>130</v>
      </c>
    </row>
    <row r="132" spans="13:71">
      <c r="M132">
        <f t="shared" si="31"/>
        <v>131</v>
      </c>
      <c r="N132" t="s">
        <v>2039</v>
      </c>
      <c r="O132" s="328" t="s">
        <v>2040</v>
      </c>
      <c r="P132" s="328" t="s">
        <v>2041</v>
      </c>
      <c r="Q132" s="328" t="s">
        <v>2042</v>
      </c>
      <c r="S132">
        <f t="shared" si="32"/>
        <v>131</v>
      </c>
      <c r="T132" t="s">
        <v>2043</v>
      </c>
      <c r="U132" t="s">
        <v>2044</v>
      </c>
      <c r="V132" t="s">
        <v>2045</v>
      </c>
      <c r="W132" t="s">
        <v>2046</v>
      </c>
      <c r="Y132">
        <f t="shared" si="33"/>
        <v>131</v>
      </c>
      <c r="Z132" t="s">
        <v>2047</v>
      </c>
      <c r="AA132" t="s">
        <v>2048</v>
      </c>
      <c r="AB132" t="s">
        <v>2049</v>
      </c>
      <c r="AC132" t="s">
        <v>2050</v>
      </c>
      <c r="AE132">
        <f t="shared" si="34"/>
        <v>131</v>
      </c>
      <c r="AK132">
        <f t="shared" si="35"/>
        <v>131</v>
      </c>
      <c r="AL132" t="s">
        <v>2051</v>
      </c>
      <c r="AM132" t="s">
        <v>2052</v>
      </c>
      <c r="AN132" t="s">
        <v>2053</v>
      </c>
      <c r="AO132" t="s">
        <v>2054</v>
      </c>
      <c r="AQ132">
        <f t="shared" si="36"/>
        <v>131</v>
      </c>
      <c r="AR132" t="s">
        <v>2055</v>
      </c>
      <c r="AS132" t="s">
        <v>2056</v>
      </c>
      <c r="AT132" t="s">
        <v>2057</v>
      </c>
      <c r="AU132" t="s">
        <v>2058</v>
      </c>
      <c r="AW132">
        <f t="shared" si="37"/>
        <v>131</v>
      </c>
      <c r="AX132" t="s">
        <v>2059</v>
      </c>
      <c r="AY132" t="s">
        <v>2060</v>
      </c>
      <c r="AZ132" t="s">
        <v>2061</v>
      </c>
      <c r="BA132" t="s">
        <v>2062</v>
      </c>
      <c r="BC132">
        <f t="shared" si="38"/>
        <v>131</v>
      </c>
      <c r="BD132" t="s">
        <v>2063</v>
      </c>
      <c r="BE132" t="s">
        <v>2064</v>
      </c>
      <c r="BF132" t="s">
        <v>2065</v>
      </c>
      <c r="BG132" t="s">
        <v>2066</v>
      </c>
      <c r="BI132">
        <f t="shared" si="39"/>
        <v>131</v>
      </c>
      <c r="BJ132" s="474" t="s">
        <v>2067</v>
      </c>
      <c r="BK132" s="34" t="s">
        <v>2068</v>
      </c>
      <c r="BL132" s="34" t="s">
        <v>2069</v>
      </c>
      <c r="BM132" s="34" t="s">
        <v>2070</v>
      </c>
      <c r="BO132">
        <f t="shared" si="40"/>
        <v>131</v>
      </c>
      <c r="BP132" t="s">
        <v>2071</v>
      </c>
      <c r="BQ132" s="328" t="s">
        <v>2072</v>
      </c>
      <c r="BR132" s="328" t="s">
        <v>2073</v>
      </c>
      <c r="BS132" s="328" t="s">
        <v>2074</v>
      </c>
    </row>
    <row r="133" spans="13:71">
      <c r="M133">
        <f t="shared" si="31"/>
        <v>132</v>
      </c>
      <c r="N133" t="s">
        <v>2075</v>
      </c>
      <c r="O133" s="328" t="s">
        <v>2076</v>
      </c>
      <c r="P133" s="328" t="s">
        <v>2077</v>
      </c>
      <c r="Q133" s="328" t="s">
        <v>2078</v>
      </c>
      <c r="S133">
        <f t="shared" si="32"/>
        <v>132</v>
      </c>
      <c r="T133" t="s">
        <v>2079</v>
      </c>
      <c r="U133" t="s">
        <v>2080</v>
      </c>
      <c r="V133" t="s">
        <v>2081</v>
      </c>
      <c r="W133" t="s">
        <v>2082</v>
      </c>
      <c r="Y133">
        <f t="shared" si="33"/>
        <v>132</v>
      </c>
      <c r="Z133" t="s">
        <v>2083</v>
      </c>
      <c r="AA133" t="s">
        <v>2084</v>
      </c>
      <c r="AB133" t="s">
        <v>2085</v>
      </c>
      <c r="AC133" t="s">
        <v>2086</v>
      </c>
      <c r="AE133">
        <f t="shared" si="34"/>
        <v>132</v>
      </c>
      <c r="AK133">
        <f t="shared" si="35"/>
        <v>132</v>
      </c>
      <c r="AL133" t="s">
        <v>2087</v>
      </c>
      <c r="AM133" t="s">
        <v>2088</v>
      </c>
      <c r="AN133" t="s">
        <v>2089</v>
      </c>
      <c r="AO133" t="s">
        <v>2090</v>
      </c>
      <c r="AQ133">
        <f t="shared" si="36"/>
        <v>132</v>
      </c>
      <c r="AR133" s="474" t="s">
        <v>2091</v>
      </c>
      <c r="AS133" s="474" t="s">
        <v>2092</v>
      </c>
      <c r="AT133" s="474" t="s">
        <v>2093</v>
      </c>
      <c r="AU133" s="474" t="s">
        <v>2094</v>
      </c>
      <c r="AW133">
        <f t="shared" si="37"/>
        <v>132</v>
      </c>
      <c r="AX133" t="s">
        <v>2095</v>
      </c>
      <c r="AY133" t="s">
        <v>2096</v>
      </c>
      <c r="AZ133" t="s">
        <v>2097</v>
      </c>
      <c r="BA133" t="s">
        <v>2098</v>
      </c>
      <c r="BC133">
        <f t="shared" si="38"/>
        <v>132</v>
      </c>
      <c r="BD133" s="474" t="s">
        <v>2099</v>
      </c>
      <c r="BE133" s="34" t="s">
        <v>2100</v>
      </c>
      <c r="BF133" s="34" t="s">
        <v>2101</v>
      </c>
      <c r="BG133" s="34" t="s">
        <v>2102</v>
      </c>
      <c r="BI133">
        <f t="shared" si="39"/>
        <v>132</v>
      </c>
      <c r="BJ133" t="s">
        <v>2103</v>
      </c>
      <c r="BK133" s="328" t="s">
        <v>2104</v>
      </c>
      <c r="BL133" s="328" t="s">
        <v>2105</v>
      </c>
      <c r="BM133" s="328" t="s">
        <v>2106</v>
      </c>
      <c r="BO133">
        <f t="shared" si="40"/>
        <v>132</v>
      </c>
      <c r="BP133" s="474" t="s">
        <v>2099</v>
      </c>
      <c r="BQ133" s="34" t="s">
        <v>2107</v>
      </c>
      <c r="BR133" s="34" t="s">
        <v>2101</v>
      </c>
      <c r="BS133" s="34" t="s">
        <v>2102</v>
      </c>
    </row>
    <row r="134" spans="13:71">
      <c r="M134">
        <f t="shared" si="31"/>
        <v>133</v>
      </c>
      <c r="N134" t="s">
        <v>2108</v>
      </c>
      <c r="O134" s="328" t="s">
        <v>2109</v>
      </c>
      <c r="P134" s="328" t="s">
        <v>2110</v>
      </c>
      <c r="Q134" s="328" t="s">
        <v>2111</v>
      </c>
      <c r="S134">
        <f t="shared" si="32"/>
        <v>133</v>
      </c>
      <c r="T134" t="s">
        <v>2112</v>
      </c>
      <c r="U134" t="s">
        <v>2113</v>
      </c>
      <c r="V134" t="s">
        <v>2114</v>
      </c>
      <c r="W134" t="s">
        <v>2115</v>
      </c>
      <c r="Y134">
        <f t="shared" si="33"/>
        <v>133</v>
      </c>
      <c r="Z134" t="s">
        <v>2116</v>
      </c>
      <c r="AA134" t="s">
        <v>2117</v>
      </c>
      <c r="AB134" t="s">
        <v>2118</v>
      </c>
      <c r="AC134" t="s">
        <v>2119</v>
      </c>
      <c r="AE134">
        <f t="shared" si="34"/>
        <v>133</v>
      </c>
      <c r="AK134">
        <f t="shared" si="35"/>
        <v>133</v>
      </c>
      <c r="AL134" t="s">
        <v>2120</v>
      </c>
      <c r="AM134" t="s">
        <v>2121</v>
      </c>
      <c r="AN134" t="s">
        <v>2122</v>
      </c>
      <c r="AO134" t="s">
        <v>2123</v>
      </c>
      <c r="AQ134">
        <f t="shared" si="36"/>
        <v>133</v>
      </c>
      <c r="AR134" s="328"/>
      <c r="AS134" s="328"/>
      <c r="AT134" s="328"/>
      <c r="AU134" s="328"/>
      <c r="AW134">
        <f t="shared" si="37"/>
        <v>133</v>
      </c>
      <c r="AX134" s="474" t="s">
        <v>2124</v>
      </c>
      <c r="AY134" s="474" t="s">
        <v>2125</v>
      </c>
      <c r="AZ134" s="474" t="s">
        <v>2126</v>
      </c>
      <c r="BA134" s="474" t="s">
        <v>2127</v>
      </c>
      <c r="BC134">
        <f t="shared" si="38"/>
        <v>133</v>
      </c>
      <c r="BD134" t="s">
        <v>2128</v>
      </c>
      <c r="BE134" s="328" t="s">
        <v>2129</v>
      </c>
      <c r="BF134" s="328" t="s">
        <v>2130</v>
      </c>
      <c r="BG134" s="328" t="s">
        <v>2131</v>
      </c>
      <c r="BI134">
        <f t="shared" si="39"/>
        <v>133</v>
      </c>
      <c r="BJ134" t="s">
        <v>2132</v>
      </c>
      <c r="BK134" s="328" t="s">
        <v>2133</v>
      </c>
      <c r="BL134" s="328" t="s">
        <v>2134</v>
      </c>
      <c r="BM134" s="328" t="s">
        <v>2135</v>
      </c>
      <c r="BO134">
        <f t="shared" si="40"/>
        <v>133</v>
      </c>
      <c r="BP134" t="s">
        <v>2136</v>
      </c>
      <c r="BQ134" t="s">
        <v>2137</v>
      </c>
      <c r="BR134" t="s">
        <v>2138</v>
      </c>
      <c r="BS134" t="s">
        <v>2139</v>
      </c>
    </row>
    <row r="135" spans="13:71">
      <c r="M135">
        <f t="shared" si="31"/>
        <v>134</v>
      </c>
      <c r="N135" t="s">
        <v>2140</v>
      </c>
      <c r="O135" s="328" t="s">
        <v>2141</v>
      </c>
      <c r="P135" s="328" t="s">
        <v>2142</v>
      </c>
      <c r="Q135" s="328" t="s">
        <v>2143</v>
      </c>
      <c r="S135">
        <f t="shared" si="32"/>
        <v>134</v>
      </c>
      <c r="T135" t="s">
        <v>2144</v>
      </c>
      <c r="U135" t="s">
        <v>2145</v>
      </c>
      <c r="V135" t="s">
        <v>2146</v>
      </c>
      <c r="W135" t="s">
        <v>2147</v>
      </c>
      <c r="Y135">
        <f t="shared" si="33"/>
        <v>134</v>
      </c>
      <c r="Z135" t="s">
        <v>2148</v>
      </c>
      <c r="AA135" t="s">
        <v>2149</v>
      </c>
      <c r="AB135" t="s">
        <v>2150</v>
      </c>
      <c r="AC135" t="s">
        <v>2151</v>
      </c>
      <c r="AE135">
        <f t="shared" si="34"/>
        <v>134</v>
      </c>
      <c r="AK135">
        <f t="shared" si="35"/>
        <v>134</v>
      </c>
      <c r="AL135" t="s">
        <v>2152</v>
      </c>
      <c r="AM135" t="s">
        <v>2153</v>
      </c>
      <c r="AN135" t="s">
        <v>2154</v>
      </c>
      <c r="AO135" t="s">
        <v>2155</v>
      </c>
      <c r="AQ135">
        <f t="shared" si="36"/>
        <v>134</v>
      </c>
      <c r="AR135" t="s">
        <v>2156</v>
      </c>
      <c r="AS135" t="s">
        <v>2157</v>
      </c>
      <c r="AT135" t="s">
        <v>2158</v>
      </c>
      <c r="AU135" t="s">
        <v>2159</v>
      </c>
      <c r="AW135">
        <f t="shared" si="37"/>
        <v>134</v>
      </c>
      <c r="AX135" t="s">
        <v>2160</v>
      </c>
      <c r="AY135" s="328" t="s">
        <v>2161</v>
      </c>
      <c r="AZ135" s="328" t="s">
        <v>2162</v>
      </c>
      <c r="BA135" s="328" t="s">
        <v>2163</v>
      </c>
      <c r="BC135">
        <f t="shared" si="38"/>
        <v>134</v>
      </c>
      <c r="BD135" t="s">
        <v>2164</v>
      </c>
      <c r="BE135" s="328" t="s">
        <v>2165</v>
      </c>
      <c r="BF135" s="328" t="s">
        <v>2166</v>
      </c>
      <c r="BG135" s="328" t="s">
        <v>2167</v>
      </c>
      <c r="BI135">
        <f t="shared" si="39"/>
        <v>134</v>
      </c>
      <c r="BJ135" t="s">
        <v>2168</v>
      </c>
      <c r="BK135" s="328" t="s">
        <v>2169</v>
      </c>
      <c r="BL135" s="328" t="s">
        <v>2170</v>
      </c>
      <c r="BM135" s="328" t="s">
        <v>2171</v>
      </c>
      <c r="BO135">
        <f t="shared" si="40"/>
        <v>134</v>
      </c>
    </row>
    <row r="136" spans="13:71">
      <c r="M136">
        <f t="shared" si="31"/>
        <v>135</v>
      </c>
      <c r="N136" t="s">
        <v>2172</v>
      </c>
      <c r="O136" s="328" t="s">
        <v>2173</v>
      </c>
      <c r="P136" s="328" t="s">
        <v>2174</v>
      </c>
      <c r="Q136" s="328" t="s">
        <v>2175</v>
      </c>
      <c r="S136">
        <f t="shared" si="32"/>
        <v>135</v>
      </c>
      <c r="T136" t="s">
        <v>2176</v>
      </c>
      <c r="U136" t="s">
        <v>2177</v>
      </c>
      <c r="V136" t="s">
        <v>2178</v>
      </c>
      <c r="W136" t="s">
        <v>2179</v>
      </c>
      <c r="Y136">
        <f t="shared" si="33"/>
        <v>135</v>
      </c>
      <c r="Z136" t="s">
        <v>2180</v>
      </c>
      <c r="AA136" s="328" t="s">
        <v>2181</v>
      </c>
      <c r="AB136" s="328" t="s">
        <v>2182</v>
      </c>
      <c r="AC136" s="328" t="s">
        <v>2183</v>
      </c>
      <c r="AE136">
        <f t="shared" si="34"/>
        <v>135</v>
      </c>
      <c r="AK136">
        <f t="shared" si="35"/>
        <v>135</v>
      </c>
      <c r="AL136" s="474" t="s">
        <v>2184</v>
      </c>
      <c r="AM136" s="474" t="s">
        <v>2185</v>
      </c>
      <c r="AN136" s="474" t="s">
        <v>2186</v>
      </c>
      <c r="AO136" s="474" t="s">
        <v>2187</v>
      </c>
      <c r="AQ136">
        <f t="shared" si="36"/>
        <v>135</v>
      </c>
      <c r="AR136" t="s">
        <v>2188</v>
      </c>
      <c r="AS136" t="s">
        <v>2189</v>
      </c>
      <c r="AT136" t="s">
        <v>2190</v>
      </c>
      <c r="AU136" t="s">
        <v>2191</v>
      </c>
      <c r="AW136">
        <f t="shared" si="37"/>
        <v>135</v>
      </c>
      <c r="BC136">
        <f t="shared" si="38"/>
        <v>135</v>
      </c>
      <c r="BD136" s="453" t="s">
        <v>2192</v>
      </c>
      <c r="BE136" s="453" t="s">
        <v>2193</v>
      </c>
      <c r="BF136" s="453" t="s">
        <v>2194</v>
      </c>
      <c r="BG136" s="454" t="s">
        <v>2195</v>
      </c>
      <c r="BI136">
        <f t="shared" si="39"/>
        <v>135</v>
      </c>
      <c r="BJ136" t="s">
        <v>2196</v>
      </c>
      <c r="BK136" s="328" t="s">
        <v>2197</v>
      </c>
      <c r="BL136" s="328" t="s">
        <v>2198</v>
      </c>
      <c r="BM136" s="328" t="s">
        <v>2199</v>
      </c>
      <c r="BO136">
        <f t="shared" si="40"/>
        <v>135</v>
      </c>
    </row>
    <row r="137" spans="13:71">
      <c r="M137">
        <f t="shared" si="31"/>
        <v>136</v>
      </c>
      <c r="N137" t="s">
        <v>2200</v>
      </c>
      <c r="O137" s="328" t="s">
        <v>1800</v>
      </c>
      <c r="P137" s="328" t="s">
        <v>2201</v>
      </c>
      <c r="Q137" s="328" t="s">
        <v>2202</v>
      </c>
      <c r="S137">
        <f t="shared" si="32"/>
        <v>136</v>
      </c>
      <c r="T137" t="s">
        <v>2203</v>
      </c>
      <c r="U137" t="s">
        <v>2204</v>
      </c>
      <c r="V137" t="s">
        <v>2205</v>
      </c>
      <c r="W137" t="s">
        <v>2206</v>
      </c>
      <c r="Y137">
        <f t="shared" si="33"/>
        <v>136</v>
      </c>
      <c r="Z137" t="s">
        <v>2207</v>
      </c>
      <c r="AA137" s="328" t="s">
        <v>2208</v>
      </c>
      <c r="AB137" s="328" t="s">
        <v>2209</v>
      </c>
      <c r="AC137" s="328" t="s">
        <v>2210</v>
      </c>
      <c r="AE137">
        <f t="shared" si="34"/>
        <v>136</v>
      </c>
      <c r="AK137">
        <f t="shared" si="35"/>
        <v>136</v>
      </c>
      <c r="AQ137">
        <f t="shared" si="36"/>
        <v>136</v>
      </c>
      <c r="AW137">
        <f t="shared" si="37"/>
        <v>136</v>
      </c>
      <c r="BC137">
        <f t="shared" si="38"/>
        <v>136</v>
      </c>
      <c r="BD137" t="s">
        <v>2211</v>
      </c>
      <c r="BE137" t="s">
        <v>2212</v>
      </c>
      <c r="BF137" t="s">
        <v>2213</v>
      </c>
      <c r="BG137" t="s">
        <v>2214</v>
      </c>
      <c r="BI137">
        <f t="shared" si="39"/>
        <v>136</v>
      </c>
      <c r="BJ137" t="s">
        <v>2215</v>
      </c>
      <c r="BK137" s="328" t="s">
        <v>2216</v>
      </c>
      <c r="BL137" s="328" t="s">
        <v>2217</v>
      </c>
      <c r="BM137" s="328" t="s">
        <v>2218</v>
      </c>
      <c r="BO137">
        <f t="shared" si="40"/>
        <v>136</v>
      </c>
    </row>
    <row r="138" spans="13:71">
      <c r="M138">
        <f t="shared" si="31"/>
        <v>137</v>
      </c>
      <c r="N138" t="s">
        <v>2219</v>
      </c>
      <c r="O138" s="328" t="s">
        <v>2220</v>
      </c>
      <c r="P138" s="328" t="s">
        <v>2221</v>
      </c>
      <c r="Q138" s="328" t="s">
        <v>2222</v>
      </c>
      <c r="S138">
        <f t="shared" si="32"/>
        <v>137</v>
      </c>
      <c r="T138" t="s">
        <v>2223</v>
      </c>
      <c r="U138" t="s">
        <v>2224</v>
      </c>
      <c r="V138" t="s">
        <v>2225</v>
      </c>
      <c r="W138" t="s">
        <v>2226</v>
      </c>
      <c r="Y138">
        <f t="shared" si="33"/>
        <v>137</v>
      </c>
      <c r="Z138" t="s">
        <v>2227</v>
      </c>
      <c r="AA138" t="s">
        <v>2228</v>
      </c>
      <c r="AB138" t="s">
        <v>2229</v>
      </c>
      <c r="AC138" t="s">
        <v>2230</v>
      </c>
      <c r="AE138">
        <f t="shared" si="34"/>
        <v>137</v>
      </c>
      <c r="AK138">
        <f t="shared" si="35"/>
        <v>137</v>
      </c>
      <c r="AQ138">
        <f t="shared" si="36"/>
        <v>137</v>
      </c>
      <c r="AW138">
        <f t="shared" si="37"/>
        <v>137</v>
      </c>
      <c r="BC138">
        <f t="shared" si="38"/>
        <v>137</v>
      </c>
      <c r="BD138" t="s">
        <v>2231</v>
      </c>
      <c r="BE138" t="s">
        <v>2232</v>
      </c>
      <c r="BF138" t="s">
        <v>2233</v>
      </c>
      <c r="BG138" t="s">
        <v>2234</v>
      </c>
      <c r="BI138">
        <f t="shared" si="39"/>
        <v>137</v>
      </c>
      <c r="BJ138" t="s">
        <v>2235</v>
      </c>
      <c r="BK138" t="s">
        <v>2236</v>
      </c>
      <c r="BL138" s="328" t="s">
        <v>2237</v>
      </c>
      <c r="BM138" t="s">
        <v>2238</v>
      </c>
      <c r="BO138">
        <f t="shared" si="40"/>
        <v>137</v>
      </c>
    </row>
    <row r="139" spans="13:71">
      <c r="M139">
        <f t="shared" si="31"/>
        <v>138</v>
      </c>
      <c r="N139" t="s">
        <v>2239</v>
      </c>
      <c r="O139" s="328" t="s">
        <v>2240</v>
      </c>
      <c r="P139" s="328" t="s">
        <v>2241</v>
      </c>
      <c r="Q139" s="328" t="s">
        <v>2242</v>
      </c>
      <c r="S139">
        <f t="shared" si="32"/>
        <v>138</v>
      </c>
      <c r="Y139">
        <f t="shared" si="33"/>
        <v>138</v>
      </c>
      <c r="Z139" t="s">
        <v>2243</v>
      </c>
      <c r="AA139" t="s">
        <v>2244</v>
      </c>
      <c r="AB139" t="s">
        <v>2245</v>
      </c>
      <c r="AC139" t="s">
        <v>2246</v>
      </c>
      <c r="AE139">
        <f t="shared" si="34"/>
        <v>138</v>
      </c>
      <c r="AK139">
        <f t="shared" si="35"/>
        <v>138</v>
      </c>
      <c r="AQ139">
        <f t="shared" si="36"/>
        <v>138</v>
      </c>
      <c r="AR139" s="474" t="s">
        <v>2247</v>
      </c>
      <c r="AS139" s="474" t="s">
        <v>2248</v>
      </c>
      <c r="AT139" s="474" t="s">
        <v>2249</v>
      </c>
      <c r="AU139" s="474" t="s">
        <v>2250</v>
      </c>
      <c r="AW139">
        <f t="shared" si="37"/>
        <v>138</v>
      </c>
      <c r="BC139">
        <f t="shared" si="38"/>
        <v>138</v>
      </c>
      <c r="BD139" t="s">
        <v>2251</v>
      </c>
      <c r="BE139" t="s">
        <v>2252</v>
      </c>
      <c r="BF139" t="s">
        <v>2253</v>
      </c>
      <c r="BG139" t="s">
        <v>2254</v>
      </c>
      <c r="BI139">
        <f t="shared" si="39"/>
        <v>138</v>
      </c>
      <c r="BJ139" s="474" t="s">
        <v>2255</v>
      </c>
      <c r="BK139" s="474" t="s">
        <v>2256</v>
      </c>
      <c r="BL139" s="474" t="s">
        <v>2257</v>
      </c>
      <c r="BM139" s="474" t="s">
        <v>2258</v>
      </c>
      <c r="BO139">
        <f t="shared" si="40"/>
        <v>138</v>
      </c>
    </row>
    <row r="140" spans="13:71">
      <c r="M140">
        <f t="shared" si="31"/>
        <v>139</v>
      </c>
      <c r="N140" t="s">
        <v>2259</v>
      </c>
      <c r="O140" s="328" t="s">
        <v>2260</v>
      </c>
      <c r="P140" s="328" t="s">
        <v>2261</v>
      </c>
      <c r="Q140" s="328" t="s">
        <v>2262</v>
      </c>
      <c r="S140">
        <f t="shared" si="32"/>
        <v>139</v>
      </c>
      <c r="Y140">
        <f t="shared" si="33"/>
        <v>139</v>
      </c>
      <c r="Z140" t="s">
        <v>2263</v>
      </c>
      <c r="AA140" s="328" t="s">
        <v>2264</v>
      </c>
      <c r="AB140" s="328" t="s">
        <v>2265</v>
      </c>
      <c r="AC140" s="328" t="s">
        <v>2266</v>
      </c>
      <c r="AE140">
        <f t="shared" si="34"/>
        <v>139</v>
      </c>
      <c r="AK140">
        <f t="shared" si="35"/>
        <v>139</v>
      </c>
      <c r="AQ140">
        <f t="shared" si="36"/>
        <v>139</v>
      </c>
      <c r="AW140">
        <f t="shared" si="37"/>
        <v>139</v>
      </c>
      <c r="BC140">
        <f t="shared" si="38"/>
        <v>139</v>
      </c>
      <c r="BI140">
        <f t="shared" si="39"/>
        <v>139</v>
      </c>
      <c r="BL140" s="328"/>
      <c r="BO140">
        <f t="shared" si="40"/>
        <v>139</v>
      </c>
    </row>
    <row r="141" spans="13:71">
      <c r="M141">
        <f t="shared" si="31"/>
        <v>140</v>
      </c>
      <c r="N141" t="s">
        <v>2267</v>
      </c>
      <c r="O141" s="328" t="s">
        <v>2268</v>
      </c>
      <c r="P141" s="328" t="s">
        <v>2269</v>
      </c>
      <c r="Q141" s="328" t="s">
        <v>2270</v>
      </c>
      <c r="S141">
        <f t="shared" si="32"/>
        <v>140</v>
      </c>
      <c r="Y141">
        <f t="shared" si="33"/>
        <v>140</v>
      </c>
      <c r="AE141">
        <f t="shared" si="34"/>
        <v>140</v>
      </c>
      <c r="AK141">
        <f t="shared" si="35"/>
        <v>140</v>
      </c>
      <c r="AQ141">
        <f t="shared" si="36"/>
        <v>140</v>
      </c>
      <c r="AW141">
        <f t="shared" si="37"/>
        <v>140</v>
      </c>
      <c r="BC141">
        <f t="shared" si="38"/>
        <v>140</v>
      </c>
      <c r="BI141">
        <f t="shared" si="39"/>
        <v>140</v>
      </c>
      <c r="BL141" s="328"/>
      <c r="BO141">
        <f t="shared" si="40"/>
        <v>140</v>
      </c>
    </row>
    <row r="142" spans="13:71">
      <c r="M142">
        <f t="shared" si="31"/>
        <v>141</v>
      </c>
      <c r="N142" t="s">
        <v>2271</v>
      </c>
      <c r="O142" s="328" t="s">
        <v>2272</v>
      </c>
      <c r="P142" s="328" t="s">
        <v>2273</v>
      </c>
      <c r="Q142" s="328" t="s">
        <v>2274</v>
      </c>
      <c r="S142">
        <f t="shared" si="32"/>
        <v>141</v>
      </c>
      <c r="T142" t="s">
        <v>2275</v>
      </c>
      <c r="U142" t="s">
        <v>2276</v>
      </c>
      <c r="V142" t="s">
        <v>2277</v>
      </c>
      <c r="W142" t="s">
        <v>2278</v>
      </c>
      <c r="Y142">
        <f t="shared" si="33"/>
        <v>141</v>
      </c>
      <c r="AE142">
        <f t="shared" si="34"/>
        <v>141</v>
      </c>
      <c r="AF142" t="s">
        <v>2279</v>
      </c>
      <c r="AG142" t="s">
        <v>2280</v>
      </c>
      <c r="AH142" t="s">
        <v>2281</v>
      </c>
      <c r="AI142" t="s">
        <v>2282</v>
      </c>
      <c r="AK142">
        <f t="shared" si="35"/>
        <v>141</v>
      </c>
      <c r="AL142" t="s">
        <v>2283</v>
      </c>
      <c r="AM142" t="s">
        <v>2284</v>
      </c>
      <c r="AN142" t="s">
        <v>2285</v>
      </c>
      <c r="AO142" t="s">
        <v>2286</v>
      </c>
      <c r="AQ142">
        <f t="shared" si="36"/>
        <v>141</v>
      </c>
      <c r="AR142" t="s">
        <v>2287</v>
      </c>
      <c r="AS142" t="s">
        <v>2288</v>
      </c>
      <c r="AT142" t="s">
        <v>2289</v>
      </c>
      <c r="AU142" t="s">
        <v>2290</v>
      </c>
      <c r="AW142">
        <f t="shared" si="37"/>
        <v>141</v>
      </c>
      <c r="AX142" t="s">
        <v>2291</v>
      </c>
      <c r="AY142" t="s">
        <v>2292</v>
      </c>
      <c r="AZ142" t="s">
        <v>2293</v>
      </c>
      <c r="BA142" t="s">
        <v>2294</v>
      </c>
      <c r="BC142">
        <f t="shared" si="38"/>
        <v>141</v>
      </c>
      <c r="BI142">
        <f t="shared" si="39"/>
        <v>141</v>
      </c>
      <c r="BJ142" s="474" t="s">
        <v>2067</v>
      </c>
      <c r="BK142" s="34" t="s">
        <v>2295</v>
      </c>
      <c r="BL142" s="34" t="s">
        <v>2296</v>
      </c>
      <c r="BM142" s="34" t="s">
        <v>2070</v>
      </c>
      <c r="BO142">
        <f t="shared" si="40"/>
        <v>141</v>
      </c>
      <c r="BP142" t="s">
        <v>2071</v>
      </c>
      <c r="BQ142" s="328" t="s">
        <v>2072</v>
      </c>
      <c r="BR142" s="328" t="s">
        <v>2073</v>
      </c>
      <c r="BS142" s="328" t="s">
        <v>2074</v>
      </c>
    </row>
    <row r="143" spans="13:71">
      <c r="M143">
        <f t="shared" si="31"/>
        <v>142</v>
      </c>
      <c r="N143" t="s">
        <v>2297</v>
      </c>
      <c r="O143" s="328" t="s">
        <v>2298</v>
      </c>
      <c r="P143" s="328" t="s">
        <v>2299</v>
      </c>
      <c r="Q143" s="328" t="s">
        <v>2300</v>
      </c>
      <c r="S143">
        <f t="shared" si="32"/>
        <v>142</v>
      </c>
      <c r="T143" t="s">
        <v>2301</v>
      </c>
      <c r="U143" t="s">
        <v>2302</v>
      </c>
      <c r="V143" t="s">
        <v>2303</v>
      </c>
      <c r="W143" t="s">
        <v>2304</v>
      </c>
      <c r="Y143">
        <f t="shared" si="33"/>
        <v>142</v>
      </c>
      <c r="AE143">
        <f t="shared" si="34"/>
        <v>142</v>
      </c>
      <c r="AF143" t="s">
        <v>2305</v>
      </c>
      <c r="AG143" t="s">
        <v>2306</v>
      </c>
      <c r="AH143" t="s">
        <v>2307</v>
      </c>
      <c r="AI143" t="s">
        <v>2308</v>
      </c>
      <c r="AK143">
        <f t="shared" si="35"/>
        <v>142</v>
      </c>
      <c r="AL143" s="474" t="s">
        <v>2309</v>
      </c>
      <c r="AM143" s="474" t="s">
        <v>2310</v>
      </c>
      <c r="AN143" s="474" t="s">
        <v>2311</v>
      </c>
      <c r="AO143" s="474" t="s">
        <v>2312</v>
      </c>
      <c r="AQ143">
        <f t="shared" si="36"/>
        <v>142</v>
      </c>
      <c r="AR143" t="s">
        <v>2313</v>
      </c>
      <c r="AS143" t="s">
        <v>2314</v>
      </c>
      <c r="AT143" t="s">
        <v>2315</v>
      </c>
      <c r="AU143" t="s">
        <v>2316</v>
      </c>
      <c r="AW143">
        <f t="shared" si="37"/>
        <v>142</v>
      </c>
      <c r="AX143" s="474" t="s">
        <v>2099</v>
      </c>
      <c r="AY143" s="474" t="s">
        <v>2100</v>
      </c>
      <c r="AZ143" s="474" t="s">
        <v>2101</v>
      </c>
      <c r="BA143" s="474" t="s">
        <v>2102</v>
      </c>
      <c r="BC143">
        <f t="shared" si="38"/>
        <v>142</v>
      </c>
      <c r="BI143">
        <f t="shared" si="39"/>
        <v>142</v>
      </c>
      <c r="BJ143" t="s">
        <v>2103</v>
      </c>
      <c r="BK143" s="328" t="s">
        <v>2104</v>
      </c>
      <c r="BL143" s="328" t="s">
        <v>2105</v>
      </c>
      <c r="BM143" s="328" t="s">
        <v>2106</v>
      </c>
      <c r="BO143">
        <f t="shared" si="40"/>
        <v>142</v>
      </c>
      <c r="BP143" s="474" t="s">
        <v>2099</v>
      </c>
      <c r="BQ143" s="34" t="s">
        <v>2107</v>
      </c>
      <c r="BR143" s="34" t="s">
        <v>2101</v>
      </c>
      <c r="BS143" s="34" t="s">
        <v>2102</v>
      </c>
    </row>
    <row r="144" spans="13:71">
      <c r="M144">
        <f t="shared" si="31"/>
        <v>143</v>
      </c>
      <c r="N144" t="s">
        <v>2317</v>
      </c>
      <c r="O144" s="328" t="s">
        <v>2318</v>
      </c>
      <c r="P144" s="328" t="s">
        <v>2319</v>
      </c>
      <c r="Q144" s="328" t="s">
        <v>2320</v>
      </c>
      <c r="S144">
        <f t="shared" si="32"/>
        <v>143</v>
      </c>
      <c r="T144" t="s">
        <v>2321</v>
      </c>
      <c r="U144" t="s">
        <v>2322</v>
      </c>
      <c r="V144" t="s">
        <v>2323</v>
      </c>
      <c r="W144" t="s">
        <v>2324</v>
      </c>
      <c r="Y144">
        <f t="shared" si="33"/>
        <v>143</v>
      </c>
      <c r="AE144">
        <f t="shared" si="34"/>
        <v>143</v>
      </c>
      <c r="AF144" t="s">
        <v>2325</v>
      </c>
      <c r="AG144" t="s">
        <v>2326</v>
      </c>
      <c r="AH144" t="s">
        <v>2327</v>
      </c>
      <c r="AI144" t="s">
        <v>2328</v>
      </c>
      <c r="AK144">
        <f t="shared" si="35"/>
        <v>143</v>
      </c>
      <c r="AL144" s="474" t="s">
        <v>2329</v>
      </c>
      <c r="AM144" s="474" t="s">
        <v>2330</v>
      </c>
      <c r="AN144" s="474" t="s">
        <v>2331</v>
      </c>
      <c r="AO144" s="474" t="s">
        <v>2332</v>
      </c>
      <c r="AQ144">
        <f t="shared" si="36"/>
        <v>143</v>
      </c>
      <c r="AR144" s="474" t="s">
        <v>2091</v>
      </c>
      <c r="AS144" s="474" t="s">
        <v>2092</v>
      </c>
      <c r="AT144" s="474" t="s">
        <v>2333</v>
      </c>
      <c r="AU144" s="474" t="s">
        <v>2094</v>
      </c>
      <c r="AW144">
        <f t="shared" si="37"/>
        <v>143</v>
      </c>
      <c r="BC144">
        <f t="shared" si="38"/>
        <v>143</v>
      </c>
      <c r="BI144">
        <f t="shared" si="39"/>
        <v>143</v>
      </c>
      <c r="BO144">
        <f t="shared" si="40"/>
        <v>143</v>
      </c>
      <c r="BP144" t="s">
        <v>2128</v>
      </c>
      <c r="BQ144" s="328" t="s">
        <v>2129</v>
      </c>
      <c r="BR144" s="328" t="s">
        <v>2130</v>
      </c>
      <c r="BS144" s="328" t="s">
        <v>2131</v>
      </c>
    </row>
    <row r="145" spans="13:67">
      <c r="M145">
        <f t="shared" si="31"/>
        <v>144</v>
      </c>
      <c r="N145" t="s">
        <v>2334</v>
      </c>
      <c r="O145" s="328" t="s">
        <v>2335</v>
      </c>
      <c r="P145" s="328" t="s">
        <v>2336</v>
      </c>
      <c r="Q145" s="328" t="s">
        <v>2337</v>
      </c>
      <c r="S145">
        <f t="shared" si="32"/>
        <v>144</v>
      </c>
      <c r="Y145">
        <f t="shared" si="33"/>
        <v>144</v>
      </c>
      <c r="AE145">
        <f t="shared" si="34"/>
        <v>144</v>
      </c>
      <c r="AF145" t="s">
        <v>2338</v>
      </c>
      <c r="AG145" t="s">
        <v>2339</v>
      </c>
      <c r="AH145" t="s">
        <v>2340</v>
      </c>
      <c r="AI145" t="s">
        <v>2341</v>
      </c>
      <c r="AK145">
        <f t="shared" si="35"/>
        <v>144</v>
      </c>
      <c r="AL145" s="474" t="s">
        <v>2342</v>
      </c>
      <c r="AM145" s="474" t="s">
        <v>2343</v>
      </c>
      <c r="AN145" s="474" t="s">
        <v>2344</v>
      </c>
      <c r="AO145" s="474" t="s">
        <v>2345</v>
      </c>
      <c r="AQ145">
        <f t="shared" si="36"/>
        <v>144</v>
      </c>
      <c r="AW145">
        <f t="shared" si="37"/>
        <v>144</v>
      </c>
      <c r="BC145">
        <f t="shared" si="38"/>
        <v>144</v>
      </c>
      <c r="BI145">
        <f t="shared" si="39"/>
        <v>144</v>
      </c>
      <c r="BO145">
        <f t="shared" si="40"/>
        <v>144</v>
      </c>
    </row>
    <row r="146" spans="13:67">
      <c r="M146">
        <f t="shared" si="31"/>
        <v>145</v>
      </c>
      <c r="N146" t="s">
        <v>2219</v>
      </c>
      <c r="O146" s="328" t="s">
        <v>2220</v>
      </c>
      <c r="P146" s="328" t="s">
        <v>2221</v>
      </c>
      <c r="Q146" s="328" t="s">
        <v>2222</v>
      </c>
      <c r="S146">
        <f t="shared" si="32"/>
        <v>145</v>
      </c>
      <c r="Y146">
        <f t="shared" si="33"/>
        <v>145</v>
      </c>
      <c r="AE146">
        <f t="shared" si="34"/>
        <v>145</v>
      </c>
      <c r="AF146" t="s">
        <v>2346</v>
      </c>
      <c r="AG146" t="s">
        <v>2346</v>
      </c>
      <c r="AH146" t="s">
        <v>2347</v>
      </c>
      <c r="AI146" t="s">
        <v>2346</v>
      </c>
      <c r="AK146">
        <f t="shared" si="35"/>
        <v>145</v>
      </c>
      <c r="AQ146">
        <f t="shared" si="36"/>
        <v>145</v>
      </c>
      <c r="AW146">
        <f t="shared" si="37"/>
        <v>145</v>
      </c>
      <c r="BC146">
        <f t="shared" si="38"/>
        <v>145</v>
      </c>
      <c r="BI146">
        <f t="shared" si="39"/>
        <v>145</v>
      </c>
      <c r="BO146">
        <f t="shared" si="40"/>
        <v>145</v>
      </c>
    </row>
    <row r="147" spans="13:67">
      <c r="M147">
        <f t="shared" si="31"/>
        <v>146</v>
      </c>
      <c r="O147" s="328"/>
      <c r="P147" s="328"/>
      <c r="Q147" s="328"/>
      <c r="S147">
        <f t="shared" si="32"/>
        <v>146</v>
      </c>
      <c r="Y147">
        <f t="shared" si="33"/>
        <v>146</v>
      </c>
      <c r="AE147">
        <f t="shared" si="34"/>
        <v>146</v>
      </c>
      <c r="AF147" t="s">
        <v>2348</v>
      </c>
      <c r="AG147" t="s">
        <v>2348</v>
      </c>
      <c r="AH147" t="s">
        <v>2349</v>
      </c>
      <c r="AI147" t="s">
        <v>2348</v>
      </c>
      <c r="AK147">
        <f t="shared" si="35"/>
        <v>146</v>
      </c>
      <c r="AQ147">
        <f t="shared" si="36"/>
        <v>146</v>
      </c>
      <c r="AW147">
        <f t="shared" si="37"/>
        <v>146</v>
      </c>
      <c r="BC147">
        <f t="shared" si="38"/>
        <v>146</v>
      </c>
      <c r="BI147">
        <f t="shared" si="39"/>
        <v>146</v>
      </c>
      <c r="BO147">
        <f t="shared" si="40"/>
        <v>146</v>
      </c>
    </row>
    <row r="148" spans="13:67">
      <c r="M148">
        <f t="shared" si="31"/>
        <v>147</v>
      </c>
      <c r="O148" s="328"/>
      <c r="P148" s="328"/>
      <c r="Q148" s="328"/>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c r="M149">
        <f t="shared" si="31"/>
        <v>148</v>
      </c>
      <c r="O149" s="328"/>
      <c r="P149" s="328"/>
      <c r="Q149" s="328"/>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c r="M150">
        <f t="shared" si="31"/>
        <v>149</v>
      </c>
      <c r="O150" s="328"/>
      <c r="P150" s="328"/>
      <c r="Q150" s="328"/>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c r="M151">
        <f t="shared" si="31"/>
        <v>150</v>
      </c>
      <c r="O151" s="328"/>
      <c r="P151" s="328"/>
      <c r="Q151" s="328"/>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c r="M152">
        <f t="shared" ref="M152:M183" si="41">ROW()-1</f>
        <v>151</v>
      </c>
      <c r="N152" t="s">
        <v>341</v>
      </c>
      <c r="O152" s="328" t="s">
        <v>342</v>
      </c>
      <c r="P152" s="328" t="s">
        <v>343</v>
      </c>
      <c r="Q152" s="328" t="s">
        <v>2350</v>
      </c>
      <c r="S152">
        <f>ROW()-1</f>
        <v>151</v>
      </c>
      <c r="T152" t="s">
        <v>2351</v>
      </c>
      <c r="U152" t="s">
        <v>2352</v>
      </c>
      <c r="V152" t="s">
        <v>2353</v>
      </c>
      <c r="W152" t="s">
        <v>2354</v>
      </c>
      <c r="AE152">
        <f t="shared" ref="AE152:AE183" si="42">ROW()-1</f>
        <v>151</v>
      </c>
      <c r="AF152" t="s">
        <v>2355</v>
      </c>
      <c r="AG152" t="s">
        <v>2356</v>
      </c>
      <c r="AH152" t="s">
        <v>2357</v>
      </c>
      <c r="AI152" t="s">
        <v>2358</v>
      </c>
      <c r="AW152">
        <f t="shared" ref="AW152:AW156" si="43">ROW()-1</f>
        <v>151</v>
      </c>
      <c r="AX152" t="s">
        <v>2359</v>
      </c>
      <c r="AY152" t="s">
        <v>2360</v>
      </c>
      <c r="AZ152" t="s">
        <v>2361</v>
      </c>
      <c r="BA152" t="s">
        <v>2362</v>
      </c>
    </row>
    <row r="153" spans="13:67">
      <c r="M153">
        <f t="shared" si="41"/>
        <v>152</v>
      </c>
      <c r="N153" t="s">
        <v>2363</v>
      </c>
      <c r="O153" s="328" t="s">
        <v>2364</v>
      </c>
      <c r="P153" s="328" t="s">
        <v>2365</v>
      </c>
      <c r="Q153" s="328" t="s">
        <v>2364</v>
      </c>
      <c r="S153">
        <f t="shared" ref="S153:S160" si="44">ROW()-1</f>
        <v>152</v>
      </c>
      <c r="T153" t="s">
        <v>2366</v>
      </c>
      <c r="U153" t="s">
        <v>2367</v>
      </c>
      <c r="V153" t="s">
        <v>2368</v>
      </c>
      <c r="W153" t="s">
        <v>2369</v>
      </c>
      <c r="AE153">
        <f t="shared" si="42"/>
        <v>152</v>
      </c>
      <c r="AF153" s="328" t="s">
        <v>2370</v>
      </c>
      <c r="AG153" s="328" t="s">
        <v>2371</v>
      </c>
      <c r="AH153" s="328" t="s">
        <v>2372</v>
      </c>
      <c r="AI153" s="328" t="s">
        <v>2373</v>
      </c>
      <c r="AW153">
        <f t="shared" si="43"/>
        <v>152</v>
      </c>
      <c r="AX153" t="s">
        <v>2374</v>
      </c>
      <c r="AY153" t="s">
        <v>2375</v>
      </c>
      <c r="AZ153" t="s">
        <v>2376</v>
      </c>
      <c r="BA153" t="s">
        <v>2377</v>
      </c>
    </row>
    <row r="154" spans="13:67">
      <c r="M154">
        <f t="shared" si="41"/>
        <v>153</v>
      </c>
      <c r="N154" t="s">
        <v>2378</v>
      </c>
      <c r="O154" s="328" t="s">
        <v>2379</v>
      </c>
      <c r="P154" s="328" t="s">
        <v>2380</v>
      </c>
      <c r="Q154" s="328" t="s">
        <v>2381</v>
      </c>
      <c r="S154">
        <f t="shared" si="44"/>
        <v>153</v>
      </c>
      <c r="T154" t="s">
        <v>2382</v>
      </c>
      <c r="U154" t="s">
        <v>2383</v>
      </c>
      <c r="V154" t="s">
        <v>2384</v>
      </c>
      <c r="W154" t="s">
        <v>2385</v>
      </c>
      <c r="AE154">
        <f t="shared" si="42"/>
        <v>153</v>
      </c>
      <c r="AF154" s="328" t="s">
        <v>2386</v>
      </c>
      <c r="AG154" s="328" t="s">
        <v>2387</v>
      </c>
      <c r="AH154" s="328" t="s">
        <v>2388</v>
      </c>
      <c r="AI154" s="328" t="s">
        <v>2389</v>
      </c>
      <c r="AW154">
        <f t="shared" si="43"/>
        <v>153</v>
      </c>
      <c r="AX154" t="s">
        <v>2390</v>
      </c>
      <c r="AY154" t="s">
        <v>2391</v>
      </c>
      <c r="AZ154" t="s">
        <v>2392</v>
      </c>
      <c r="BA154" t="s">
        <v>2393</v>
      </c>
    </row>
    <row r="155" spans="13:67">
      <c r="M155">
        <f t="shared" si="41"/>
        <v>154</v>
      </c>
      <c r="N155" t="s">
        <v>1571</v>
      </c>
      <c r="O155" s="328" t="s">
        <v>1572</v>
      </c>
      <c r="P155" s="328" t="s">
        <v>1573</v>
      </c>
      <c r="Q155" s="328" t="s">
        <v>1574</v>
      </c>
      <c r="S155">
        <f t="shared" si="44"/>
        <v>154</v>
      </c>
      <c r="T155" t="s">
        <v>2394</v>
      </c>
      <c r="U155" t="s">
        <v>2395</v>
      </c>
      <c r="V155" t="s">
        <v>2396</v>
      </c>
      <c r="W155" t="s">
        <v>2397</v>
      </c>
      <c r="AE155">
        <f t="shared" si="42"/>
        <v>154</v>
      </c>
      <c r="AW155">
        <f t="shared" si="43"/>
        <v>154</v>
      </c>
      <c r="AX155" s="474" t="s">
        <v>2398</v>
      </c>
      <c r="AY155" s="474" t="s">
        <v>2399</v>
      </c>
      <c r="AZ155" s="474" t="s">
        <v>2400</v>
      </c>
      <c r="BA155" s="474" t="s">
        <v>2401</v>
      </c>
    </row>
    <row r="156" spans="13:67">
      <c r="M156">
        <f t="shared" si="41"/>
        <v>155</v>
      </c>
      <c r="N156" t="s">
        <v>2402</v>
      </c>
      <c r="O156" s="328" t="s">
        <v>2403</v>
      </c>
      <c r="P156" s="328" t="s">
        <v>2404</v>
      </c>
      <c r="Q156" s="328" t="s">
        <v>2405</v>
      </c>
      <c r="S156">
        <f t="shared" si="44"/>
        <v>155</v>
      </c>
      <c r="T156" t="s">
        <v>2406</v>
      </c>
      <c r="U156" t="s">
        <v>2407</v>
      </c>
      <c r="V156" t="s">
        <v>2408</v>
      </c>
      <c r="W156" t="s">
        <v>2409</v>
      </c>
      <c r="AE156">
        <f t="shared" si="42"/>
        <v>155</v>
      </c>
      <c r="AW156">
        <f t="shared" si="43"/>
        <v>155</v>
      </c>
      <c r="AX156" s="474" t="s">
        <v>2410</v>
      </c>
      <c r="AY156" s="474" t="s">
        <v>2411</v>
      </c>
      <c r="AZ156" s="474" t="s">
        <v>2412</v>
      </c>
      <c r="BA156" s="474" t="s">
        <v>2413</v>
      </c>
    </row>
    <row r="157" spans="13:67">
      <c r="M157">
        <f t="shared" si="41"/>
        <v>156</v>
      </c>
      <c r="N157" t="s">
        <v>2414</v>
      </c>
      <c r="O157" s="328" t="s">
        <v>2415</v>
      </c>
      <c r="P157" s="328" t="s">
        <v>2416</v>
      </c>
      <c r="Q157" s="328" t="s">
        <v>2417</v>
      </c>
      <c r="S157">
        <f t="shared" si="44"/>
        <v>156</v>
      </c>
      <c r="T157" t="s">
        <v>2418</v>
      </c>
      <c r="U157" t="s">
        <v>2419</v>
      </c>
      <c r="V157" t="s">
        <v>2420</v>
      </c>
      <c r="W157" t="s">
        <v>2421</v>
      </c>
      <c r="AE157">
        <f t="shared" si="42"/>
        <v>156</v>
      </c>
    </row>
    <row r="158" spans="13:67">
      <c r="M158">
        <f t="shared" si="41"/>
        <v>157</v>
      </c>
      <c r="N158" t="s">
        <v>2422</v>
      </c>
      <c r="O158" s="328" t="s">
        <v>2423</v>
      </c>
      <c r="P158" s="328" t="s">
        <v>2424</v>
      </c>
      <c r="Q158" s="328" t="s">
        <v>2425</v>
      </c>
      <c r="S158">
        <f t="shared" si="44"/>
        <v>157</v>
      </c>
      <c r="T158" t="s">
        <v>2426</v>
      </c>
      <c r="U158" t="s">
        <v>2427</v>
      </c>
      <c r="V158" t="s">
        <v>2428</v>
      </c>
      <c r="W158" t="s">
        <v>2429</v>
      </c>
      <c r="AE158">
        <f t="shared" si="42"/>
        <v>157</v>
      </c>
    </row>
    <row r="159" spans="13:67">
      <c r="M159">
        <f t="shared" si="41"/>
        <v>158</v>
      </c>
      <c r="N159" t="s">
        <v>2430</v>
      </c>
      <c r="O159" s="328" t="s">
        <v>2431</v>
      </c>
      <c r="P159" s="328" t="s">
        <v>2432</v>
      </c>
      <c r="Q159" s="328" t="s">
        <v>2433</v>
      </c>
      <c r="S159">
        <f t="shared" si="44"/>
        <v>158</v>
      </c>
      <c r="T159" t="s">
        <v>2434</v>
      </c>
      <c r="U159" t="s">
        <v>2435</v>
      </c>
      <c r="V159" t="s">
        <v>2436</v>
      </c>
      <c r="W159" t="s">
        <v>2437</v>
      </c>
      <c r="AE159">
        <f t="shared" si="42"/>
        <v>158</v>
      </c>
    </row>
    <row r="160" spans="13:67">
      <c r="M160">
        <f t="shared" si="41"/>
        <v>159</v>
      </c>
      <c r="N160" t="s">
        <v>2438</v>
      </c>
      <c r="O160" s="328" t="s">
        <v>2439</v>
      </c>
      <c r="P160" s="328" t="s">
        <v>2440</v>
      </c>
      <c r="Q160" s="328" t="s">
        <v>2441</v>
      </c>
      <c r="S160">
        <f t="shared" si="44"/>
        <v>159</v>
      </c>
      <c r="T160" t="s">
        <v>2442</v>
      </c>
      <c r="U160" t="s">
        <v>2443</v>
      </c>
      <c r="V160" t="s">
        <v>2444</v>
      </c>
      <c r="W160" t="s">
        <v>2445</v>
      </c>
      <c r="AE160">
        <f t="shared" si="42"/>
        <v>159</v>
      </c>
    </row>
    <row r="161" spans="13:35">
      <c r="M161">
        <f t="shared" si="41"/>
        <v>160</v>
      </c>
      <c r="N161" t="s">
        <v>911</v>
      </c>
      <c r="O161" s="328" t="s">
        <v>912</v>
      </c>
      <c r="P161" s="328" t="s">
        <v>913</v>
      </c>
      <c r="Q161" s="328" t="s">
        <v>914</v>
      </c>
      <c r="AE161">
        <f t="shared" si="42"/>
        <v>160</v>
      </c>
    </row>
    <row r="162" spans="13:35">
      <c r="M162">
        <f t="shared" si="41"/>
        <v>161</v>
      </c>
      <c r="N162" t="s">
        <v>2446</v>
      </c>
      <c r="O162" s="328" t="s">
        <v>932</v>
      </c>
      <c r="P162" s="328" t="s">
        <v>933</v>
      </c>
      <c r="Q162" s="328" t="s">
        <v>2447</v>
      </c>
      <c r="AE162">
        <f t="shared" si="42"/>
        <v>161</v>
      </c>
      <c r="AF162" t="s">
        <v>2448</v>
      </c>
      <c r="AG162" t="s">
        <v>2449</v>
      </c>
      <c r="AH162" t="s">
        <v>2450</v>
      </c>
      <c r="AI162" t="s">
        <v>2451</v>
      </c>
    </row>
    <row r="163" spans="13:35">
      <c r="M163">
        <f t="shared" si="41"/>
        <v>162</v>
      </c>
      <c r="N163" t="s">
        <v>2452</v>
      </c>
      <c r="O163" s="328" t="s">
        <v>1043</v>
      </c>
      <c r="P163" s="328" t="s">
        <v>2453</v>
      </c>
      <c r="Q163" s="328" t="s">
        <v>1045</v>
      </c>
      <c r="AE163">
        <f t="shared" si="42"/>
        <v>162</v>
      </c>
      <c r="AF163" t="s">
        <v>2454</v>
      </c>
      <c r="AG163" t="s">
        <v>2455</v>
      </c>
      <c r="AH163" t="s">
        <v>2456</v>
      </c>
      <c r="AI163" t="s">
        <v>2457</v>
      </c>
    </row>
    <row r="164" spans="13:35">
      <c r="M164">
        <f t="shared" si="41"/>
        <v>163</v>
      </c>
      <c r="N164" t="s">
        <v>2458</v>
      </c>
      <c r="O164" s="328" t="s">
        <v>2459</v>
      </c>
      <c r="P164" s="328" t="s">
        <v>2460</v>
      </c>
      <c r="Q164" s="328" t="s">
        <v>2461</v>
      </c>
      <c r="AE164">
        <f t="shared" si="42"/>
        <v>163</v>
      </c>
      <c r="AF164" t="s">
        <v>2462</v>
      </c>
      <c r="AG164" t="s">
        <v>2463</v>
      </c>
      <c r="AH164" t="s">
        <v>2464</v>
      </c>
      <c r="AI164" t="s">
        <v>2465</v>
      </c>
    </row>
    <row r="165" spans="13:35">
      <c r="M165">
        <f t="shared" si="41"/>
        <v>164</v>
      </c>
      <c r="N165" t="s">
        <v>2466</v>
      </c>
      <c r="O165" s="328" t="s">
        <v>2467</v>
      </c>
      <c r="P165" s="328" t="s">
        <v>2468</v>
      </c>
      <c r="Q165" s="328" t="s">
        <v>2469</v>
      </c>
      <c r="AE165">
        <f t="shared" si="42"/>
        <v>164</v>
      </c>
    </row>
    <row r="166" spans="13:35">
      <c r="M166">
        <f t="shared" si="41"/>
        <v>165</v>
      </c>
      <c r="N166" t="s">
        <v>2452</v>
      </c>
      <c r="O166" s="328" t="s">
        <v>1043</v>
      </c>
      <c r="P166" s="328" t="s">
        <v>2453</v>
      </c>
      <c r="Q166" s="328" t="s">
        <v>1045</v>
      </c>
      <c r="AE166">
        <f t="shared" si="42"/>
        <v>165</v>
      </c>
    </row>
    <row r="167" spans="13:35">
      <c r="M167">
        <f t="shared" si="41"/>
        <v>166</v>
      </c>
      <c r="N167" t="s">
        <v>2470</v>
      </c>
      <c r="O167" s="328" t="s">
        <v>2470</v>
      </c>
      <c r="P167" s="328" t="s">
        <v>2470</v>
      </c>
      <c r="Q167" s="328" t="s">
        <v>2470</v>
      </c>
      <c r="AE167">
        <f t="shared" si="42"/>
        <v>166</v>
      </c>
    </row>
    <row r="168" spans="13:35">
      <c r="M168">
        <f t="shared" si="41"/>
        <v>167</v>
      </c>
      <c r="N168" t="s">
        <v>2471</v>
      </c>
      <c r="O168" s="328" t="s">
        <v>2472</v>
      </c>
      <c r="P168" s="328" t="s">
        <v>2473</v>
      </c>
      <c r="Q168" s="328" t="s">
        <v>1307</v>
      </c>
      <c r="AE168">
        <f t="shared" si="42"/>
        <v>167</v>
      </c>
    </row>
    <row r="169" spans="13:35">
      <c r="M169">
        <f t="shared" si="41"/>
        <v>168</v>
      </c>
      <c r="N169" t="s">
        <v>2474</v>
      </c>
      <c r="O169" s="328" t="s">
        <v>2475</v>
      </c>
      <c r="P169" s="328" t="s">
        <v>2476</v>
      </c>
      <c r="Q169" s="328" t="s">
        <v>2477</v>
      </c>
      <c r="AE169">
        <f t="shared" si="42"/>
        <v>168</v>
      </c>
    </row>
    <row r="170" spans="13:35">
      <c r="M170">
        <f t="shared" si="41"/>
        <v>169</v>
      </c>
      <c r="N170" t="s">
        <v>2478</v>
      </c>
      <c r="O170" s="328" t="s">
        <v>2479</v>
      </c>
      <c r="P170" s="328" t="s">
        <v>2480</v>
      </c>
      <c r="Q170" s="328" t="s">
        <v>2481</v>
      </c>
      <c r="AE170">
        <f t="shared" si="42"/>
        <v>169</v>
      </c>
    </row>
    <row r="171" spans="13:35">
      <c r="M171">
        <f t="shared" si="41"/>
        <v>170</v>
      </c>
      <c r="N171" t="s">
        <v>2452</v>
      </c>
      <c r="O171" s="328" t="s">
        <v>1043</v>
      </c>
      <c r="P171" s="328" t="s">
        <v>1229</v>
      </c>
      <c r="Q171" s="328" t="s">
        <v>1045</v>
      </c>
      <c r="AE171">
        <f t="shared" si="42"/>
        <v>170</v>
      </c>
    </row>
    <row r="172" spans="13:35">
      <c r="M172">
        <f t="shared" si="41"/>
        <v>171</v>
      </c>
      <c r="N172" t="s">
        <v>2482</v>
      </c>
      <c r="O172" s="328" t="s">
        <v>2483</v>
      </c>
      <c r="P172" s="328" t="s">
        <v>2484</v>
      </c>
      <c r="Q172" s="328" t="s">
        <v>2485</v>
      </c>
      <c r="AE172">
        <f t="shared" si="42"/>
        <v>171</v>
      </c>
    </row>
    <row r="173" spans="13:35">
      <c r="M173">
        <f t="shared" si="41"/>
        <v>172</v>
      </c>
      <c r="N173" t="s">
        <v>2486</v>
      </c>
      <c r="O173" s="328" t="s">
        <v>2487</v>
      </c>
      <c r="P173" s="328" t="s">
        <v>2488</v>
      </c>
      <c r="Q173" s="328" t="s">
        <v>2489</v>
      </c>
      <c r="AE173">
        <f t="shared" si="42"/>
        <v>172</v>
      </c>
    </row>
    <row r="174" spans="13:35">
      <c r="M174">
        <f t="shared" si="41"/>
        <v>173</v>
      </c>
      <c r="O174" s="328"/>
      <c r="P174" s="328"/>
      <c r="Q174" s="328"/>
      <c r="AE174">
        <f t="shared" si="42"/>
        <v>173</v>
      </c>
    </row>
    <row r="175" spans="13:35">
      <c r="M175">
        <f t="shared" si="41"/>
        <v>174</v>
      </c>
      <c r="O175" s="328"/>
      <c r="P175" s="328"/>
      <c r="Q175" s="328"/>
      <c r="AE175">
        <f t="shared" si="42"/>
        <v>174</v>
      </c>
    </row>
    <row r="176" spans="13:35">
      <c r="M176">
        <f t="shared" si="41"/>
        <v>175</v>
      </c>
      <c r="O176" s="328"/>
      <c r="P176" s="328"/>
      <c r="Q176" s="328"/>
      <c r="AE176">
        <f t="shared" si="42"/>
        <v>175</v>
      </c>
    </row>
    <row r="177" spans="13:31">
      <c r="M177">
        <f t="shared" si="41"/>
        <v>176</v>
      </c>
      <c r="O177" s="328"/>
      <c r="P177" s="328"/>
      <c r="Q177" s="328"/>
      <c r="AE177">
        <f t="shared" si="42"/>
        <v>176</v>
      </c>
    </row>
    <row r="178" spans="13:31">
      <c r="M178">
        <f t="shared" si="41"/>
        <v>177</v>
      </c>
      <c r="O178" s="328"/>
      <c r="P178" s="328"/>
      <c r="Q178" s="328"/>
      <c r="AE178">
        <f t="shared" si="42"/>
        <v>177</v>
      </c>
    </row>
    <row r="179" spans="13:31">
      <c r="M179">
        <f t="shared" si="41"/>
        <v>178</v>
      </c>
      <c r="O179" s="328"/>
      <c r="P179" s="328"/>
      <c r="Q179" s="328"/>
      <c r="AE179">
        <f t="shared" si="42"/>
        <v>178</v>
      </c>
    </row>
    <row r="180" spans="13:31">
      <c r="M180">
        <f t="shared" si="41"/>
        <v>179</v>
      </c>
      <c r="O180" s="328"/>
      <c r="P180" s="328"/>
      <c r="Q180" s="328"/>
      <c r="AE180">
        <f t="shared" si="42"/>
        <v>179</v>
      </c>
    </row>
    <row r="181" spans="13:31">
      <c r="M181">
        <f t="shared" si="41"/>
        <v>180</v>
      </c>
      <c r="O181" s="328"/>
      <c r="P181" s="328"/>
      <c r="Q181" s="328"/>
      <c r="AE181">
        <f t="shared" si="42"/>
        <v>180</v>
      </c>
    </row>
    <row r="182" spans="13:31">
      <c r="M182">
        <f t="shared" si="41"/>
        <v>181</v>
      </c>
      <c r="N182" t="s">
        <v>2490</v>
      </c>
      <c r="O182" s="328" t="s">
        <v>853</v>
      </c>
      <c r="P182" s="328" t="s">
        <v>854</v>
      </c>
      <c r="Q182" s="328" t="s">
        <v>855</v>
      </c>
      <c r="AE182">
        <f t="shared" si="42"/>
        <v>181</v>
      </c>
    </row>
    <row r="183" spans="13:31">
      <c r="M183">
        <f t="shared" si="41"/>
        <v>182</v>
      </c>
      <c r="N183" t="s">
        <v>2491</v>
      </c>
      <c r="O183" s="328" t="s">
        <v>695</v>
      </c>
      <c r="P183" s="328" t="s">
        <v>696</v>
      </c>
      <c r="Q183" s="328" t="s">
        <v>697</v>
      </c>
      <c r="AE183">
        <f t="shared" si="42"/>
        <v>182</v>
      </c>
    </row>
    <row r="184" spans="13:31">
      <c r="M184">
        <f t="shared" ref="M184:M215" si="45">ROW()-1</f>
        <v>183</v>
      </c>
      <c r="O184" s="328"/>
      <c r="P184" s="328"/>
      <c r="Q184" s="328"/>
      <c r="AE184">
        <f t="shared" ref="AE184:AE215" si="46">ROW()-1</f>
        <v>183</v>
      </c>
    </row>
    <row r="185" spans="13:31">
      <c r="M185">
        <f t="shared" si="45"/>
        <v>184</v>
      </c>
      <c r="O185" s="328"/>
      <c r="P185" s="328"/>
      <c r="Q185" s="328"/>
      <c r="AE185">
        <f t="shared" si="46"/>
        <v>184</v>
      </c>
    </row>
    <row r="186" spans="13:31">
      <c r="M186">
        <f t="shared" si="45"/>
        <v>185</v>
      </c>
      <c r="O186" s="328"/>
      <c r="P186" s="328"/>
      <c r="Q186" s="328"/>
      <c r="AE186">
        <f t="shared" si="46"/>
        <v>185</v>
      </c>
    </row>
    <row r="187" spans="13:31">
      <c r="M187">
        <f t="shared" si="45"/>
        <v>186</v>
      </c>
      <c r="O187" s="328"/>
      <c r="P187" s="328"/>
      <c r="Q187" s="328"/>
      <c r="AE187">
        <f t="shared" si="46"/>
        <v>186</v>
      </c>
    </row>
    <row r="188" spans="13:31">
      <c r="M188">
        <f t="shared" si="45"/>
        <v>187</v>
      </c>
      <c r="O188" s="328"/>
      <c r="P188" s="328"/>
      <c r="Q188" s="328"/>
      <c r="AE188">
        <f t="shared" si="46"/>
        <v>187</v>
      </c>
    </row>
    <row r="189" spans="13:31">
      <c r="M189">
        <f t="shared" si="45"/>
        <v>188</v>
      </c>
      <c r="O189" s="328"/>
      <c r="P189" s="328"/>
      <c r="Q189" s="328"/>
      <c r="AE189">
        <f t="shared" si="46"/>
        <v>188</v>
      </c>
    </row>
    <row r="190" spans="13:31">
      <c r="M190">
        <f t="shared" si="45"/>
        <v>189</v>
      </c>
      <c r="O190" s="328"/>
      <c r="P190" s="328"/>
      <c r="Q190" s="328"/>
      <c r="AE190">
        <f t="shared" si="46"/>
        <v>189</v>
      </c>
    </row>
    <row r="191" spans="13:31">
      <c r="M191">
        <f t="shared" si="45"/>
        <v>190</v>
      </c>
      <c r="O191" s="328"/>
      <c r="P191" s="328"/>
      <c r="Q191" s="328"/>
      <c r="AE191">
        <f t="shared" si="46"/>
        <v>190</v>
      </c>
    </row>
    <row r="192" spans="13:31">
      <c r="M192">
        <f t="shared" si="45"/>
        <v>191</v>
      </c>
      <c r="N192" t="s">
        <v>2492</v>
      </c>
      <c r="O192" s="328" t="s">
        <v>2493</v>
      </c>
      <c r="P192" s="328" t="s">
        <v>2494</v>
      </c>
      <c r="Q192" s="328" t="s">
        <v>2495</v>
      </c>
      <c r="AE192">
        <f t="shared" si="46"/>
        <v>191</v>
      </c>
    </row>
    <row r="193" spans="13:35">
      <c r="M193">
        <f t="shared" si="45"/>
        <v>192</v>
      </c>
      <c r="N193" t="s">
        <v>2496</v>
      </c>
      <c r="O193" s="328" t="s">
        <v>2497</v>
      </c>
      <c r="P193" s="328" t="s">
        <v>2498</v>
      </c>
      <c r="Q193" s="328" t="s">
        <v>2499</v>
      </c>
      <c r="AE193">
        <f t="shared" si="46"/>
        <v>192</v>
      </c>
    </row>
    <row r="194" spans="13:35">
      <c r="M194">
        <f t="shared" si="45"/>
        <v>193</v>
      </c>
      <c r="N194" t="s">
        <v>2500</v>
      </c>
      <c r="O194" s="328" t="s">
        <v>2501</v>
      </c>
      <c r="P194" s="328" t="s">
        <v>2502</v>
      </c>
      <c r="Q194" s="328" t="s">
        <v>2503</v>
      </c>
      <c r="AE194">
        <f t="shared" si="46"/>
        <v>193</v>
      </c>
    </row>
    <row r="195" spans="13:35">
      <c r="M195">
        <f t="shared" si="45"/>
        <v>194</v>
      </c>
      <c r="N195" t="s">
        <v>2504</v>
      </c>
      <c r="O195" s="328" t="s">
        <v>2505</v>
      </c>
      <c r="P195" s="328" t="s">
        <v>2506</v>
      </c>
      <c r="Q195" s="328" t="s">
        <v>2507</v>
      </c>
      <c r="AE195">
        <f t="shared" si="46"/>
        <v>194</v>
      </c>
    </row>
    <row r="196" spans="13:35">
      <c r="M196">
        <f t="shared" si="45"/>
        <v>195</v>
      </c>
      <c r="N196" t="s">
        <v>2508</v>
      </c>
      <c r="O196" s="328" t="s">
        <v>2509</v>
      </c>
      <c r="P196" s="328" t="s">
        <v>2510</v>
      </c>
      <c r="Q196" s="328" t="s">
        <v>2511</v>
      </c>
      <c r="AE196">
        <f t="shared" si="46"/>
        <v>195</v>
      </c>
    </row>
    <row r="197" spans="13:35">
      <c r="M197">
        <f t="shared" si="45"/>
        <v>196</v>
      </c>
      <c r="N197" t="s">
        <v>2512</v>
      </c>
      <c r="O197" s="328" t="s">
        <v>2513</v>
      </c>
      <c r="P197" s="328" t="s">
        <v>2514</v>
      </c>
      <c r="Q197" s="328" t="s">
        <v>2515</v>
      </c>
      <c r="AE197">
        <f t="shared" si="46"/>
        <v>196</v>
      </c>
    </row>
    <row r="198" spans="13:35">
      <c r="M198">
        <f t="shared" si="45"/>
        <v>197</v>
      </c>
      <c r="N198" t="s">
        <v>2516</v>
      </c>
      <c r="O198" s="328" t="s">
        <v>2517</v>
      </c>
      <c r="P198" s="328" t="s">
        <v>2518</v>
      </c>
      <c r="Q198" s="328" t="s">
        <v>2519</v>
      </c>
      <c r="AE198">
        <f t="shared" si="46"/>
        <v>197</v>
      </c>
    </row>
    <row r="199" spans="13:35">
      <c r="M199">
        <f t="shared" si="45"/>
        <v>198</v>
      </c>
      <c r="N199" t="s">
        <v>2520</v>
      </c>
      <c r="O199" s="328" t="s">
        <v>2521</v>
      </c>
      <c r="P199" s="328" t="s">
        <v>2522</v>
      </c>
      <c r="Q199" s="328" t="s">
        <v>2523</v>
      </c>
      <c r="AE199">
        <f t="shared" si="46"/>
        <v>198</v>
      </c>
    </row>
    <row r="200" spans="13:35">
      <c r="M200">
        <f t="shared" si="45"/>
        <v>199</v>
      </c>
      <c r="N200" t="s">
        <v>2524</v>
      </c>
      <c r="O200" s="328" t="s">
        <v>2525</v>
      </c>
      <c r="P200" s="328" t="s">
        <v>2526</v>
      </c>
      <c r="Q200" s="328" t="s">
        <v>2527</v>
      </c>
      <c r="AE200">
        <f t="shared" si="46"/>
        <v>199</v>
      </c>
    </row>
    <row r="201" spans="13:35">
      <c r="M201">
        <f t="shared" si="45"/>
        <v>200</v>
      </c>
      <c r="N201" t="s">
        <v>2528</v>
      </c>
      <c r="O201" s="328" t="s">
        <v>2529</v>
      </c>
      <c r="P201" s="328" t="s">
        <v>2530</v>
      </c>
      <c r="Q201" s="328" t="s">
        <v>2531</v>
      </c>
      <c r="AE201">
        <f t="shared" si="46"/>
        <v>200</v>
      </c>
    </row>
    <row r="202" spans="13:35">
      <c r="M202">
        <f t="shared" si="45"/>
        <v>201</v>
      </c>
      <c r="N202" t="s">
        <v>2532</v>
      </c>
      <c r="O202" s="328" t="s">
        <v>2533</v>
      </c>
      <c r="P202" s="328" t="s">
        <v>2534</v>
      </c>
      <c r="Q202" s="328" t="s">
        <v>2535</v>
      </c>
      <c r="AE202">
        <f t="shared" si="46"/>
        <v>201</v>
      </c>
      <c r="AF202" t="s">
        <v>2536</v>
      </c>
      <c r="AG202" t="s">
        <v>2537</v>
      </c>
      <c r="AH202" t="s">
        <v>2538</v>
      </c>
      <c r="AI202" t="s">
        <v>2539</v>
      </c>
    </row>
    <row r="203" spans="13:35">
      <c r="M203">
        <f t="shared" si="45"/>
        <v>202</v>
      </c>
      <c r="N203" t="s">
        <v>2540</v>
      </c>
      <c r="O203" s="328" t="s">
        <v>2541</v>
      </c>
      <c r="P203" s="328" t="s">
        <v>2542</v>
      </c>
      <c r="Q203" s="328" t="s">
        <v>2543</v>
      </c>
      <c r="AE203">
        <f t="shared" si="46"/>
        <v>202</v>
      </c>
    </row>
    <row r="204" spans="13:35">
      <c r="M204">
        <f t="shared" si="45"/>
        <v>203</v>
      </c>
      <c r="N204" t="s">
        <v>2544</v>
      </c>
      <c r="O204" s="328" t="s">
        <v>2545</v>
      </c>
      <c r="P204" s="328" t="s">
        <v>2546</v>
      </c>
      <c r="Q204" s="328" t="s">
        <v>2547</v>
      </c>
      <c r="AE204">
        <f t="shared" si="46"/>
        <v>203</v>
      </c>
    </row>
    <row r="205" spans="13:35">
      <c r="M205">
        <f t="shared" si="45"/>
        <v>204</v>
      </c>
      <c r="N205" t="s">
        <v>2548</v>
      </c>
      <c r="O205" s="328" t="s">
        <v>2549</v>
      </c>
      <c r="P205" s="328" t="s">
        <v>2550</v>
      </c>
      <c r="Q205" s="328" t="s">
        <v>2551</v>
      </c>
      <c r="AE205">
        <f t="shared" si="46"/>
        <v>204</v>
      </c>
      <c r="AF205" t="s">
        <v>2552</v>
      </c>
      <c r="AG205" s="328" t="s">
        <v>2553</v>
      </c>
      <c r="AH205" s="328" t="s">
        <v>2554</v>
      </c>
      <c r="AI205" s="328" t="s">
        <v>2555</v>
      </c>
    </row>
    <row r="206" spans="13:35">
      <c r="M206">
        <f t="shared" si="45"/>
        <v>205</v>
      </c>
      <c r="N206" t="s">
        <v>2556</v>
      </c>
      <c r="O206" s="328" t="s">
        <v>2557</v>
      </c>
      <c r="P206" s="328" t="s">
        <v>2558</v>
      </c>
      <c r="Q206" s="328" t="s">
        <v>2559</v>
      </c>
      <c r="AE206">
        <f t="shared" si="46"/>
        <v>205</v>
      </c>
      <c r="AF206" s="328" t="s">
        <v>2560</v>
      </c>
      <c r="AG206" s="328" t="s">
        <v>2561</v>
      </c>
      <c r="AH206" s="328" t="s">
        <v>2562</v>
      </c>
      <c r="AI206" s="328" t="s">
        <v>2563</v>
      </c>
    </row>
    <row r="207" spans="13:35">
      <c r="M207">
        <f t="shared" si="45"/>
        <v>206</v>
      </c>
      <c r="N207" t="s">
        <v>2564</v>
      </c>
      <c r="O207" s="328" t="s">
        <v>2565</v>
      </c>
      <c r="P207" s="328" t="s">
        <v>2566</v>
      </c>
      <c r="Q207" s="328" t="s">
        <v>2567</v>
      </c>
      <c r="AE207">
        <f t="shared" si="46"/>
        <v>206</v>
      </c>
    </row>
    <row r="208" spans="13:35">
      <c r="M208">
        <f t="shared" si="45"/>
        <v>207</v>
      </c>
      <c r="O208" s="328"/>
      <c r="P208" s="328"/>
      <c r="Q208" s="328"/>
      <c r="AE208">
        <f t="shared" si="46"/>
        <v>207</v>
      </c>
    </row>
    <row r="209" spans="13:35">
      <c r="M209">
        <f t="shared" si="45"/>
        <v>208</v>
      </c>
      <c r="O209" s="328"/>
      <c r="P209" s="328"/>
      <c r="Q209" s="328"/>
      <c r="AE209">
        <f t="shared" si="46"/>
        <v>208</v>
      </c>
    </row>
    <row r="210" spans="13:35">
      <c r="M210">
        <f t="shared" si="45"/>
        <v>209</v>
      </c>
      <c r="N210" t="s">
        <v>2568</v>
      </c>
      <c r="O210" s="328" t="s">
        <v>2569</v>
      </c>
      <c r="P210" s="328" t="s">
        <v>2570</v>
      </c>
      <c r="Q210" s="328" t="s">
        <v>2571</v>
      </c>
      <c r="AE210">
        <f t="shared" si="46"/>
        <v>209</v>
      </c>
    </row>
    <row r="211" spans="13:35">
      <c r="M211">
        <f t="shared" si="45"/>
        <v>210</v>
      </c>
      <c r="N211" t="s">
        <v>2572</v>
      </c>
      <c r="O211" s="328" t="s">
        <v>2573</v>
      </c>
      <c r="P211" s="328" t="s">
        <v>2573</v>
      </c>
      <c r="Q211" s="328" t="s">
        <v>2574</v>
      </c>
      <c r="AE211">
        <f t="shared" si="46"/>
        <v>210</v>
      </c>
    </row>
    <row r="212" spans="13:35">
      <c r="M212">
        <f t="shared" si="45"/>
        <v>211</v>
      </c>
      <c r="N212" t="s">
        <v>2575</v>
      </c>
      <c r="O212" s="328" t="s">
        <v>2576</v>
      </c>
      <c r="P212" s="328" t="s">
        <v>2577</v>
      </c>
      <c r="Q212" s="328" t="s">
        <v>2578</v>
      </c>
      <c r="AE212">
        <f t="shared" si="46"/>
        <v>211</v>
      </c>
      <c r="AF212" t="s">
        <v>2059</v>
      </c>
      <c r="AG212" t="s">
        <v>2060</v>
      </c>
      <c r="AH212" t="s">
        <v>2061</v>
      </c>
      <c r="AI212" t="s">
        <v>2579</v>
      </c>
    </row>
    <row r="213" spans="13:35">
      <c r="M213">
        <f t="shared" si="45"/>
        <v>212</v>
      </c>
      <c r="N213" t="s">
        <v>2580</v>
      </c>
      <c r="O213" s="328" t="s">
        <v>2581</v>
      </c>
      <c r="P213" s="328" t="s">
        <v>2582</v>
      </c>
      <c r="Q213" s="328" t="s">
        <v>2583</v>
      </c>
      <c r="AE213">
        <f t="shared" si="46"/>
        <v>212</v>
      </c>
      <c r="AF213" t="s">
        <v>2584</v>
      </c>
      <c r="AG213" t="s">
        <v>2585</v>
      </c>
      <c r="AH213" t="s">
        <v>2586</v>
      </c>
      <c r="AI213" t="s">
        <v>2587</v>
      </c>
    </row>
    <row r="214" spans="13:35">
      <c r="M214">
        <f t="shared" si="45"/>
        <v>213</v>
      </c>
      <c r="N214" t="s">
        <v>2588</v>
      </c>
      <c r="O214" s="328" t="s">
        <v>2589</v>
      </c>
      <c r="P214" s="328" t="s">
        <v>2590</v>
      </c>
      <c r="Q214" s="328" t="s">
        <v>2591</v>
      </c>
      <c r="AE214">
        <f t="shared" si="46"/>
        <v>213</v>
      </c>
      <c r="AF214" t="s">
        <v>2592</v>
      </c>
      <c r="AG214" t="s">
        <v>2593</v>
      </c>
      <c r="AH214" t="s">
        <v>2594</v>
      </c>
      <c r="AI214" t="s">
        <v>2595</v>
      </c>
    </row>
    <row r="215" spans="13:35">
      <c r="M215">
        <f t="shared" si="45"/>
        <v>214</v>
      </c>
      <c r="N215" t="s">
        <v>2596</v>
      </c>
      <c r="O215" s="328" t="s">
        <v>2597</v>
      </c>
      <c r="P215" s="328" t="s">
        <v>2598</v>
      </c>
      <c r="Q215" s="328" t="s">
        <v>2599</v>
      </c>
      <c r="AE215">
        <f t="shared" si="46"/>
        <v>214</v>
      </c>
      <c r="AF215" t="s">
        <v>2600</v>
      </c>
      <c r="AG215" t="s">
        <v>2601</v>
      </c>
      <c r="AH215" t="s">
        <v>2602</v>
      </c>
      <c r="AI215" t="s">
        <v>2603</v>
      </c>
    </row>
    <row r="216" spans="13:35">
      <c r="M216">
        <f t="shared" ref="M216:M226" si="47">ROW()-1</f>
        <v>215</v>
      </c>
      <c r="N216" t="s">
        <v>2604</v>
      </c>
      <c r="O216" s="328" t="s">
        <v>2605</v>
      </c>
      <c r="P216" s="328" t="s">
        <v>2606</v>
      </c>
      <c r="Q216" s="328" t="s">
        <v>2607</v>
      </c>
      <c r="AE216">
        <f t="shared" ref="AE216:AE239" si="48">ROW()-1</f>
        <v>215</v>
      </c>
      <c r="AF216" t="s">
        <v>2608</v>
      </c>
      <c r="AG216" t="s">
        <v>2609</v>
      </c>
      <c r="AH216" t="s">
        <v>2610</v>
      </c>
      <c r="AI216" t="s">
        <v>2611</v>
      </c>
    </row>
    <row r="217" spans="13:35">
      <c r="M217">
        <f t="shared" si="47"/>
        <v>216</v>
      </c>
      <c r="N217" t="s">
        <v>2612</v>
      </c>
      <c r="O217" s="328" t="s">
        <v>2613</v>
      </c>
      <c r="P217" s="328" t="s">
        <v>2614</v>
      </c>
      <c r="Q217" s="328" t="s">
        <v>2615</v>
      </c>
      <c r="AE217" s="328">
        <f t="shared" si="48"/>
        <v>216</v>
      </c>
      <c r="AF217" t="s">
        <v>2616</v>
      </c>
      <c r="AG217" s="328" t="s">
        <v>2617</v>
      </c>
      <c r="AH217" s="328" t="s">
        <v>2618</v>
      </c>
      <c r="AI217" s="328" t="s">
        <v>2619</v>
      </c>
    </row>
    <row r="218" spans="13:35">
      <c r="M218">
        <f t="shared" si="47"/>
        <v>217</v>
      </c>
      <c r="N218" t="s">
        <v>2620</v>
      </c>
      <c r="O218" s="328" t="s">
        <v>2621</v>
      </c>
      <c r="P218" s="328" t="s">
        <v>2621</v>
      </c>
      <c r="Q218" s="328" t="s">
        <v>2622</v>
      </c>
      <c r="AE218">
        <f t="shared" si="48"/>
        <v>217</v>
      </c>
      <c r="AF218" t="s">
        <v>2623</v>
      </c>
      <c r="AG218" s="328" t="s">
        <v>2624</v>
      </c>
      <c r="AH218" s="328" t="s">
        <v>2625</v>
      </c>
      <c r="AI218" s="328" t="s">
        <v>2626</v>
      </c>
    </row>
    <row r="219" spans="13:35">
      <c r="M219">
        <f t="shared" si="47"/>
        <v>218</v>
      </c>
      <c r="N219" t="s">
        <v>2627</v>
      </c>
      <c r="O219" s="328" t="s">
        <v>2628</v>
      </c>
      <c r="P219" s="328" t="s">
        <v>2629</v>
      </c>
      <c r="Q219" s="328" t="s">
        <v>2630</v>
      </c>
      <c r="AE219">
        <f t="shared" si="48"/>
        <v>218</v>
      </c>
      <c r="AF219" s="474" t="s">
        <v>2631</v>
      </c>
      <c r="AG219" s="474" t="s">
        <v>2632</v>
      </c>
      <c r="AH219" s="474" t="s">
        <v>2633</v>
      </c>
      <c r="AI219" s="474" t="s">
        <v>2634</v>
      </c>
    </row>
    <row r="220" spans="13:35">
      <c r="M220">
        <f t="shared" si="47"/>
        <v>219</v>
      </c>
      <c r="N220" t="s">
        <v>2635</v>
      </c>
      <c r="O220" s="328" t="s">
        <v>2636</v>
      </c>
      <c r="P220" s="328" t="s">
        <v>2637</v>
      </c>
      <c r="Q220" s="328" t="s">
        <v>2638</v>
      </c>
      <c r="AE220">
        <f t="shared" si="48"/>
        <v>219</v>
      </c>
    </row>
    <row r="221" spans="13:35">
      <c r="M221">
        <f t="shared" si="47"/>
        <v>220</v>
      </c>
      <c r="O221" s="328"/>
      <c r="P221" s="328"/>
      <c r="Q221" s="328"/>
      <c r="AE221">
        <f t="shared" si="48"/>
        <v>220</v>
      </c>
    </row>
    <row r="222" spans="13:35">
      <c r="M222">
        <f t="shared" si="47"/>
        <v>221</v>
      </c>
      <c r="N222" t="s">
        <v>2639</v>
      </c>
      <c r="O222" s="328" t="s">
        <v>2640</v>
      </c>
      <c r="P222" s="328" t="s">
        <v>2641</v>
      </c>
      <c r="Q222" s="328" t="s">
        <v>2642</v>
      </c>
      <c r="AE222">
        <f t="shared" si="48"/>
        <v>221</v>
      </c>
      <c r="AF222" s="328" t="s">
        <v>2643</v>
      </c>
      <c r="AG222" s="328" t="s">
        <v>2644</v>
      </c>
      <c r="AH222" s="328" t="s">
        <v>2645</v>
      </c>
      <c r="AI222" s="328" t="s">
        <v>2646</v>
      </c>
    </row>
    <row r="223" spans="13:35">
      <c r="M223">
        <f t="shared" si="47"/>
        <v>222</v>
      </c>
      <c r="N223" t="s">
        <v>2647</v>
      </c>
      <c r="O223" s="328" t="s">
        <v>2648</v>
      </c>
      <c r="P223" s="328" t="s">
        <v>2649</v>
      </c>
      <c r="Q223" s="328" t="s">
        <v>2650</v>
      </c>
      <c r="AE223">
        <f t="shared" si="48"/>
        <v>222</v>
      </c>
      <c r="AF223" s="328" t="s">
        <v>2651</v>
      </c>
      <c r="AG223" s="328" t="s">
        <v>2652</v>
      </c>
      <c r="AH223" s="328" t="s">
        <v>2653</v>
      </c>
      <c r="AI223" s="328" t="s">
        <v>2654</v>
      </c>
    </row>
    <row r="224" spans="13:35">
      <c r="M224">
        <f t="shared" si="47"/>
        <v>223</v>
      </c>
      <c r="N224" t="s">
        <v>2655</v>
      </c>
      <c r="O224" s="328" t="s">
        <v>2656</v>
      </c>
      <c r="P224" s="328" t="s">
        <v>2657</v>
      </c>
      <c r="Q224" s="328" t="s">
        <v>2658</v>
      </c>
      <c r="AE224">
        <f t="shared" si="48"/>
        <v>223</v>
      </c>
      <c r="AF224" t="s">
        <v>2659</v>
      </c>
      <c r="AG224" s="328" t="s">
        <v>2660</v>
      </c>
      <c r="AH224" s="328" t="s">
        <v>2661</v>
      </c>
      <c r="AI224" s="328" t="s">
        <v>2662</v>
      </c>
    </row>
    <row r="225" spans="13:35">
      <c r="M225">
        <f t="shared" si="47"/>
        <v>224</v>
      </c>
      <c r="O225" s="328"/>
      <c r="P225" s="328"/>
      <c r="Q225" s="328"/>
      <c r="AE225">
        <f t="shared" si="48"/>
        <v>224</v>
      </c>
    </row>
    <row r="226" spans="13:35">
      <c r="M226">
        <f t="shared" si="47"/>
        <v>225</v>
      </c>
      <c r="O226" s="328"/>
      <c r="P226" s="328"/>
      <c r="Q226" s="328"/>
      <c r="AE226">
        <f t="shared" si="48"/>
        <v>225</v>
      </c>
    </row>
    <row r="227" spans="13:35">
      <c r="M227">
        <f t="shared" ref="M227:M258" si="49">ROW()-1</f>
        <v>226</v>
      </c>
      <c r="O227" s="328"/>
      <c r="P227" s="328"/>
      <c r="Q227" s="328"/>
      <c r="AE227">
        <f t="shared" si="48"/>
        <v>226</v>
      </c>
    </row>
    <row r="228" spans="13:35">
      <c r="M228">
        <f t="shared" si="49"/>
        <v>227</v>
      </c>
      <c r="O228" s="328"/>
      <c r="P228" s="328"/>
      <c r="Q228" s="328"/>
      <c r="AE228">
        <f t="shared" si="48"/>
        <v>227</v>
      </c>
    </row>
    <row r="229" spans="13:35">
      <c r="M229">
        <f t="shared" si="49"/>
        <v>228</v>
      </c>
      <c r="O229" s="328"/>
      <c r="P229" s="328"/>
      <c r="Q229" s="328"/>
      <c r="AE229">
        <f t="shared" si="48"/>
        <v>228</v>
      </c>
    </row>
    <row r="230" spans="13:35">
      <c r="M230">
        <f t="shared" si="49"/>
        <v>229</v>
      </c>
      <c r="O230" s="328"/>
      <c r="P230" s="328"/>
      <c r="Q230" s="328"/>
      <c r="AE230">
        <f t="shared" si="48"/>
        <v>229</v>
      </c>
    </row>
    <row r="231" spans="13:35">
      <c r="M231">
        <f t="shared" si="49"/>
        <v>230</v>
      </c>
      <c r="O231" s="328"/>
      <c r="P231" s="328"/>
      <c r="Q231" s="328"/>
      <c r="AE231">
        <f t="shared" si="48"/>
        <v>230</v>
      </c>
    </row>
    <row r="232" spans="13:35">
      <c r="M232">
        <f t="shared" si="49"/>
        <v>231</v>
      </c>
      <c r="N232" t="s">
        <v>2663</v>
      </c>
      <c r="O232" s="328" t="s">
        <v>2664</v>
      </c>
      <c r="P232" s="328" t="s">
        <v>2665</v>
      </c>
      <c r="Q232" s="328" t="s">
        <v>2666</v>
      </c>
      <c r="AE232">
        <f t="shared" si="48"/>
        <v>231</v>
      </c>
      <c r="AF232" t="s">
        <v>2667</v>
      </c>
      <c r="AG232" t="s">
        <v>2668</v>
      </c>
      <c r="AH232" t="s">
        <v>2669</v>
      </c>
      <c r="AI232" t="s">
        <v>2670</v>
      </c>
    </row>
    <row r="233" spans="13:35">
      <c r="M233">
        <f t="shared" si="49"/>
        <v>232</v>
      </c>
      <c r="N233" t="s">
        <v>2671</v>
      </c>
      <c r="O233" s="328" t="s">
        <v>2672</v>
      </c>
      <c r="P233" s="328" t="s">
        <v>2673</v>
      </c>
      <c r="Q233" s="328" t="s">
        <v>2674</v>
      </c>
      <c r="AE233">
        <f t="shared" si="48"/>
        <v>232</v>
      </c>
    </row>
    <row r="234" spans="13:35">
      <c r="M234">
        <f t="shared" si="49"/>
        <v>233</v>
      </c>
      <c r="N234" t="s">
        <v>2675</v>
      </c>
      <c r="O234" s="328" t="s">
        <v>2676</v>
      </c>
      <c r="P234" s="328" t="s">
        <v>2677</v>
      </c>
      <c r="Q234" s="328" t="s">
        <v>2678</v>
      </c>
      <c r="AE234">
        <f t="shared" si="48"/>
        <v>233</v>
      </c>
    </row>
    <row r="235" spans="13:35">
      <c r="M235">
        <f t="shared" si="49"/>
        <v>234</v>
      </c>
      <c r="N235" t="s">
        <v>2679</v>
      </c>
      <c r="O235" s="328" t="s">
        <v>2680</v>
      </c>
      <c r="P235" s="328" t="s">
        <v>2681</v>
      </c>
      <c r="Q235" s="328" t="s">
        <v>2682</v>
      </c>
      <c r="AE235">
        <f t="shared" si="48"/>
        <v>234</v>
      </c>
    </row>
    <row r="236" spans="13:35">
      <c r="M236">
        <f t="shared" si="49"/>
        <v>235</v>
      </c>
      <c r="N236" t="s">
        <v>2683</v>
      </c>
      <c r="O236" s="328" t="s">
        <v>2684</v>
      </c>
      <c r="P236" s="328" t="s">
        <v>2685</v>
      </c>
      <c r="Q236" s="328" t="s">
        <v>2686</v>
      </c>
      <c r="AE236">
        <f t="shared" si="48"/>
        <v>235</v>
      </c>
    </row>
    <row r="237" spans="13:35">
      <c r="M237">
        <f t="shared" si="49"/>
        <v>236</v>
      </c>
      <c r="O237" s="328"/>
      <c r="P237" s="328"/>
      <c r="Q237" s="328"/>
      <c r="AE237">
        <f t="shared" si="48"/>
        <v>236</v>
      </c>
    </row>
    <row r="238" spans="13:35">
      <c r="M238">
        <f t="shared" si="49"/>
        <v>237</v>
      </c>
      <c r="O238" s="328"/>
      <c r="P238" s="328"/>
      <c r="Q238" s="328"/>
      <c r="AE238">
        <f t="shared" si="48"/>
        <v>237</v>
      </c>
    </row>
    <row r="239" spans="13:35">
      <c r="M239">
        <f t="shared" si="49"/>
        <v>238</v>
      </c>
      <c r="O239" s="328"/>
      <c r="P239" s="328"/>
      <c r="Q239" s="328"/>
      <c r="AE239">
        <f t="shared" si="48"/>
        <v>238</v>
      </c>
    </row>
    <row r="240" spans="13:35">
      <c r="M240">
        <f t="shared" si="49"/>
        <v>239</v>
      </c>
      <c r="O240" s="328"/>
      <c r="P240" s="328"/>
      <c r="Q240" s="328"/>
      <c r="AE240">
        <f t="shared" ref="AE240:AE246" si="50">ROW()-1</f>
        <v>239</v>
      </c>
    </row>
    <row r="241" spans="13:35">
      <c r="M241">
        <f t="shared" si="49"/>
        <v>240</v>
      </c>
      <c r="O241" s="328"/>
      <c r="P241" s="328"/>
      <c r="Q241" s="328"/>
      <c r="AE241">
        <f t="shared" si="50"/>
        <v>240</v>
      </c>
    </row>
    <row r="242" spans="13:35">
      <c r="M242">
        <f t="shared" si="49"/>
        <v>241</v>
      </c>
      <c r="N242" t="s">
        <v>2687</v>
      </c>
      <c r="O242" s="328" t="s">
        <v>2688</v>
      </c>
      <c r="P242" s="328" t="s">
        <v>2689</v>
      </c>
      <c r="Q242" s="328" t="s">
        <v>2690</v>
      </c>
      <c r="AE242">
        <f t="shared" si="50"/>
        <v>241</v>
      </c>
      <c r="AF242" t="s">
        <v>2691</v>
      </c>
      <c r="AG242" s="328" t="s">
        <v>2692</v>
      </c>
      <c r="AH242" s="328" t="s">
        <v>2693</v>
      </c>
      <c r="AI242" s="328" t="s">
        <v>2694</v>
      </c>
    </row>
    <row r="243" spans="13:35">
      <c r="M243">
        <f t="shared" si="49"/>
        <v>242</v>
      </c>
      <c r="N243" t="s">
        <v>2695</v>
      </c>
      <c r="O243" s="328" t="s">
        <v>2696</v>
      </c>
      <c r="P243" s="328" t="s">
        <v>2697</v>
      </c>
      <c r="Q243" s="328" t="s">
        <v>2698</v>
      </c>
      <c r="AE243">
        <f t="shared" si="50"/>
        <v>242</v>
      </c>
    </row>
    <row r="244" spans="13:35">
      <c r="M244">
        <f t="shared" si="49"/>
        <v>243</v>
      </c>
      <c r="N244" t="s">
        <v>2699</v>
      </c>
      <c r="O244" s="328" t="s">
        <v>2700</v>
      </c>
      <c r="P244" s="328" t="s">
        <v>2701</v>
      </c>
      <c r="Q244" s="328" t="s">
        <v>2702</v>
      </c>
      <c r="AE244">
        <f t="shared" si="50"/>
        <v>243</v>
      </c>
    </row>
    <row r="245" spans="13:35">
      <c r="M245">
        <f t="shared" si="49"/>
        <v>244</v>
      </c>
      <c r="N245" t="s">
        <v>2703</v>
      </c>
      <c r="O245" s="328" t="s">
        <v>2704</v>
      </c>
      <c r="P245" s="328" t="s">
        <v>2705</v>
      </c>
      <c r="Q245" s="328" t="s">
        <v>2706</v>
      </c>
      <c r="AE245">
        <f t="shared" si="50"/>
        <v>244</v>
      </c>
    </row>
    <row r="246" spans="13:35">
      <c r="M246">
        <f t="shared" si="49"/>
        <v>245</v>
      </c>
      <c r="N246" t="s">
        <v>2707</v>
      </c>
      <c r="O246" s="328" t="s">
        <v>2708</v>
      </c>
      <c r="P246" s="328" t="s">
        <v>2709</v>
      </c>
      <c r="Q246" s="328" t="s">
        <v>2710</v>
      </c>
      <c r="AE246">
        <f t="shared" si="50"/>
        <v>245</v>
      </c>
    </row>
    <row r="247" spans="13:35">
      <c r="M247">
        <f t="shared" si="49"/>
        <v>246</v>
      </c>
      <c r="N247" t="s">
        <v>2711</v>
      </c>
      <c r="O247" s="328" t="s">
        <v>2712</v>
      </c>
      <c r="P247" s="328" t="s">
        <v>2713</v>
      </c>
      <c r="Q247" s="328" t="s">
        <v>2714</v>
      </c>
      <c r="AE247">
        <f t="shared" ref="AE247:AE254" si="51">ROW()-1</f>
        <v>246</v>
      </c>
    </row>
    <row r="248" spans="13:35">
      <c r="M248">
        <f t="shared" si="49"/>
        <v>247</v>
      </c>
      <c r="N248" t="s">
        <v>2715</v>
      </c>
      <c r="O248" s="328" t="s">
        <v>2716</v>
      </c>
      <c r="P248" s="328" t="s">
        <v>2717</v>
      </c>
      <c r="Q248" s="328" t="s">
        <v>2718</v>
      </c>
      <c r="AE248">
        <f t="shared" si="51"/>
        <v>247</v>
      </c>
    </row>
    <row r="249" spans="13:35">
      <c r="M249">
        <f t="shared" si="49"/>
        <v>248</v>
      </c>
      <c r="N249" t="s">
        <v>2719</v>
      </c>
      <c r="O249" s="328" t="s">
        <v>2720</v>
      </c>
      <c r="P249" s="328" t="s">
        <v>2721</v>
      </c>
      <c r="Q249" s="328" t="s">
        <v>2722</v>
      </c>
      <c r="AE249">
        <f t="shared" si="51"/>
        <v>248</v>
      </c>
    </row>
    <row r="250" spans="13:35">
      <c r="M250">
        <f t="shared" si="49"/>
        <v>249</v>
      </c>
      <c r="O250" s="328"/>
      <c r="P250" s="328"/>
      <c r="Q250" s="328"/>
      <c r="AE250">
        <f t="shared" si="51"/>
        <v>249</v>
      </c>
    </row>
    <row r="251" spans="13:35">
      <c r="M251">
        <f t="shared" si="49"/>
        <v>250</v>
      </c>
      <c r="O251" s="328"/>
      <c r="P251" s="328"/>
      <c r="Q251" s="328"/>
      <c r="AE251">
        <f t="shared" si="51"/>
        <v>250</v>
      </c>
    </row>
    <row r="252" spans="13:35">
      <c r="M252">
        <f t="shared" si="49"/>
        <v>251</v>
      </c>
      <c r="N252" t="s">
        <v>2723</v>
      </c>
      <c r="O252" s="328" t="s">
        <v>2724</v>
      </c>
      <c r="P252" s="328" t="s">
        <v>2725</v>
      </c>
      <c r="Q252" s="328" t="s">
        <v>2726</v>
      </c>
      <c r="AE252">
        <f t="shared" si="51"/>
        <v>251</v>
      </c>
      <c r="AF252" t="s">
        <v>2727</v>
      </c>
      <c r="AG252" t="s">
        <v>2728</v>
      </c>
      <c r="AH252" t="s">
        <v>2729</v>
      </c>
      <c r="AI252" t="s">
        <v>2730</v>
      </c>
    </row>
    <row r="253" spans="13:35">
      <c r="M253">
        <f t="shared" si="49"/>
        <v>252</v>
      </c>
      <c r="O253" s="328"/>
      <c r="P253" s="328"/>
      <c r="Q253" s="328"/>
      <c r="AE253">
        <f t="shared" si="51"/>
        <v>252</v>
      </c>
      <c r="AF253" s="328" t="s">
        <v>2731</v>
      </c>
      <c r="AG253" s="328" t="s">
        <v>2732</v>
      </c>
      <c r="AH253" s="328" t="s">
        <v>2733</v>
      </c>
      <c r="AI253" s="328" t="s">
        <v>2734</v>
      </c>
    </row>
    <row r="254" spans="13:35">
      <c r="M254">
        <f t="shared" si="49"/>
        <v>253</v>
      </c>
      <c r="N254" t="s">
        <v>2735</v>
      </c>
      <c r="O254" s="328" t="s">
        <v>2736</v>
      </c>
      <c r="P254" s="328" t="s">
        <v>2737</v>
      </c>
      <c r="Q254" s="328" t="s">
        <v>2738</v>
      </c>
      <c r="AE254">
        <f t="shared" si="51"/>
        <v>253</v>
      </c>
    </row>
    <row r="255" spans="13:35">
      <c r="M255">
        <f t="shared" si="49"/>
        <v>254</v>
      </c>
      <c r="N255" t="s">
        <v>2739</v>
      </c>
      <c r="O255" s="328" t="s">
        <v>2740</v>
      </c>
      <c r="P255" s="328" t="s">
        <v>2741</v>
      </c>
      <c r="Q255" s="328" t="s">
        <v>2742</v>
      </c>
    </row>
    <row r="256" spans="13:35">
      <c r="M256">
        <f t="shared" si="49"/>
        <v>255</v>
      </c>
    </row>
    <row r="257" spans="13:17">
      <c r="M257">
        <f t="shared" si="49"/>
        <v>256</v>
      </c>
    </row>
    <row r="258" spans="13:17">
      <c r="M258">
        <f t="shared" si="49"/>
        <v>257</v>
      </c>
    </row>
    <row r="259" spans="13:17">
      <c r="M259">
        <f t="shared" ref="M259:M307" si="52">ROW()-1</f>
        <v>258</v>
      </c>
    </row>
    <row r="260" spans="13:17">
      <c r="M260">
        <f t="shared" si="52"/>
        <v>259</v>
      </c>
    </row>
    <row r="261" spans="13:17">
      <c r="M261">
        <f t="shared" si="52"/>
        <v>260</v>
      </c>
      <c r="O261" s="328"/>
      <c r="P261" s="328"/>
      <c r="Q261" s="328"/>
    </row>
    <row r="262" spans="13:17">
      <c r="M262">
        <f t="shared" si="52"/>
        <v>261</v>
      </c>
      <c r="N262" t="s">
        <v>2743</v>
      </c>
      <c r="O262" s="328" t="s">
        <v>2744</v>
      </c>
      <c r="P262" s="328" t="s">
        <v>2745</v>
      </c>
      <c r="Q262" s="328" t="s">
        <v>2746</v>
      </c>
    </row>
    <row r="263" spans="13:17">
      <c r="M263">
        <f t="shared" si="52"/>
        <v>262</v>
      </c>
      <c r="N263" t="s">
        <v>2747</v>
      </c>
      <c r="O263" s="328" t="s">
        <v>2748</v>
      </c>
      <c r="P263" s="328" t="s">
        <v>2749</v>
      </c>
      <c r="Q263" s="328" t="s">
        <v>2750</v>
      </c>
    </row>
    <row r="264" spans="13:17">
      <c r="M264">
        <f t="shared" si="52"/>
        <v>263</v>
      </c>
      <c r="N264" t="s">
        <v>2751</v>
      </c>
      <c r="O264" s="328" t="s">
        <v>2752</v>
      </c>
      <c r="P264" s="328" t="s">
        <v>2753</v>
      </c>
      <c r="Q264" s="328" t="s">
        <v>2754</v>
      </c>
    </row>
    <row r="265" spans="13:17">
      <c r="M265">
        <f t="shared" si="52"/>
        <v>264</v>
      </c>
      <c r="N265" t="s">
        <v>2755</v>
      </c>
      <c r="O265" s="328" t="s">
        <v>2756</v>
      </c>
      <c r="P265" s="328" t="s">
        <v>2757</v>
      </c>
      <c r="Q265" s="328" t="s">
        <v>2758</v>
      </c>
    </row>
    <row r="266" spans="13:17">
      <c r="M266">
        <f t="shared" si="52"/>
        <v>265</v>
      </c>
      <c r="N266" t="s">
        <v>2176</v>
      </c>
      <c r="O266" s="328" t="s">
        <v>2177</v>
      </c>
      <c r="P266" s="328" t="s">
        <v>2178</v>
      </c>
      <c r="Q266" s="328" t="s">
        <v>2179</v>
      </c>
    </row>
    <row r="267" spans="13:17">
      <c r="M267">
        <f t="shared" si="52"/>
        <v>266</v>
      </c>
      <c r="N267" t="s">
        <v>2759</v>
      </c>
      <c r="O267" s="328" t="s">
        <v>2760</v>
      </c>
      <c r="P267" s="328" t="s">
        <v>2761</v>
      </c>
      <c r="Q267" s="328" t="s">
        <v>2762</v>
      </c>
    </row>
    <row r="268" spans="13:17">
      <c r="M268">
        <f t="shared" ref="M268:M269" si="53">ROW()-1</f>
        <v>267</v>
      </c>
      <c r="N268" t="s">
        <v>2763</v>
      </c>
      <c r="O268" s="328" t="s">
        <v>2764</v>
      </c>
      <c r="P268" s="328" t="s">
        <v>2765</v>
      </c>
      <c r="Q268" s="328" t="s">
        <v>2766</v>
      </c>
    </row>
    <row r="269" spans="13:17">
      <c r="M269">
        <f t="shared" si="53"/>
        <v>268</v>
      </c>
      <c r="N269" t="s">
        <v>2767</v>
      </c>
      <c r="O269" s="328" t="s">
        <v>2768</v>
      </c>
      <c r="P269" s="328" t="s">
        <v>2769</v>
      </c>
      <c r="Q269" s="328" t="s">
        <v>2770</v>
      </c>
    </row>
    <row r="270" spans="13:17">
      <c r="M270">
        <f>ROW()-1</f>
        <v>269</v>
      </c>
      <c r="N270" t="s">
        <v>2771</v>
      </c>
      <c r="O270" s="328" t="s">
        <v>2772</v>
      </c>
      <c r="P270" s="328" t="s">
        <v>2773</v>
      </c>
      <c r="Q270" s="328" t="s">
        <v>2774</v>
      </c>
    </row>
    <row r="271" spans="13:17">
      <c r="M271">
        <f t="shared" si="52"/>
        <v>270</v>
      </c>
      <c r="N271" t="s">
        <v>2775</v>
      </c>
      <c r="O271" s="328" t="s">
        <v>2776</v>
      </c>
      <c r="P271" s="328" t="s">
        <v>2777</v>
      </c>
      <c r="Q271" s="328" t="s">
        <v>2778</v>
      </c>
    </row>
    <row r="272" spans="13:17">
      <c r="M272">
        <f t="shared" si="52"/>
        <v>271</v>
      </c>
      <c r="N272" s="328" t="s">
        <v>2779</v>
      </c>
      <c r="O272" s="328" t="s">
        <v>2780</v>
      </c>
      <c r="P272" s="328" t="s">
        <v>2781</v>
      </c>
      <c r="Q272" s="328" t="s">
        <v>2782</v>
      </c>
    </row>
    <row r="273" spans="13:17">
      <c r="M273">
        <f t="shared" si="52"/>
        <v>272</v>
      </c>
      <c r="N273" t="s">
        <v>2783</v>
      </c>
      <c r="O273" s="328" t="s">
        <v>2784</v>
      </c>
      <c r="P273" s="328" t="s">
        <v>2785</v>
      </c>
      <c r="Q273" s="328" t="s">
        <v>2786</v>
      </c>
    </row>
    <row r="274" spans="13:17">
      <c r="M274">
        <f t="shared" ref="M274:M275" si="54">ROW()-1</f>
        <v>273</v>
      </c>
      <c r="N274" t="s">
        <v>2787</v>
      </c>
      <c r="O274" s="328" t="s">
        <v>2788</v>
      </c>
      <c r="P274" s="328" t="s">
        <v>2789</v>
      </c>
      <c r="Q274" s="328" t="s">
        <v>2790</v>
      </c>
    </row>
    <row r="275" spans="13:17">
      <c r="M275">
        <f t="shared" si="54"/>
        <v>274</v>
      </c>
      <c r="N275" t="s">
        <v>2791</v>
      </c>
      <c r="O275" s="328" t="s">
        <v>2792</v>
      </c>
      <c r="P275" s="328" t="s">
        <v>2793</v>
      </c>
      <c r="Q275" s="328" t="s">
        <v>2794</v>
      </c>
    </row>
    <row r="276" spans="13:17">
      <c r="M276">
        <f t="shared" ref="M276:M287" si="55">ROW()-1</f>
        <v>275</v>
      </c>
      <c r="N276" t="s">
        <v>2795</v>
      </c>
      <c r="O276" s="328" t="s">
        <v>2796</v>
      </c>
      <c r="P276" s="328" t="s">
        <v>2797</v>
      </c>
      <c r="Q276" s="328" t="s">
        <v>2798</v>
      </c>
    </row>
    <row r="277" spans="13:17">
      <c r="M277">
        <f t="shared" si="55"/>
        <v>276</v>
      </c>
      <c r="N277" s="474" t="s">
        <v>2799</v>
      </c>
      <c r="O277" s="474" t="s">
        <v>2800</v>
      </c>
      <c r="P277" s="474" t="s">
        <v>2801</v>
      </c>
      <c r="Q277" s="474" t="s">
        <v>2802</v>
      </c>
    </row>
    <row r="278" spans="13:17">
      <c r="M278">
        <f t="shared" si="55"/>
        <v>277</v>
      </c>
      <c r="N278" s="474" t="s">
        <v>2803</v>
      </c>
      <c r="O278" s="474" t="s">
        <v>2804</v>
      </c>
      <c r="P278" s="474" t="s">
        <v>2805</v>
      </c>
      <c r="Q278" s="474" t="s">
        <v>2806</v>
      </c>
    </row>
    <row r="279" spans="13:17">
      <c r="M279">
        <f t="shared" si="55"/>
        <v>278</v>
      </c>
      <c r="N279" s="474" t="s">
        <v>2807</v>
      </c>
      <c r="O279" s="474" t="s">
        <v>2808</v>
      </c>
      <c r="P279" s="474" t="s">
        <v>2809</v>
      </c>
      <c r="Q279" s="474" t="s">
        <v>2810</v>
      </c>
    </row>
    <row r="280" spans="13:17">
      <c r="M280">
        <f t="shared" si="55"/>
        <v>279</v>
      </c>
      <c r="N280" s="474" t="s">
        <v>2811</v>
      </c>
      <c r="O280" s="34" t="s">
        <v>2812</v>
      </c>
      <c r="P280" s="34" t="s">
        <v>2813</v>
      </c>
      <c r="Q280" s="34" t="s">
        <v>2814</v>
      </c>
    </row>
    <row r="281" spans="13:17">
      <c r="M281">
        <f t="shared" si="55"/>
        <v>280</v>
      </c>
      <c r="N281" s="475" t="s">
        <v>2815</v>
      </c>
      <c r="O281" s="475" t="s">
        <v>2816</v>
      </c>
      <c r="P281" s="475" t="s">
        <v>2817</v>
      </c>
      <c r="Q281" s="475" t="s">
        <v>2818</v>
      </c>
    </row>
    <row r="282" spans="13:17">
      <c r="M282">
        <f t="shared" si="55"/>
        <v>281</v>
      </c>
      <c r="O282" s="328"/>
      <c r="P282" s="328"/>
      <c r="Q282" s="328"/>
    </row>
    <row r="283" spans="13:17">
      <c r="M283">
        <f t="shared" si="55"/>
        <v>282</v>
      </c>
      <c r="O283" s="328"/>
      <c r="P283" s="328"/>
      <c r="Q283" s="328"/>
    </row>
    <row r="284" spans="13:17">
      <c r="M284">
        <f t="shared" si="55"/>
        <v>283</v>
      </c>
      <c r="O284" s="328"/>
      <c r="P284" s="328"/>
      <c r="Q284" s="328"/>
    </row>
    <row r="285" spans="13:17">
      <c r="M285">
        <f t="shared" si="55"/>
        <v>284</v>
      </c>
      <c r="O285" s="328"/>
      <c r="P285" s="328"/>
      <c r="Q285" s="328"/>
    </row>
    <row r="286" spans="13:17">
      <c r="M286">
        <f t="shared" si="55"/>
        <v>285</v>
      </c>
      <c r="O286" s="328"/>
      <c r="P286" s="328"/>
      <c r="Q286" s="328"/>
    </row>
    <row r="287" spans="13:17">
      <c r="M287">
        <f t="shared" si="55"/>
        <v>286</v>
      </c>
      <c r="O287" s="328"/>
      <c r="P287" s="328"/>
      <c r="Q287" s="328"/>
    </row>
    <row r="288" spans="13:17">
      <c r="M288">
        <f t="shared" si="52"/>
        <v>287</v>
      </c>
      <c r="O288" s="328"/>
      <c r="P288" s="328"/>
      <c r="Q288" s="328"/>
    </row>
    <row r="289" spans="13:17">
      <c r="M289">
        <f t="shared" si="52"/>
        <v>288</v>
      </c>
      <c r="N289" t="s">
        <v>2059</v>
      </c>
      <c r="O289" s="328" t="s">
        <v>2060</v>
      </c>
      <c r="P289" s="328" t="s">
        <v>2819</v>
      </c>
      <c r="Q289" s="328" t="s">
        <v>2062</v>
      </c>
    </row>
    <row r="290" spans="13:17">
      <c r="M290">
        <f t="shared" si="52"/>
        <v>289</v>
      </c>
      <c r="N290" t="s">
        <v>2584</v>
      </c>
      <c r="O290" s="328" t="s">
        <v>2585</v>
      </c>
      <c r="P290" s="328" t="s">
        <v>2586</v>
      </c>
      <c r="Q290" s="328" t="s">
        <v>2587</v>
      </c>
    </row>
    <row r="291" spans="13:17">
      <c r="M291">
        <f t="shared" si="52"/>
        <v>290</v>
      </c>
      <c r="N291" t="s">
        <v>2592</v>
      </c>
      <c r="O291" s="328" t="s">
        <v>2593</v>
      </c>
      <c r="P291" s="328" t="s">
        <v>2820</v>
      </c>
      <c r="Q291" s="328" t="s">
        <v>2821</v>
      </c>
    </row>
    <row r="292" spans="13:17">
      <c r="M292">
        <f t="shared" si="52"/>
        <v>291</v>
      </c>
      <c r="N292" t="s">
        <v>2822</v>
      </c>
      <c r="O292" s="328" t="s">
        <v>2823</v>
      </c>
      <c r="P292" s="328" t="s">
        <v>2824</v>
      </c>
      <c r="Q292" s="328" t="s">
        <v>2825</v>
      </c>
    </row>
    <row r="293" spans="13:17">
      <c r="M293">
        <f t="shared" si="52"/>
        <v>292</v>
      </c>
      <c r="N293" t="s">
        <v>2180</v>
      </c>
      <c r="O293" s="328" t="s">
        <v>2181</v>
      </c>
      <c r="P293" s="328" t="s">
        <v>2182</v>
      </c>
      <c r="Q293" s="328" t="s">
        <v>2183</v>
      </c>
    </row>
    <row r="294" spans="13:17">
      <c r="M294">
        <f t="shared" si="52"/>
        <v>293</v>
      </c>
      <c r="N294" t="s">
        <v>2826</v>
      </c>
      <c r="O294" s="328" t="s">
        <v>2827</v>
      </c>
      <c r="P294" s="328" t="s">
        <v>2828</v>
      </c>
      <c r="Q294" s="328" t="s">
        <v>2829</v>
      </c>
    </row>
    <row r="295" spans="13:17">
      <c r="M295">
        <f t="shared" si="52"/>
        <v>294</v>
      </c>
      <c r="N295" t="s">
        <v>2830</v>
      </c>
      <c r="O295" t="s">
        <v>2831</v>
      </c>
      <c r="P295" t="s">
        <v>2832</v>
      </c>
      <c r="Q295" t="s">
        <v>2833</v>
      </c>
    </row>
    <row r="296" spans="13:17">
      <c r="M296">
        <f t="shared" ref="M296:M300" si="56">ROW()-1</f>
        <v>295</v>
      </c>
      <c r="O296" s="328"/>
      <c r="P296" s="328"/>
      <c r="Q296" s="328"/>
    </row>
    <row r="297" spans="13:17">
      <c r="M297">
        <f t="shared" si="56"/>
        <v>296</v>
      </c>
      <c r="O297" s="328"/>
      <c r="P297" s="328"/>
      <c r="Q297" s="328"/>
    </row>
    <row r="298" spans="13:17">
      <c r="M298">
        <f t="shared" si="56"/>
        <v>297</v>
      </c>
      <c r="O298" s="328"/>
      <c r="P298" s="328"/>
      <c r="Q298" s="328"/>
    </row>
    <row r="299" spans="13:17">
      <c r="M299">
        <f t="shared" si="56"/>
        <v>298</v>
      </c>
      <c r="N299" t="s">
        <v>2059</v>
      </c>
      <c r="O299" s="328" t="s">
        <v>2060</v>
      </c>
      <c r="P299" s="328" t="s">
        <v>2819</v>
      </c>
      <c r="Q299" s="328" t="s">
        <v>2062</v>
      </c>
    </row>
    <row r="300" spans="13:17">
      <c r="M300">
        <f t="shared" si="56"/>
        <v>299</v>
      </c>
      <c r="N300" t="s">
        <v>2103</v>
      </c>
      <c r="O300" s="328" t="s">
        <v>2104</v>
      </c>
      <c r="P300" s="328" t="s">
        <v>2105</v>
      </c>
      <c r="Q300" s="328" t="s">
        <v>2106</v>
      </c>
    </row>
    <row r="301" spans="13:17">
      <c r="M301">
        <f t="shared" ref="M301:M305" si="57">ROW()-1</f>
        <v>300</v>
      </c>
      <c r="N301" t="s">
        <v>2834</v>
      </c>
      <c r="O301" s="328" t="s">
        <v>2133</v>
      </c>
      <c r="P301" s="328" t="s">
        <v>2835</v>
      </c>
      <c r="Q301" s="328" t="s">
        <v>2836</v>
      </c>
    </row>
    <row r="302" spans="13:17">
      <c r="M302">
        <f t="shared" si="57"/>
        <v>301</v>
      </c>
      <c r="O302" s="328"/>
      <c r="P302" s="328"/>
      <c r="Q302" s="328"/>
    </row>
    <row r="303" spans="13:17">
      <c r="M303">
        <f t="shared" si="57"/>
        <v>302</v>
      </c>
      <c r="O303" s="328"/>
      <c r="P303" s="328"/>
      <c r="Q303" s="328"/>
    </row>
    <row r="304" spans="13:17">
      <c r="M304">
        <f t="shared" si="57"/>
        <v>303</v>
      </c>
      <c r="O304" s="328"/>
      <c r="P304" s="328"/>
      <c r="Q304" s="328"/>
    </row>
    <row r="305" spans="13:17">
      <c r="M305">
        <f t="shared" si="57"/>
        <v>304</v>
      </c>
      <c r="O305" s="328"/>
      <c r="P305" s="328"/>
      <c r="Q305" s="328"/>
    </row>
    <row r="306" spans="13:17">
      <c r="M306">
        <f t="shared" si="52"/>
        <v>305</v>
      </c>
      <c r="O306" s="328"/>
      <c r="P306" s="328"/>
      <c r="Q306" s="328"/>
    </row>
    <row r="307" spans="13:17">
      <c r="M307">
        <f t="shared" si="52"/>
        <v>306</v>
      </c>
      <c r="O307" s="328"/>
      <c r="P307" s="328"/>
      <c r="Q307" s="328"/>
    </row>
    <row r="308" spans="13:17">
      <c r="M308">
        <f t="shared" ref="M308:M321" si="58">ROW()-1</f>
        <v>307</v>
      </c>
      <c r="O308" s="328"/>
      <c r="P308" s="328"/>
      <c r="Q308" s="328"/>
    </row>
    <row r="309" spans="13:17">
      <c r="M309">
        <f t="shared" si="58"/>
        <v>308</v>
      </c>
      <c r="N309" t="s">
        <v>2059</v>
      </c>
      <c r="O309" s="328" t="s">
        <v>2060</v>
      </c>
      <c r="P309" s="328" t="s">
        <v>2819</v>
      </c>
      <c r="Q309" s="328" t="s">
        <v>2062</v>
      </c>
    </row>
    <row r="310" spans="13:17">
      <c r="M310">
        <f t="shared" si="58"/>
        <v>309</v>
      </c>
      <c r="N310" t="s">
        <v>2837</v>
      </c>
      <c r="O310" s="328" t="s">
        <v>2838</v>
      </c>
      <c r="P310" s="328" t="s">
        <v>2839</v>
      </c>
      <c r="Q310" s="328" t="s">
        <v>2840</v>
      </c>
    </row>
    <row r="311" spans="13:17">
      <c r="M311">
        <f t="shared" si="58"/>
        <v>310</v>
      </c>
      <c r="N311" t="s">
        <v>2592</v>
      </c>
      <c r="O311" s="328" t="s">
        <v>2593</v>
      </c>
      <c r="P311" s="328" t="s">
        <v>2820</v>
      </c>
      <c r="Q311" s="328" t="s">
        <v>2821</v>
      </c>
    </row>
    <row r="312" spans="13:17">
      <c r="M312">
        <f t="shared" si="58"/>
        <v>311</v>
      </c>
      <c r="N312" t="s">
        <v>2841</v>
      </c>
      <c r="O312" s="328" t="s">
        <v>2842</v>
      </c>
      <c r="P312" s="328" t="s">
        <v>2843</v>
      </c>
      <c r="Q312" t="s">
        <v>2844</v>
      </c>
    </row>
    <row r="313" spans="13:17">
      <c r="M313">
        <f t="shared" si="58"/>
        <v>312</v>
      </c>
      <c r="O313" s="328"/>
      <c r="P313" s="328"/>
    </row>
    <row r="314" spans="13:17">
      <c r="M314">
        <f t="shared" si="58"/>
        <v>313</v>
      </c>
      <c r="O314" s="328"/>
      <c r="P314" s="328"/>
    </row>
    <row r="315" spans="13:17">
      <c r="M315">
        <f t="shared" si="58"/>
        <v>314</v>
      </c>
      <c r="O315" s="328"/>
      <c r="P315" s="328"/>
    </row>
    <row r="316" spans="13:17">
      <c r="M316">
        <f t="shared" si="58"/>
        <v>315</v>
      </c>
      <c r="O316" s="328"/>
      <c r="P316" s="328"/>
    </row>
    <row r="317" spans="13:17">
      <c r="M317">
        <f t="shared" si="58"/>
        <v>316</v>
      </c>
      <c r="O317" s="328"/>
      <c r="P317" s="328"/>
    </row>
    <row r="318" spans="13:17">
      <c r="M318">
        <f t="shared" si="58"/>
        <v>317</v>
      </c>
      <c r="O318" s="328"/>
      <c r="P318" s="328"/>
    </row>
    <row r="319" spans="13:17">
      <c r="M319">
        <f t="shared" si="58"/>
        <v>318</v>
      </c>
      <c r="N319" t="s">
        <v>2059</v>
      </c>
      <c r="O319" s="328" t="s">
        <v>2060</v>
      </c>
      <c r="P319" s="328" t="s">
        <v>2819</v>
      </c>
      <c r="Q319" s="328" t="s">
        <v>2062</v>
      </c>
    </row>
    <row r="320" spans="13:17">
      <c r="M320">
        <f t="shared" si="58"/>
        <v>319</v>
      </c>
      <c r="N320" t="s">
        <v>2103</v>
      </c>
      <c r="O320" s="328" t="s">
        <v>2104</v>
      </c>
      <c r="P320" s="328" t="s">
        <v>2105</v>
      </c>
      <c r="Q320" s="328" t="s">
        <v>2106</v>
      </c>
    </row>
    <row r="321" spans="13:17">
      <c r="M321">
        <f t="shared" si="58"/>
        <v>320</v>
      </c>
      <c r="N321" t="s">
        <v>2834</v>
      </c>
      <c r="O321" s="328" t="s">
        <v>2133</v>
      </c>
      <c r="P321" s="328" t="s">
        <v>2835</v>
      </c>
      <c r="Q321" t="s">
        <v>2836</v>
      </c>
    </row>
    <row r="322" spans="13:17">
      <c r="M322">
        <f t="shared" ref="M322:M334" si="59">ROW()-1</f>
        <v>321</v>
      </c>
      <c r="N322" s="453" t="s">
        <v>2822</v>
      </c>
      <c r="O322" s="469" t="s">
        <v>2823</v>
      </c>
      <c r="P322" s="469" t="s">
        <v>2824</v>
      </c>
      <c r="Q322" s="468" t="s">
        <v>2825</v>
      </c>
    </row>
    <row r="323" spans="13:17">
      <c r="M323">
        <f t="shared" si="59"/>
        <v>322</v>
      </c>
      <c r="N323" t="s">
        <v>2845</v>
      </c>
      <c r="O323" s="328" t="s">
        <v>2846</v>
      </c>
      <c r="P323" s="328" t="s">
        <v>2847</v>
      </c>
      <c r="Q323" t="s">
        <v>2848</v>
      </c>
    </row>
    <row r="324" spans="13:17">
      <c r="M324">
        <f t="shared" si="59"/>
        <v>323</v>
      </c>
      <c r="N324" s="453" t="s">
        <v>2849</v>
      </c>
      <c r="O324" s="469" t="s">
        <v>2850</v>
      </c>
      <c r="P324" s="469" t="s">
        <v>2851</v>
      </c>
      <c r="Q324" s="454" t="s">
        <v>2852</v>
      </c>
    </row>
    <row r="325" spans="13:17">
      <c r="M325">
        <f t="shared" si="59"/>
        <v>324</v>
      </c>
      <c r="N325" t="s">
        <v>2853</v>
      </c>
      <c r="O325" s="328" t="s">
        <v>2854</v>
      </c>
      <c r="P325" s="328" t="s">
        <v>2855</v>
      </c>
      <c r="Q325" t="s">
        <v>2856</v>
      </c>
    </row>
    <row r="326" spans="13:17">
      <c r="M326">
        <f t="shared" si="59"/>
        <v>325</v>
      </c>
      <c r="N326" s="453" t="s">
        <v>2857</v>
      </c>
      <c r="O326" s="469" t="s">
        <v>2858</v>
      </c>
      <c r="P326" s="469" t="s">
        <v>2859</v>
      </c>
      <c r="Q326" s="454" t="s">
        <v>2860</v>
      </c>
    </row>
    <row r="327" spans="13:17">
      <c r="M327">
        <f t="shared" si="59"/>
        <v>326</v>
      </c>
      <c r="N327" t="s">
        <v>2861</v>
      </c>
      <c r="O327" s="328" t="s">
        <v>2862</v>
      </c>
      <c r="P327" s="328" t="s">
        <v>2863</v>
      </c>
      <c r="Q327" s="328" t="s">
        <v>2864</v>
      </c>
    </row>
    <row r="328" spans="13:17">
      <c r="M328">
        <f t="shared" si="59"/>
        <v>327</v>
      </c>
      <c r="O328" s="328"/>
      <c r="P328" s="328"/>
    </row>
    <row r="329" spans="13:17">
      <c r="M329">
        <f t="shared" si="59"/>
        <v>328</v>
      </c>
      <c r="N329" t="s">
        <v>2865</v>
      </c>
      <c r="O329" s="328" t="s">
        <v>2866</v>
      </c>
      <c r="P329" s="328" t="s">
        <v>2867</v>
      </c>
      <c r="Q329" s="328" t="s">
        <v>2868</v>
      </c>
    </row>
    <row r="330" spans="13:17">
      <c r="M330">
        <f t="shared" si="59"/>
        <v>329</v>
      </c>
      <c r="N330" t="s">
        <v>2869</v>
      </c>
      <c r="O330" s="328" t="s">
        <v>2870</v>
      </c>
      <c r="P330" s="328" t="s">
        <v>2871</v>
      </c>
      <c r="Q330" s="467" t="s">
        <v>2872</v>
      </c>
    </row>
    <row r="331" spans="13:17">
      <c r="M331">
        <f t="shared" si="59"/>
        <v>330</v>
      </c>
      <c r="O331" s="328"/>
    </row>
    <row r="332" spans="13:17">
      <c r="M332">
        <f t="shared" si="59"/>
        <v>331</v>
      </c>
      <c r="O332" s="328"/>
    </row>
    <row r="333" spans="13:17">
      <c r="M333">
        <f t="shared" si="59"/>
        <v>332</v>
      </c>
      <c r="O333" s="328"/>
    </row>
    <row r="334" spans="13:17">
      <c r="M334">
        <f t="shared" si="59"/>
        <v>333</v>
      </c>
      <c r="O334" s="328"/>
    </row>
    <row r="335" spans="13:17">
      <c r="M335">
        <f t="shared" ref="M335:M340" si="60">ROW()-1</f>
        <v>334</v>
      </c>
      <c r="O335" s="328"/>
    </row>
    <row r="336" spans="13:17">
      <c r="M336">
        <f t="shared" si="60"/>
        <v>335</v>
      </c>
      <c r="O336" s="328"/>
    </row>
    <row r="337" spans="13:17">
      <c r="M337">
        <f t="shared" si="60"/>
        <v>336</v>
      </c>
      <c r="O337" s="328"/>
    </row>
    <row r="338" spans="13:17">
      <c r="M338">
        <f t="shared" si="60"/>
        <v>337</v>
      </c>
      <c r="O338" s="328"/>
    </row>
    <row r="339" spans="13:17">
      <c r="M339">
        <f t="shared" si="60"/>
        <v>338</v>
      </c>
      <c r="N339" t="s">
        <v>2873</v>
      </c>
      <c r="O339" s="328" t="s">
        <v>2874</v>
      </c>
      <c r="P339" s="328" t="s">
        <v>2875</v>
      </c>
      <c r="Q339" s="328" t="s">
        <v>2876</v>
      </c>
    </row>
    <row r="340" spans="13:17">
      <c r="M340">
        <f t="shared" si="60"/>
        <v>339</v>
      </c>
      <c r="N340" t="s">
        <v>2877</v>
      </c>
      <c r="O340" s="328" t="s">
        <v>2878</v>
      </c>
      <c r="P340" s="328" t="s">
        <v>2879</v>
      </c>
      <c r="Q340" s="328" t="s">
        <v>2880</v>
      </c>
    </row>
    <row r="341" spans="13:17">
      <c r="M341">
        <f t="shared" ref="M341:M345" si="61">ROW()-1</f>
        <v>340</v>
      </c>
      <c r="N341" s="328" t="s">
        <v>2881</v>
      </c>
      <c r="O341" s="328" t="s">
        <v>2882</v>
      </c>
      <c r="P341" s="328" t="s">
        <v>2883</v>
      </c>
      <c r="Q341" s="328" t="s">
        <v>2884</v>
      </c>
    </row>
    <row r="342" spans="13:17">
      <c r="M342">
        <f t="shared" si="61"/>
        <v>341</v>
      </c>
      <c r="N342" t="s">
        <v>2885</v>
      </c>
      <c r="O342" t="s">
        <v>2886</v>
      </c>
      <c r="P342" t="s">
        <v>2887</v>
      </c>
      <c r="Q342" t="s">
        <v>2888</v>
      </c>
    </row>
    <row r="343" spans="13:17">
      <c r="M343">
        <f>ROW()-1</f>
        <v>342</v>
      </c>
      <c r="N343" t="s">
        <v>2889</v>
      </c>
      <c r="O343" t="s">
        <v>2890</v>
      </c>
      <c r="P343" t="s">
        <v>2891</v>
      </c>
      <c r="Q343" t="s">
        <v>2892</v>
      </c>
    </row>
    <row r="344" spans="13:17">
      <c r="M344">
        <f>ROW()-1</f>
        <v>343</v>
      </c>
      <c r="N344" t="s">
        <v>2893</v>
      </c>
      <c r="O344" t="s">
        <v>2894</v>
      </c>
      <c r="P344" t="s">
        <v>2895</v>
      </c>
      <c r="Q344" t="s">
        <v>2896</v>
      </c>
    </row>
    <row r="345" spans="13:17">
      <c r="M345">
        <f t="shared" si="61"/>
        <v>344</v>
      </c>
      <c r="N345" t="s">
        <v>2897</v>
      </c>
      <c r="O345" t="s">
        <v>2898</v>
      </c>
      <c r="P345" t="s">
        <v>2899</v>
      </c>
      <c r="Q345" t="s">
        <v>2900</v>
      </c>
    </row>
  </sheetData>
  <sheetProtection algorithmName="SHA-512" hashValue="5Um/SB9S7flZaVsTqhwJTuIYS5f5rU8AGSxXVtGHfZktqtVFH9cku17MOm63nql0CgDjfdz/+/JIrHQgD645Vg==" saltValue="cZ/wIvSy1e1F3RE4LQVxmA==" spinCount="100000" sheet="1" objects="1" scenarios="1"/>
  <dataValidations count="1">
    <dataValidation allowBlank="1" showInputMessage="1" showErrorMessage="1" sqref="F2" xr:uid="{00000000-0002-0000-0C00-000000000000}"/>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3">
    <tabColor rgb="FF004976"/>
  </sheetPr>
  <dimension ref="A2:CJ364"/>
  <sheetViews>
    <sheetView showGridLines="0" showRowColHeaders="0" topLeftCell="A64" zoomScale="85" zoomScaleNormal="85" workbookViewId="0">
      <pane xSplit="7" topLeftCell="V1" activePane="topRight" state="frozen"/>
      <selection activeCell="B3" sqref="B3:C3"/>
      <selection pane="topRight" activeCell="X89" sqref="X89"/>
    </sheetView>
  </sheetViews>
  <sheetFormatPr baseColWidth="10" defaultColWidth="10.796875" defaultRowHeight="12.5" customHeight="1"/>
  <cols>
    <col min="1" max="1" width="2.3984375" style="80" customWidth="1"/>
    <col min="2" max="2" width="2.3984375" style="1" customWidth="1"/>
    <col min="3" max="3" width="52" style="9" customWidth="1"/>
    <col min="4" max="4" width="23.59765625" style="1" customWidth="1"/>
    <col min="5" max="5" width="10.59765625" style="283" bestFit="1" customWidth="1"/>
    <col min="6" max="6" width="14.19921875" style="37" customWidth="1"/>
    <col min="7" max="7" width="2.3984375" style="47" customWidth="1"/>
    <col min="8" max="19" width="12" style="99" customWidth="1"/>
    <col min="20" max="23" width="12" style="20" customWidth="1"/>
    <col min="24" max="24" width="12" style="111" customWidth="1"/>
    <col min="25" max="88" width="12" style="37" customWidth="1"/>
    <col min="89" max="16384" width="10.796875" style="1"/>
  </cols>
  <sheetData>
    <row r="2" spans="1:88" s="152" customFormat="1" ht="26" customHeight="1">
      <c r="A2" s="77"/>
      <c r="B2" s="493" t="str">
        <f>UPPER(RIGHT(Inhaltsverzeichnis!$C$7,LEN(Inhaltsverzeichnis!$C$7)-FIND(" – ",Inhaltsverzeichnis!$C$7,1)-2))</f>
        <v>DIVULGAZIONI GENERALI</v>
      </c>
      <c r="C2" s="493"/>
      <c r="D2" s="489" t="str">
        <f>VLOOKUP(35,Textbausteine_Menu[],Hilfsgrössen!$D$2,FALSE)</f>
        <v>torna alla tabella dei contenuti</v>
      </c>
      <c r="E2" s="490"/>
      <c r="F2" s="144" t="s">
        <v>0</v>
      </c>
      <c r="G2" s="168"/>
      <c r="H2" s="156"/>
      <c r="I2" s="156"/>
      <c r="J2" s="156"/>
      <c r="K2" s="156"/>
      <c r="L2" s="156"/>
      <c r="M2" s="156"/>
      <c r="N2" s="156"/>
      <c r="O2" s="156"/>
      <c r="P2" s="156"/>
      <c r="Q2" s="156"/>
      <c r="R2" s="156"/>
      <c r="S2" s="156"/>
      <c r="T2" s="293"/>
      <c r="U2" s="293"/>
      <c r="V2" s="293"/>
      <c r="W2" s="293"/>
      <c r="X2" s="108"/>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row>
    <row r="3" spans="1:88" s="153" customFormat="1" ht="26" customHeight="1">
      <c r="A3" s="78"/>
      <c r="B3" s="494" t="str">
        <f>UPPER("GRI "&amp;LEFT(Inhaltsverzeichnis!$C$7,3))</f>
        <v>GRI 102</v>
      </c>
      <c r="C3" s="494"/>
      <c r="D3" s="481"/>
      <c r="E3" s="281"/>
      <c r="F3" s="38"/>
      <c r="G3" s="45"/>
      <c r="H3" s="93"/>
      <c r="I3" s="93"/>
      <c r="J3" s="93"/>
      <c r="K3" s="93"/>
      <c r="L3" s="93"/>
      <c r="M3" s="93"/>
      <c r="N3" s="93"/>
      <c r="O3" s="93"/>
      <c r="P3" s="93"/>
      <c r="Q3" s="93"/>
      <c r="R3" s="93"/>
      <c r="S3" s="93"/>
      <c r="T3" s="115"/>
      <c r="U3" s="115"/>
      <c r="V3" s="115"/>
      <c r="W3" s="115"/>
      <c r="X3" s="109"/>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6" spans="1:88" s="31" customFormat="1" ht="12.5" customHeight="1">
      <c r="A6" s="79"/>
      <c r="B6" s="6" t="str">
        <f>VLOOKUP(31,Textbausteine_Menu[],Hilfsgrössen!$D$2,FALSE)</f>
        <v>Divulgazioni</v>
      </c>
      <c r="C6" s="6"/>
      <c r="E6" s="282"/>
      <c r="F6" s="39"/>
      <c r="G6" s="46"/>
      <c r="H6" s="95"/>
      <c r="I6" s="95"/>
      <c r="J6" s="95"/>
      <c r="K6" s="95"/>
      <c r="L6" s="95"/>
      <c r="M6" s="95"/>
      <c r="N6" s="95"/>
      <c r="O6" s="95"/>
      <c r="P6" s="95"/>
      <c r="Q6" s="95"/>
      <c r="R6" s="95"/>
      <c r="S6" s="95"/>
      <c r="T6" s="116"/>
      <c r="U6" s="116"/>
      <c r="V6" s="116"/>
      <c r="W6" s="116"/>
      <c r="X6" s="110"/>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row>
    <row r="7" spans="1:88" ht="12.5" customHeight="1">
      <c r="B7" s="2"/>
      <c r="C7" s="147" t="str">
        <f>VLOOKUP(1,Textbausteine_102[],Hilfsgrössen!$D$2,FALSE)</f>
        <v>Quote di mercato</v>
      </c>
      <c r="D7" s="4"/>
    </row>
    <row r="8" spans="1:88" ht="12.5" customHeight="1">
      <c r="B8" s="2"/>
      <c r="C8" s="147" t="str">
        <f>VLOOKUP(2,Textbausteine_102[],Hilfsgrössen!$D$2,FALSE)</f>
        <v>Finanziamento</v>
      </c>
      <c r="D8" s="4"/>
    </row>
    <row r="9" spans="1:88" ht="12.5" customHeight="1">
      <c r="B9" s="2"/>
      <c r="C9" s="147" t="str">
        <f>VLOOKUP(3,Textbausteine_102[],Hilfsgrössen!$D$2,FALSE)</f>
        <v>Cash flow e investimenti</v>
      </c>
      <c r="D9" s="4"/>
    </row>
    <row r="10" spans="1:88" ht="12.5" customHeight="1">
      <c r="B10" s="2"/>
      <c r="C10" s="147" t="str">
        <f>VLOOKUP(4,Textbausteine_102[],Hilfsgrössen!$D$2,FALSE)</f>
        <v>Evoluzione dei volumi</v>
      </c>
      <c r="D10" s="4"/>
    </row>
    <row r="11" spans="1:88" ht="12.5" customHeight="1">
      <c r="B11" s="2"/>
      <c r="C11" s="147" t="str">
        <f>VLOOKUP(5,Textbausteine_102[],Hilfsgrössen!$D$2,FALSE)</f>
        <v>Volume traffico dei pagamenti</v>
      </c>
      <c r="D11" s="4"/>
    </row>
    <row r="12" spans="1:88" ht="12.5" customHeight="1">
      <c r="B12" s="2"/>
      <c r="C12" s="147" t="str">
        <f>VLOOKUP(6,Textbausteine_102[],Hilfsgrössen!$D$2,FALSE)</f>
        <v>Organico</v>
      </c>
      <c r="D12" s="4"/>
    </row>
    <row r="13" spans="1:88" ht="12.5" customHeight="1">
      <c r="B13" s="2"/>
      <c r="C13" s="147" t="str">
        <f>VLOOKUP(7,Textbausteine_102[],Hilfsgrössen!$D$2,FALSE)</f>
        <v>Distribuzione per genere</v>
      </c>
      <c r="D13" s="4"/>
    </row>
    <row r="14" spans="1:88" ht="12.5" customHeight="1">
      <c r="B14" s="2"/>
      <c r="C14" s="147" t="str">
        <f>VLOOKUP(8,Textbausteine_102[],Hilfsgrössen!$D$2,FALSE)</f>
        <v>Tempo parziale</v>
      </c>
      <c r="D14" s="4"/>
    </row>
    <row r="15" spans="1:88" ht="12.5" customHeight="1">
      <c r="B15" s="2"/>
      <c r="C15" s="147" t="str">
        <f>VLOOKUP(9,Textbausteine_102[],Hilfsgrössen!$D$2,FALSE)</f>
        <v>Rapporto d'impiego</v>
      </c>
      <c r="D15" s="4"/>
      <c r="E15" s="284"/>
      <c r="F15" s="40"/>
      <c r="G15" s="48"/>
    </row>
    <row r="16" spans="1:88" ht="12.5" customHeight="1">
      <c r="B16" s="2"/>
      <c r="C16" s="147" t="str">
        <f>VLOOKUP(10,Textbausteine_102[],Hilfsgrössen!$D$2,FALSE)</f>
        <v>Catena di distribuzione</v>
      </c>
      <c r="D16" s="4"/>
      <c r="E16" s="284"/>
      <c r="F16" s="40"/>
      <c r="G16" s="48"/>
    </row>
    <row r="17" spans="1:88" ht="12.5" customHeight="1">
      <c r="B17" s="2"/>
      <c r="C17" s="147" t="str">
        <f>VLOOKUP(11,Textbausteine_102[],Hilfsgrössen!$D$2,FALSE)</f>
        <v>Soddisfazione dei clienti</v>
      </c>
      <c r="D17" s="4"/>
    </row>
    <row r="18" spans="1:88" ht="12.5" customHeight="1">
      <c r="B18" s="2"/>
      <c r="E18" s="285"/>
      <c r="F18" s="11"/>
      <c r="G18" s="49"/>
    </row>
    <row r="19" spans="1:88" ht="12.5" customHeight="1">
      <c r="B19" s="2"/>
      <c r="E19" s="285"/>
      <c r="F19" s="11"/>
      <c r="G19" s="49"/>
    </row>
    <row r="20" spans="1:88" s="151" customFormat="1" ht="12.5" customHeight="1">
      <c r="A20" s="61" t="s">
        <v>27</v>
      </c>
      <c r="B20" s="495" t="str">
        <f>$C$7</f>
        <v>Quote di mercato</v>
      </c>
      <c r="C20" s="495"/>
      <c r="D20" s="479" t="str">
        <f>VLOOKUP(32,Textbausteine_Menu[],Hilfsgrössen!$D$2,FALSE)</f>
        <v>Unità</v>
      </c>
      <c r="E20" s="286" t="str">
        <f>VLOOKUP(33,Textbausteine_Menu[],Hilfsgrössen!$D$2,FALSE)</f>
        <v>Note</v>
      </c>
      <c r="F20" s="40" t="str">
        <f>VLOOKUP(34,Textbausteine_Menu[],Hilfsgrössen!$D$2,FALSE)</f>
        <v>GRI</v>
      </c>
      <c r="G20" s="48"/>
      <c r="H20" s="157">
        <v>2004</v>
      </c>
      <c r="I20" s="157">
        <v>2005</v>
      </c>
      <c r="J20" s="157">
        <v>2006</v>
      </c>
      <c r="K20" s="157">
        <v>2007</v>
      </c>
      <c r="L20" s="157">
        <v>2008</v>
      </c>
      <c r="M20" s="157">
        <v>2009</v>
      </c>
      <c r="N20" s="157">
        <v>2010</v>
      </c>
      <c r="O20" s="157">
        <v>2011</v>
      </c>
      <c r="P20" s="157">
        <v>2012</v>
      </c>
      <c r="Q20" s="157">
        <v>2013</v>
      </c>
      <c r="R20" s="157">
        <v>2014</v>
      </c>
      <c r="S20" s="157">
        <v>2015</v>
      </c>
      <c r="T20" s="119">
        <v>2016</v>
      </c>
      <c r="U20" s="119">
        <v>2017</v>
      </c>
      <c r="V20" s="119">
        <v>2018</v>
      </c>
      <c r="W20" s="119">
        <v>2019</v>
      </c>
      <c r="X20" s="247">
        <v>2020</v>
      </c>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row>
    <row r="21" spans="1:88" s="60" customFormat="1" ht="12.5" customHeight="1">
      <c r="A21" s="81"/>
      <c r="B21" s="495"/>
      <c r="C21" s="495"/>
      <c r="D21" s="59"/>
      <c r="E21" s="282"/>
      <c r="F21" s="39"/>
      <c r="G21" s="49"/>
      <c r="H21" s="158"/>
      <c r="I21" s="158"/>
      <c r="J21" s="158"/>
      <c r="K21" s="158"/>
      <c r="L21" s="158"/>
      <c r="M21" s="158"/>
      <c r="N21" s="158"/>
      <c r="O21" s="158"/>
      <c r="P21" s="158"/>
      <c r="Q21" s="158"/>
      <c r="R21" s="158"/>
      <c r="S21" s="158"/>
      <c r="T21" s="118"/>
      <c r="U21" s="118"/>
      <c r="V21" s="118"/>
      <c r="W21" s="118"/>
      <c r="X21" s="248"/>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row>
    <row r="22" spans="1:88" ht="12.5" customHeight="1">
      <c r="B22" s="8"/>
      <c r="D22" s="9"/>
      <c r="E22" s="287"/>
      <c r="F22" s="11"/>
      <c r="G22" s="46"/>
      <c r="X22" s="249"/>
    </row>
    <row r="23" spans="1:88" ht="12.5" customHeight="1">
      <c r="B23" s="8" t="str">
        <f>VLOOKUP(45,Textbausteine_Menu[],Hilfsgrössen!$D$2,FALSE)</f>
        <v>PostMail</v>
      </c>
      <c r="D23" s="66"/>
      <c r="E23" s="287"/>
      <c r="F23" s="11"/>
      <c r="T23" s="106"/>
      <c r="U23" s="106"/>
      <c r="V23" s="106"/>
      <c r="W23" s="106"/>
      <c r="X23" s="250"/>
    </row>
    <row r="24" spans="1:88" ht="12.5" customHeight="1">
      <c r="B24" s="8"/>
      <c r="C24" s="66" t="str">
        <f>VLOOKUP(41,Textbausteine_102[],Hilfsgrössen!$D$2,FALSE)</f>
        <v>Importazione ed esportazione di posta</v>
      </c>
      <c r="D24" s="66" t="str">
        <f>VLOOKUP(21,Textbausteine_102[],Hilfsgrössen!$D$2,FALSE)</f>
        <v>%</v>
      </c>
      <c r="E24" s="287" t="s">
        <v>28</v>
      </c>
      <c r="F24" s="11" t="s">
        <v>29</v>
      </c>
      <c r="G24" s="166"/>
      <c r="H24" s="375" t="s">
        <v>30</v>
      </c>
      <c r="I24" s="375" t="s">
        <v>30</v>
      </c>
      <c r="J24" s="354">
        <v>83</v>
      </c>
      <c r="K24" s="336">
        <v>82</v>
      </c>
      <c r="L24" s="336">
        <v>82</v>
      </c>
      <c r="M24" s="336">
        <v>85</v>
      </c>
      <c r="N24" s="336">
        <v>85</v>
      </c>
      <c r="O24" s="336">
        <v>86</v>
      </c>
      <c r="P24" s="336">
        <v>86</v>
      </c>
      <c r="Q24" s="336">
        <v>85</v>
      </c>
      <c r="R24" s="336">
        <v>84</v>
      </c>
      <c r="S24" s="336">
        <v>83</v>
      </c>
      <c r="T24" s="347">
        <v>83</v>
      </c>
      <c r="U24" s="347">
        <v>82</v>
      </c>
      <c r="V24" s="347">
        <v>81</v>
      </c>
      <c r="W24" s="347">
        <v>80</v>
      </c>
      <c r="X24" s="376">
        <v>80</v>
      </c>
      <c r="Y24" s="11"/>
    </row>
    <row r="25" spans="1:88" ht="12.5" customHeight="1">
      <c r="C25" s="76"/>
      <c r="D25" s="66"/>
      <c r="E25" s="287"/>
      <c r="F25" s="11"/>
      <c r="H25" s="20"/>
      <c r="I25" s="20"/>
      <c r="J25" s="20"/>
      <c r="K25" s="20"/>
      <c r="L25" s="20"/>
      <c r="M25" s="20"/>
      <c r="N25" s="20"/>
      <c r="T25" s="106"/>
      <c r="U25" s="106"/>
      <c r="V25" s="106"/>
      <c r="W25" s="106"/>
      <c r="X25" s="250"/>
    </row>
    <row r="26" spans="1:88" ht="12.5" customHeight="1">
      <c r="B26" s="8" t="str">
        <f>VLOOKUP(48,Textbausteine_Menu[],Hilfsgrössen!$D$2,FALSE)</f>
        <v>PostLogistics</v>
      </c>
      <c r="D26" s="66"/>
      <c r="E26" s="287"/>
      <c r="F26" s="11"/>
      <c r="T26" s="106"/>
      <c r="U26" s="106"/>
      <c r="V26" s="106"/>
      <c r="W26" s="106"/>
      <c r="X26" s="250"/>
    </row>
    <row r="27" spans="1:88" ht="12.5" customHeight="1">
      <c r="B27" s="8"/>
      <c r="C27" s="169" t="str">
        <f>VLOOKUP(42,Textbausteine_102[],Hilfsgrössen!$D$2,FALSE)</f>
        <v>Pacchi</v>
      </c>
      <c r="D27" s="66" t="str">
        <f>VLOOKUP(21,Textbausteine_102[],Hilfsgrössen!$D$2,FALSE)</f>
        <v>%</v>
      </c>
      <c r="E27" s="287"/>
      <c r="F27" s="11" t="s">
        <v>29</v>
      </c>
      <c r="H27" s="165" t="s">
        <v>30</v>
      </c>
      <c r="I27" s="167">
        <v>74</v>
      </c>
      <c r="J27" s="167">
        <v>74</v>
      </c>
      <c r="K27" s="160">
        <v>74</v>
      </c>
      <c r="L27" s="160">
        <v>74</v>
      </c>
      <c r="M27" s="20">
        <v>74</v>
      </c>
      <c r="N27" s="20">
        <v>75</v>
      </c>
      <c r="O27" s="99">
        <v>75</v>
      </c>
      <c r="P27" s="99">
        <v>76</v>
      </c>
      <c r="Q27" s="99">
        <v>76</v>
      </c>
      <c r="R27" s="99">
        <v>76</v>
      </c>
      <c r="S27" s="99">
        <v>76.900000000000006</v>
      </c>
      <c r="T27" s="106">
        <v>77.900000000000006</v>
      </c>
      <c r="U27" s="106">
        <v>78.400000000000006</v>
      </c>
      <c r="V27" s="106">
        <v>79</v>
      </c>
      <c r="W27" s="106">
        <v>79.2</v>
      </c>
      <c r="X27" s="250">
        <v>79.900000000000006</v>
      </c>
    </row>
    <row r="28" spans="1:88" ht="12.5" customHeight="1">
      <c r="C28" s="66" t="str">
        <f>VLOOKUP(43,Textbausteine_102[],Hilfsgrössen!$D$2,FALSE)</f>
        <v>Importazione ed esportazione di servici di corriere, espresso e pacchi</v>
      </c>
      <c r="D28" s="66" t="str">
        <f>VLOOKUP(21,Textbausteine_102[],Hilfsgrössen!$D$2,FALSE)</f>
        <v>%</v>
      </c>
      <c r="E28" s="287" t="s">
        <v>31</v>
      </c>
      <c r="F28" s="11" t="s">
        <v>29</v>
      </c>
      <c r="G28" s="166"/>
      <c r="H28" s="165" t="s">
        <v>30</v>
      </c>
      <c r="I28" s="165" t="s">
        <v>30</v>
      </c>
      <c r="J28" s="20">
        <v>47</v>
      </c>
      <c r="K28" s="20">
        <v>47</v>
      </c>
      <c r="L28" s="20">
        <v>46</v>
      </c>
      <c r="M28" s="20">
        <v>46</v>
      </c>
      <c r="N28" s="20">
        <v>45</v>
      </c>
      <c r="O28" s="99">
        <v>42</v>
      </c>
      <c r="P28" s="99">
        <v>45</v>
      </c>
      <c r="Q28" s="99">
        <v>18</v>
      </c>
      <c r="R28" s="99">
        <v>17</v>
      </c>
      <c r="S28" s="99">
        <v>18.5</v>
      </c>
      <c r="T28" s="106">
        <v>19.399999999999999</v>
      </c>
      <c r="U28" s="106">
        <v>18.5</v>
      </c>
      <c r="V28" s="106">
        <v>18</v>
      </c>
      <c r="W28" s="106">
        <v>19</v>
      </c>
      <c r="X28" s="250">
        <v>20</v>
      </c>
    </row>
    <row r="29" spans="1:88" ht="12.5" customHeight="1">
      <c r="B29" s="8"/>
      <c r="D29" s="9"/>
      <c r="E29" s="287"/>
      <c r="F29" s="11"/>
      <c r="G29" s="46"/>
      <c r="X29" s="249"/>
    </row>
    <row r="30" spans="1:88" ht="12.5" customHeight="1">
      <c r="B30" s="8" t="str">
        <f>VLOOKUP(49,Textbausteine_Menu[],Hilfsgrössen!$D$2,FALSE)</f>
        <v>PostFinance</v>
      </c>
      <c r="D30" s="66"/>
      <c r="E30" s="287"/>
      <c r="F30" s="11"/>
      <c r="T30" s="106"/>
      <c r="U30" s="106"/>
      <c r="V30" s="106"/>
      <c r="W30" s="106"/>
      <c r="X30" s="250"/>
    </row>
    <row r="31" spans="1:88" ht="12.5" customHeight="1">
      <c r="B31" s="8"/>
      <c r="C31" s="66" t="str">
        <f>VLOOKUP(44,Textbausteine_102[],Hilfsgrössen!$D$2,FALSE)</f>
        <v>Operazioni passive</v>
      </c>
      <c r="D31" s="66" t="str">
        <f>VLOOKUP(21,Textbausteine_102[],Hilfsgrössen!$D$2,FALSE)</f>
        <v>%</v>
      </c>
      <c r="E31" s="287" t="s">
        <v>32</v>
      </c>
      <c r="F31" s="11" t="s">
        <v>29</v>
      </c>
      <c r="H31" s="165" t="s">
        <v>30</v>
      </c>
      <c r="I31" s="160">
        <v>6.3</v>
      </c>
      <c r="J31" s="170">
        <v>6.1</v>
      </c>
      <c r="K31" s="170">
        <v>6.3</v>
      </c>
      <c r="L31" s="171">
        <v>6.9</v>
      </c>
      <c r="M31" s="20">
        <v>9</v>
      </c>
      <c r="N31" s="20">
        <v>9.8000000000000007</v>
      </c>
      <c r="O31" s="99">
        <v>10.199999999999999</v>
      </c>
      <c r="P31" s="99">
        <v>10.6</v>
      </c>
      <c r="Q31" s="99">
        <v>10.9</v>
      </c>
      <c r="R31" s="99">
        <v>10.9</v>
      </c>
      <c r="S31" s="99">
        <v>10.7</v>
      </c>
      <c r="T31" s="178" t="s">
        <v>30</v>
      </c>
      <c r="U31" s="178" t="s">
        <v>30</v>
      </c>
      <c r="V31" s="178" t="s">
        <v>30</v>
      </c>
      <c r="W31" s="178" t="s">
        <v>30</v>
      </c>
      <c r="X31" s="251" t="s">
        <v>30</v>
      </c>
    </row>
    <row r="32" spans="1:88" ht="12.5" customHeight="1">
      <c r="B32" s="8"/>
      <c r="D32" s="9"/>
      <c r="E32" s="287"/>
      <c r="F32" s="11"/>
      <c r="G32" s="46"/>
      <c r="X32" s="249"/>
    </row>
    <row r="33" spans="1:88" ht="12.5" customHeight="1">
      <c r="B33" s="8" t="str">
        <f>VLOOKUP(50,Textbausteine_Menu[],Hilfsgrössen!$D$2,FALSE)</f>
        <v>AutoPostale</v>
      </c>
      <c r="C33" s="8"/>
      <c r="D33" s="9"/>
      <c r="E33" s="287"/>
      <c r="F33" s="11"/>
      <c r="G33" s="46"/>
      <c r="X33" s="249"/>
    </row>
    <row r="34" spans="1:88" ht="12.5" customHeight="1">
      <c r="B34" s="8"/>
      <c r="C34" s="9" t="str">
        <f>VLOOKUP(45,Textbausteine_102[],Hilfsgrössen!$D$2,FALSE)</f>
        <v>Traffico regionale viaggiatori conf. a legge federale sul trasporto di viaggiatori (LTV)</v>
      </c>
      <c r="D34" s="9" t="str">
        <f>VLOOKUP(21,Textbausteine_102[],Hilfsgrössen!$D$2,FALSE)</f>
        <v>%</v>
      </c>
      <c r="E34" s="287" t="s">
        <v>33</v>
      </c>
      <c r="F34" s="11" t="s">
        <v>29</v>
      </c>
      <c r="G34" s="46"/>
      <c r="H34" s="165" t="s">
        <v>30</v>
      </c>
      <c r="I34" s="99">
        <v>15</v>
      </c>
      <c r="J34" s="99">
        <v>15</v>
      </c>
      <c r="K34" s="99">
        <v>15</v>
      </c>
      <c r="L34" s="99">
        <v>15</v>
      </c>
      <c r="M34" s="99">
        <v>15.67</v>
      </c>
      <c r="N34" s="99">
        <v>16</v>
      </c>
      <c r="O34" s="99">
        <v>16</v>
      </c>
      <c r="P34" s="99">
        <v>15.3</v>
      </c>
      <c r="Q34" s="99">
        <v>15.1</v>
      </c>
      <c r="R34" s="99">
        <v>15.2</v>
      </c>
      <c r="S34" s="99">
        <v>15.3</v>
      </c>
      <c r="T34" s="20">
        <v>16.5</v>
      </c>
      <c r="U34" s="20">
        <v>13.9</v>
      </c>
      <c r="V34" s="20">
        <v>13.8</v>
      </c>
      <c r="W34" s="20">
        <v>14</v>
      </c>
      <c r="X34" s="249">
        <v>14</v>
      </c>
    </row>
    <row r="35" spans="1:88" ht="12.5" customHeight="1">
      <c r="B35" s="8"/>
      <c r="D35" s="9"/>
      <c r="E35" s="287"/>
      <c r="F35" s="11"/>
      <c r="G35" s="46"/>
      <c r="X35" s="20"/>
    </row>
    <row r="36" spans="1:88" ht="12.5" customHeight="1">
      <c r="B36" s="26" t="str">
        <f>VLOOKUP(241,Textbausteine_102[],Hilfsgrössen!$D$2,FALSE)</f>
        <v>1) Dall'anno 2012 Swiss Post International non è più un segmento a sé stante. Dal 1o gennaio 2012 i valori sono stati trasferiti alle unità PostMail e PostLogistics.</v>
      </c>
      <c r="C36" s="15"/>
      <c r="H36" s="159"/>
      <c r="I36" s="159"/>
      <c r="J36" s="159"/>
      <c r="K36" s="159"/>
      <c r="L36" s="159"/>
      <c r="M36" s="159"/>
      <c r="N36" s="20"/>
      <c r="O36" s="20"/>
      <c r="P36" s="106"/>
      <c r="Q36" s="160"/>
      <c r="R36" s="159"/>
      <c r="S36" s="159"/>
      <c r="T36" s="160"/>
      <c r="U36" s="160"/>
      <c r="V36" s="160"/>
      <c r="W36" s="160"/>
      <c r="X36" s="160"/>
    </row>
    <row r="37" spans="1:88" ht="12.5" customHeight="1">
      <c r="B37" s="26" t="str">
        <f>VLOOKUP(242,Textbausteine_102[],Hilfsgrössen!$D$2,FALSE)</f>
        <v>2) Valori dell'anno precedente adattati.</v>
      </c>
      <c r="C37" s="15"/>
      <c r="H37" s="159"/>
      <c r="I37" s="159"/>
      <c r="J37" s="159"/>
      <c r="K37" s="159"/>
      <c r="L37" s="159"/>
      <c r="M37" s="159"/>
      <c r="N37" s="20"/>
      <c r="O37" s="20"/>
      <c r="P37" s="106"/>
      <c r="Q37" s="160"/>
      <c r="R37" s="159"/>
      <c r="S37" s="159"/>
      <c r="T37" s="160"/>
      <c r="U37" s="160"/>
      <c r="V37" s="160"/>
      <c r="W37" s="160"/>
      <c r="X37" s="160"/>
    </row>
    <row r="38" spans="1:88" ht="12.5" customHeight="1">
      <c r="B38" s="26" t="str">
        <f>VLOOKUP(243,Textbausteine_102[],Hilfsgrössen!$D$2,FALSE)</f>
        <v>3) Le operazioni passive comprendono l'accettazione di depositi della clientela.</v>
      </c>
      <c r="C38" s="67"/>
      <c r="E38" s="285"/>
      <c r="F38" s="11"/>
      <c r="G38" s="49"/>
      <c r="H38" s="172"/>
      <c r="I38" s="172"/>
      <c r="J38" s="172"/>
      <c r="K38" s="172"/>
      <c r="L38" s="172"/>
      <c r="M38" s="172"/>
      <c r="N38" s="159"/>
      <c r="O38" s="159"/>
      <c r="P38" s="159"/>
      <c r="Q38" s="159"/>
      <c r="R38" s="159"/>
      <c r="S38" s="159"/>
      <c r="T38" s="160"/>
      <c r="U38" s="160"/>
      <c r="V38" s="160"/>
      <c r="W38" s="160"/>
      <c r="X38" s="160"/>
    </row>
    <row r="39" spans="1:88" ht="12.5" customHeight="1">
      <c r="B39" s="26" t="str">
        <f>VLOOKUP(244,Textbausteine_102[],Hilfsgrössen!$D$2,FALSE)</f>
        <v>4) Valore effettivo 2013 provvisorio (nov. 2013), anni precedenti adattati in seguito al cambiamento della ragione sociale in PostFinance SA a fine giugno 2013</v>
      </c>
      <c r="C39" s="67"/>
      <c r="E39" s="287"/>
      <c r="F39" s="11"/>
      <c r="G39" s="49"/>
      <c r="H39" s="172"/>
      <c r="I39" s="172"/>
      <c r="J39" s="172"/>
      <c r="K39" s="172"/>
      <c r="L39" s="172"/>
      <c r="M39" s="172"/>
      <c r="N39" s="159"/>
      <c r="O39" s="159"/>
      <c r="P39" s="159"/>
      <c r="Q39" s="159"/>
      <c r="R39" s="159"/>
      <c r="S39" s="159"/>
      <c r="T39" s="160"/>
      <c r="U39" s="160"/>
      <c r="V39" s="160"/>
      <c r="W39" s="160"/>
      <c r="X39" s="160"/>
    </row>
    <row r="40" spans="1:88" ht="12.5" customHeight="1">
      <c r="B40" s="26" t="str">
        <f>VLOOKUP(245,Textbausteine_102[],Hilfsgrössen!$D$2,FALSE)</f>
        <v>5) Traffico regionale viaggiatori in base alla Legge sulle ferrovie, quota di mercato assoluta, ovvero volume d'affari di AutoPostale sul volume di mercato (fatturato)</v>
      </c>
      <c r="C40" s="15"/>
      <c r="D40" s="9"/>
      <c r="E40" s="288"/>
      <c r="F40" s="44"/>
      <c r="G40" s="49"/>
      <c r="H40" s="159"/>
      <c r="I40" s="159"/>
      <c r="J40" s="159"/>
      <c r="K40" s="159"/>
      <c r="L40" s="159"/>
      <c r="M40" s="159"/>
      <c r="N40" s="20"/>
      <c r="O40" s="20"/>
      <c r="P40" s="106"/>
      <c r="Q40" s="160"/>
      <c r="R40" s="159"/>
      <c r="S40" s="159"/>
      <c r="T40" s="160"/>
      <c r="U40" s="160"/>
      <c r="V40" s="160"/>
      <c r="W40" s="160"/>
      <c r="X40" s="160"/>
    </row>
    <row r="41" spans="1:88" ht="12.5" customHeight="1">
      <c r="B41" s="26" t="str">
        <f>VLOOKUP(246,Textbausteine_102[],Hilfsgrössen!$D$2,FALSE)</f>
        <v>6) Tra il 2010 e il 2013: incl. clienti privati sotto la responsabilità di RetePostale</v>
      </c>
      <c r="C41" s="26"/>
      <c r="D41" s="26"/>
      <c r="E41" s="292"/>
      <c r="F41" s="43"/>
      <c r="G41" s="26"/>
      <c r="H41" s="161"/>
      <c r="I41" s="161"/>
      <c r="J41" s="161"/>
      <c r="K41" s="161"/>
      <c r="L41" s="161"/>
      <c r="M41" s="161"/>
      <c r="N41" s="161"/>
      <c r="O41" s="161"/>
      <c r="P41" s="161"/>
      <c r="Q41" s="161"/>
      <c r="R41" s="159"/>
      <c r="S41" s="159"/>
      <c r="T41" s="160"/>
      <c r="U41" s="160"/>
      <c r="V41" s="160"/>
      <c r="W41" s="160"/>
      <c r="X41" s="160"/>
    </row>
    <row r="42" spans="1:88" ht="12.5" customHeight="1">
      <c r="B42" s="26" t="str">
        <f>VLOOKUP(247,Textbausteine_102[],Hilfsgrössen!$D$2,FALSE)</f>
        <v>7) Dal 2014 i volumi TNT non sono più considerati nel calcolo della quota di mercato, in modo che quest'ultima coincida con i volumi presentati. Quale valore di confronto si presenta inoltra il 2013. I valori dal 2005 al 2012 non sono confrontabili.</v>
      </c>
      <c r="C42" s="26"/>
      <c r="D42" s="26"/>
      <c r="E42" s="292"/>
      <c r="F42" s="43"/>
      <c r="G42" s="26"/>
      <c r="H42" s="161"/>
      <c r="I42" s="161"/>
      <c r="J42" s="161"/>
      <c r="K42" s="161"/>
      <c r="L42" s="161"/>
      <c r="M42" s="161"/>
      <c r="N42" s="161"/>
      <c r="O42" s="161"/>
      <c r="P42" s="161"/>
      <c r="Q42" s="161"/>
      <c r="R42" s="159"/>
      <c r="S42" s="159"/>
      <c r="T42" s="160"/>
      <c r="U42" s="160"/>
      <c r="V42" s="160"/>
      <c r="W42" s="160"/>
      <c r="X42" s="160"/>
    </row>
    <row r="43" spans="1:88" ht="12.5" customHeight="1">
      <c r="B43" s="26" t="str">
        <f>VLOOKUP(248,Textbausteine_102[],Hilfsgrössen!$D$2,FALSE)</f>
        <v>8) Il rilevamento della quota di mercato operazioni passive di PostFinance è stato soppresso a partire dal 1o gennaio 2016.</v>
      </c>
      <c r="C43" s="15"/>
      <c r="H43" s="159"/>
      <c r="I43" s="159"/>
      <c r="J43" s="159"/>
      <c r="K43" s="159"/>
      <c r="L43" s="159"/>
      <c r="M43" s="159"/>
      <c r="N43" s="20"/>
      <c r="O43" s="20"/>
      <c r="P43" s="106"/>
      <c r="Q43" s="160"/>
      <c r="R43" s="159"/>
      <c r="S43" s="159"/>
      <c r="T43" s="160"/>
      <c r="U43" s="160"/>
      <c r="V43" s="160"/>
      <c r="W43" s="160"/>
      <c r="X43" s="160"/>
    </row>
    <row r="44" spans="1:88" ht="12.5" customHeight="1">
      <c r="B44" s="26"/>
      <c r="C44" s="15"/>
      <c r="H44" s="159"/>
      <c r="I44" s="159"/>
      <c r="J44" s="159"/>
      <c r="K44" s="159"/>
      <c r="L44" s="159"/>
      <c r="M44" s="159"/>
      <c r="N44" s="20"/>
      <c r="O44" s="20"/>
      <c r="P44" s="106"/>
      <c r="Q44" s="160"/>
      <c r="R44" s="159"/>
      <c r="S44" s="159"/>
      <c r="T44" s="160"/>
      <c r="U44" s="160"/>
      <c r="V44" s="160"/>
      <c r="W44" s="160"/>
      <c r="X44" s="160"/>
    </row>
    <row r="45" spans="1:88" ht="12.5" customHeight="1">
      <c r="B45" s="8"/>
      <c r="D45" s="9"/>
      <c r="E45" s="287"/>
      <c r="F45" s="11"/>
      <c r="G45" s="46"/>
      <c r="X45" s="20"/>
    </row>
    <row r="46" spans="1:88" ht="12.5" customHeight="1">
      <c r="C46" s="15"/>
      <c r="H46" s="159"/>
      <c r="I46" s="159"/>
      <c r="J46" s="159"/>
      <c r="K46" s="159"/>
      <c r="L46" s="159"/>
      <c r="M46" s="159"/>
      <c r="N46" s="20"/>
      <c r="O46" s="20"/>
      <c r="P46" s="106"/>
      <c r="Q46" s="160"/>
      <c r="R46" s="159"/>
      <c r="S46" s="159"/>
      <c r="T46" s="160"/>
      <c r="U46" s="160"/>
      <c r="V46" s="160"/>
      <c r="W46" s="160"/>
      <c r="X46" s="160"/>
    </row>
    <row r="47" spans="1:88" s="151" customFormat="1" ht="12.5" customHeight="1">
      <c r="A47" s="61" t="s">
        <v>27</v>
      </c>
      <c r="B47" s="488" t="str">
        <f>$C$8</f>
        <v>Finanziamento</v>
      </c>
      <c r="C47" s="488"/>
      <c r="D47" s="479" t="str">
        <f>VLOOKUP(32,Textbausteine_Menu[],Hilfsgrössen!$D$2,FALSE)</f>
        <v>Unità</v>
      </c>
      <c r="E47" s="286" t="str">
        <f>VLOOKUP(33,Textbausteine_Menu[],Hilfsgrössen!$D$2,FALSE)</f>
        <v>Note</v>
      </c>
      <c r="F47" s="40" t="str">
        <f>VLOOKUP(34,Textbausteine_Menu[],Hilfsgrössen!$D$2,FALSE)</f>
        <v>GRI</v>
      </c>
      <c r="G47" s="48"/>
      <c r="H47" s="157">
        <v>2004</v>
      </c>
      <c r="I47" s="157">
        <v>2005</v>
      </c>
      <c r="J47" s="157">
        <v>2006</v>
      </c>
      <c r="K47" s="157">
        <v>2007</v>
      </c>
      <c r="L47" s="157">
        <v>2008</v>
      </c>
      <c r="M47" s="157">
        <v>2009</v>
      </c>
      <c r="N47" s="157">
        <v>2010</v>
      </c>
      <c r="O47" s="157">
        <v>2011</v>
      </c>
      <c r="P47" s="157">
        <v>2012</v>
      </c>
      <c r="Q47" s="157">
        <v>2013</v>
      </c>
      <c r="R47" s="157">
        <v>2014</v>
      </c>
      <c r="S47" s="157">
        <v>2015</v>
      </c>
      <c r="T47" s="119" t="s">
        <v>34</v>
      </c>
      <c r="U47" s="119" t="s">
        <v>35</v>
      </c>
      <c r="V47" s="119" t="s">
        <v>36</v>
      </c>
      <c r="W47" s="119">
        <v>2019</v>
      </c>
      <c r="X47" s="247">
        <v>2020</v>
      </c>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row>
    <row r="48" spans="1:88" s="60" customFormat="1" ht="12.5" customHeight="1">
      <c r="A48" s="81"/>
      <c r="B48" s="488"/>
      <c r="C48" s="488"/>
      <c r="D48" s="59"/>
      <c r="E48" s="282"/>
      <c r="F48" s="39"/>
      <c r="G48" s="49"/>
      <c r="H48" s="158"/>
      <c r="I48" s="158"/>
      <c r="J48" s="158"/>
      <c r="K48" s="158"/>
      <c r="L48" s="158"/>
      <c r="M48" s="158"/>
      <c r="N48" s="158"/>
      <c r="O48" s="158"/>
      <c r="P48" s="158"/>
      <c r="Q48" s="158"/>
      <c r="R48" s="158"/>
      <c r="S48" s="158"/>
      <c r="T48" s="118"/>
      <c r="U48" s="118"/>
      <c r="V48" s="118"/>
      <c r="W48" s="118"/>
      <c r="X48" s="248"/>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row>
    <row r="49" spans="1:88" ht="12.5" customHeight="1">
      <c r="B49" s="8"/>
      <c r="D49" s="9"/>
      <c r="E49" s="287"/>
      <c r="F49" s="11"/>
      <c r="G49" s="46"/>
      <c r="X49" s="249"/>
    </row>
    <row r="50" spans="1:88" ht="12.5" customHeight="1">
      <c r="B50" s="8" t="str">
        <f>VLOOKUP(36,Textbausteine_Menu[],Hilfsgrössen!$D$2,FALSE)</f>
        <v>Gruppo</v>
      </c>
      <c r="D50" s="66"/>
      <c r="E50" s="287"/>
      <c r="F50" s="11"/>
      <c r="T50" s="106"/>
      <c r="U50" s="106"/>
      <c r="V50" s="106"/>
      <c r="W50" s="106"/>
      <c r="X50" s="250"/>
    </row>
    <row r="51" spans="1:88" ht="12.5" customHeight="1">
      <c r="B51" s="8"/>
      <c r="C51" s="66" t="str">
        <f>VLOOKUP(51,Textbausteine_102[],Hilfsgrössen!$D$2,FALSE)</f>
        <v>Totale di bilancio</v>
      </c>
      <c r="D51" s="9" t="str">
        <f>VLOOKUP(22,Textbausteine_102[],Hilfsgrössen!$D$2,FALSE)</f>
        <v>mln di CHF</v>
      </c>
      <c r="E51" s="287"/>
      <c r="F51" s="11" t="s">
        <v>37</v>
      </c>
      <c r="H51" s="137" t="s">
        <v>30</v>
      </c>
      <c r="I51" s="99">
        <v>50130</v>
      </c>
      <c r="J51" s="99">
        <v>55600</v>
      </c>
      <c r="K51" s="99">
        <v>60085</v>
      </c>
      <c r="L51" s="99">
        <v>71603</v>
      </c>
      <c r="M51" s="99">
        <v>84676</v>
      </c>
      <c r="N51" s="99">
        <v>93310</v>
      </c>
      <c r="O51" s="99">
        <v>108254</v>
      </c>
      <c r="P51" s="99">
        <v>120069</v>
      </c>
      <c r="Q51" s="99">
        <v>120383</v>
      </c>
      <c r="R51" s="99">
        <v>124671</v>
      </c>
      <c r="S51" s="99">
        <v>120327</v>
      </c>
      <c r="T51" s="106">
        <v>126545</v>
      </c>
      <c r="U51" s="106">
        <v>127289</v>
      </c>
      <c r="V51" s="106">
        <v>124196</v>
      </c>
      <c r="W51" s="106">
        <v>132544</v>
      </c>
      <c r="X51" s="250">
        <v>124274</v>
      </c>
    </row>
    <row r="52" spans="1:88" ht="12.5" customHeight="1">
      <c r="C52" s="76" t="str">
        <f>VLOOKUP(52,Textbausteine_102[],Hilfsgrössen!$D$2,FALSE)</f>
        <v>depositi dei clienti PostFinance</v>
      </c>
      <c r="D52" s="9" t="str">
        <f>VLOOKUP(22,Textbausteine_102[],Hilfsgrössen!$D$2,FALSE)</f>
        <v>mln di CHF</v>
      </c>
      <c r="E52" s="287"/>
      <c r="F52" s="11" t="s">
        <v>37</v>
      </c>
      <c r="H52" s="137" t="s">
        <v>30</v>
      </c>
      <c r="I52" s="20">
        <v>43630</v>
      </c>
      <c r="J52" s="20">
        <v>48364</v>
      </c>
      <c r="K52" s="20">
        <v>51462</v>
      </c>
      <c r="L52" s="20">
        <v>64204</v>
      </c>
      <c r="M52" s="20">
        <v>77272</v>
      </c>
      <c r="N52" s="20">
        <v>85725</v>
      </c>
      <c r="O52" s="99">
        <v>100707</v>
      </c>
      <c r="P52" s="99">
        <v>110531</v>
      </c>
      <c r="Q52" s="99">
        <v>109086</v>
      </c>
      <c r="R52" s="99">
        <v>112150</v>
      </c>
      <c r="S52" s="99">
        <v>107380</v>
      </c>
      <c r="T52" s="106">
        <v>110477</v>
      </c>
      <c r="U52" s="106">
        <v>113195</v>
      </c>
      <c r="V52" s="106">
        <v>111141</v>
      </c>
      <c r="W52" s="106">
        <v>108669</v>
      </c>
      <c r="X52" s="250">
        <v>109337</v>
      </c>
    </row>
    <row r="53" spans="1:88" ht="12.5" customHeight="1">
      <c r="C53" s="76" t="str">
        <f>VLOOKUP(53,Textbausteine_102[],Hilfsgrössen!$D$2,FALSE)</f>
        <v>percentuale del totale di bilancio</v>
      </c>
      <c r="D53" s="9" t="str">
        <f>VLOOKUP(21,Textbausteine_102[],Hilfsgrössen!$D$2,FALSE)</f>
        <v>%</v>
      </c>
      <c r="E53" s="287"/>
      <c r="F53" s="11" t="s">
        <v>37</v>
      </c>
      <c r="H53" s="137" t="s">
        <v>30</v>
      </c>
      <c r="I53" s="20">
        <v>87</v>
      </c>
      <c r="J53" s="20">
        <v>87</v>
      </c>
      <c r="K53" s="20">
        <v>86</v>
      </c>
      <c r="L53" s="20">
        <v>90</v>
      </c>
      <c r="M53" s="20">
        <v>91</v>
      </c>
      <c r="N53" s="20">
        <v>92</v>
      </c>
      <c r="O53" s="99">
        <v>93</v>
      </c>
      <c r="P53" s="329">
        <v>92</v>
      </c>
      <c r="Q53" s="99">
        <v>91</v>
      </c>
      <c r="R53" s="99">
        <v>90</v>
      </c>
      <c r="S53" s="99">
        <v>89</v>
      </c>
      <c r="T53" s="106">
        <v>87</v>
      </c>
      <c r="U53" s="106">
        <v>89</v>
      </c>
      <c r="V53" s="106">
        <v>89</v>
      </c>
      <c r="W53" s="106">
        <v>82</v>
      </c>
      <c r="X53" s="250">
        <v>88</v>
      </c>
    </row>
    <row r="54" spans="1:88" ht="12.5" customHeight="1">
      <c r="C54" s="66" t="str">
        <f>VLOOKUP(54,Textbausteine_102[],Hilfsgrössen!$D$2,FALSE)</f>
        <v>Capitale proprio</v>
      </c>
      <c r="D54" s="9" t="str">
        <f>VLOOKUP(22,Textbausteine_102[],Hilfsgrössen!$D$2,FALSE)</f>
        <v>mln di CHF</v>
      </c>
      <c r="E54" s="287"/>
      <c r="F54" s="11" t="s">
        <v>37</v>
      </c>
      <c r="H54" s="137" t="s">
        <v>30</v>
      </c>
      <c r="I54" s="159">
        <v>922</v>
      </c>
      <c r="J54" s="159">
        <v>1605</v>
      </c>
      <c r="K54" s="159">
        <v>2470</v>
      </c>
      <c r="L54" s="159">
        <v>2857</v>
      </c>
      <c r="M54" s="159">
        <v>3534</v>
      </c>
      <c r="N54" s="20">
        <v>4224</v>
      </c>
      <c r="O54" s="20">
        <v>4879</v>
      </c>
      <c r="P54" s="106">
        <v>3145</v>
      </c>
      <c r="Q54" s="160">
        <v>5637</v>
      </c>
      <c r="R54" s="159">
        <v>5010</v>
      </c>
      <c r="S54" s="159">
        <v>4385</v>
      </c>
      <c r="T54" s="106">
        <v>4744</v>
      </c>
      <c r="U54" s="106">
        <v>6583</v>
      </c>
      <c r="V54" s="106">
        <v>6759</v>
      </c>
      <c r="W54" s="106">
        <v>6834</v>
      </c>
      <c r="X54" s="250">
        <v>6906</v>
      </c>
    </row>
    <row r="55" spans="1:88" ht="12.5" customHeight="1">
      <c r="C55" s="15"/>
      <c r="H55" s="159"/>
      <c r="I55" s="159"/>
      <c r="J55" s="159"/>
      <c r="K55" s="159"/>
      <c r="L55" s="159"/>
      <c r="M55" s="159"/>
      <c r="N55" s="20"/>
      <c r="O55" s="20"/>
      <c r="P55" s="106"/>
      <c r="Q55" s="160"/>
      <c r="R55" s="159"/>
      <c r="S55" s="159"/>
      <c r="T55" s="160"/>
      <c r="U55" s="160"/>
      <c r="V55" s="160"/>
      <c r="W55" s="160"/>
      <c r="X55" s="160"/>
    </row>
    <row r="56" spans="1:88" ht="12.5" customHeight="1">
      <c r="B56" s="21" t="str">
        <f>VLOOKUP(251,Textbausteine_102[],Hilfsgrössen!$D$2,FALSE)</f>
        <v>1) Valori dell'anno precedente in parte adattati.</v>
      </c>
      <c r="C56" s="374"/>
      <c r="H56" s="159"/>
      <c r="I56" s="159"/>
      <c r="J56" s="159"/>
      <c r="K56" s="159"/>
      <c r="L56" s="159"/>
      <c r="M56" s="159"/>
      <c r="N56" s="20"/>
      <c r="O56" s="20"/>
      <c r="P56" s="106"/>
      <c r="Q56" s="160"/>
      <c r="R56" s="159"/>
      <c r="S56" s="159"/>
      <c r="T56" s="160"/>
      <c r="U56" s="160"/>
      <c r="V56" s="160"/>
      <c r="W56" s="160"/>
      <c r="X56" s="160"/>
    </row>
    <row r="57" spans="1:88" ht="12.5" customHeight="1">
      <c r="C57" s="15"/>
      <c r="H57" s="159"/>
      <c r="I57" s="159"/>
      <c r="J57" s="159"/>
      <c r="K57" s="159"/>
      <c r="L57" s="159"/>
      <c r="M57" s="159"/>
      <c r="N57" s="20"/>
      <c r="O57" s="20"/>
      <c r="P57" s="106"/>
      <c r="Q57" s="160"/>
      <c r="R57" s="159"/>
      <c r="S57" s="159"/>
      <c r="T57" s="160"/>
      <c r="U57" s="160"/>
      <c r="V57" s="160"/>
      <c r="W57" s="160"/>
      <c r="X57" s="160"/>
    </row>
    <row r="58" spans="1:88" ht="12.5" customHeight="1">
      <c r="C58" s="15"/>
      <c r="H58" s="159"/>
      <c r="I58" s="159"/>
      <c r="J58" s="159"/>
      <c r="K58" s="159"/>
      <c r="L58" s="159"/>
      <c r="M58" s="159"/>
      <c r="N58" s="20"/>
      <c r="O58" s="20"/>
      <c r="P58" s="106"/>
      <c r="Q58" s="160"/>
      <c r="R58" s="159"/>
      <c r="S58" s="159"/>
      <c r="T58" s="160"/>
      <c r="U58" s="160"/>
      <c r="V58" s="160"/>
      <c r="W58" s="160"/>
      <c r="X58" s="160"/>
    </row>
    <row r="59" spans="1:88" s="151" customFormat="1" ht="12.5" customHeight="1">
      <c r="A59" s="61" t="s">
        <v>27</v>
      </c>
      <c r="B59" s="488" t="str">
        <f>$C$9</f>
        <v>Cash flow e investimenti</v>
      </c>
      <c r="C59" s="488"/>
      <c r="D59" s="479" t="str">
        <f>VLOOKUP(32,Textbausteine_Menu[],Hilfsgrössen!$D$2,FALSE)</f>
        <v>Unità</v>
      </c>
      <c r="E59" s="286" t="str">
        <f>VLOOKUP(33,Textbausteine_Menu[],Hilfsgrössen!$D$2,FALSE)</f>
        <v>Note</v>
      </c>
      <c r="F59" s="40" t="str">
        <f>VLOOKUP(34,Textbausteine_Menu[],Hilfsgrössen!$D$2,FALSE)</f>
        <v>GRI</v>
      </c>
      <c r="G59" s="48"/>
      <c r="H59" s="157">
        <v>2004</v>
      </c>
      <c r="I59" s="157">
        <v>2005</v>
      </c>
      <c r="J59" s="157">
        <v>2006</v>
      </c>
      <c r="K59" s="157">
        <v>2007</v>
      </c>
      <c r="L59" s="157">
        <v>2008</v>
      </c>
      <c r="M59" s="157">
        <v>2009</v>
      </c>
      <c r="N59" s="157">
        <v>2010</v>
      </c>
      <c r="O59" s="157">
        <v>2011</v>
      </c>
      <c r="P59" s="157">
        <v>2012</v>
      </c>
      <c r="Q59" s="157">
        <v>2013</v>
      </c>
      <c r="R59" s="157">
        <v>2014</v>
      </c>
      <c r="S59" s="157">
        <v>2015</v>
      </c>
      <c r="T59" s="119">
        <v>2016</v>
      </c>
      <c r="U59" s="119">
        <v>2017</v>
      </c>
      <c r="V59" s="119">
        <v>2018</v>
      </c>
      <c r="W59" s="119" t="s">
        <v>38</v>
      </c>
      <c r="X59" s="247" t="s">
        <v>39</v>
      </c>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row>
    <row r="60" spans="1:88" s="60" customFormat="1" ht="12.5" customHeight="1">
      <c r="A60" s="81"/>
      <c r="B60" s="488"/>
      <c r="C60" s="488"/>
      <c r="D60" s="59"/>
      <c r="E60" s="282"/>
      <c r="F60" s="39"/>
      <c r="G60" s="49"/>
      <c r="H60" s="158"/>
      <c r="I60" s="158"/>
      <c r="J60" s="158"/>
      <c r="K60" s="158"/>
      <c r="L60" s="158"/>
      <c r="M60" s="158"/>
      <c r="N60" s="158"/>
      <c r="O60" s="158"/>
      <c r="P60" s="158"/>
      <c r="Q60" s="158"/>
      <c r="R60" s="158"/>
      <c r="S60" s="158"/>
      <c r="T60" s="118"/>
      <c r="U60" s="118"/>
      <c r="V60" s="118"/>
      <c r="W60" s="118"/>
      <c r="X60" s="248"/>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row>
    <row r="61" spans="1:88" ht="12.5" customHeight="1">
      <c r="B61" s="8"/>
      <c r="D61" s="9"/>
      <c r="E61" s="287"/>
      <c r="F61" s="11"/>
      <c r="G61" s="46"/>
      <c r="X61" s="249"/>
    </row>
    <row r="62" spans="1:88" ht="12.5" customHeight="1">
      <c r="B62" s="8" t="str">
        <f>VLOOKUP(36,Textbausteine_Menu[],Hilfsgrössen!$D$2,FALSE)</f>
        <v>Gruppo</v>
      </c>
      <c r="C62" s="8"/>
      <c r="D62" s="66"/>
      <c r="E62" s="287"/>
      <c r="F62" s="11"/>
      <c r="T62" s="106"/>
      <c r="U62" s="106"/>
      <c r="V62" s="106"/>
      <c r="W62" s="106"/>
      <c r="X62" s="250"/>
    </row>
    <row r="63" spans="1:88" ht="12.5" customHeight="1">
      <c r="C63" s="67" t="str">
        <f>VLOOKUP(61,Textbausteine_102[],Hilfsgrössen!$D$2,FALSE)</f>
        <v>Flusso di tesoreria derivante dall'attività operativa</v>
      </c>
      <c r="D63" s="9" t="str">
        <f>VLOOKUP(22,Textbausteine_102[],Hilfsgrössen!$D$2,FALSE)</f>
        <v>mln di CHF</v>
      </c>
      <c r="E63" s="287" t="s">
        <v>40</v>
      </c>
      <c r="F63" s="11" t="s">
        <v>37</v>
      </c>
      <c r="H63" s="137" t="s">
        <v>30</v>
      </c>
      <c r="I63" s="165">
        <v>3603</v>
      </c>
      <c r="J63" s="165">
        <v>3247</v>
      </c>
      <c r="K63" s="99">
        <v>-3312</v>
      </c>
      <c r="L63" s="99">
        <v>8281</v>
      </c>
      <c r="M63" s="99">
        <v>-357</v>
      </c>
      <c r="N63" s="20">
        <v>-2271</v>
      </c>
      <c r="O63" s="99">
        <v>19679</v>
      </c>
      <c r="P63" s="99">
        <v>13424</v>
      </c>
      <c r="Q63" s="99">
        <v>-367</v>
      </c>
      <c r="R63" s="99">
        <v>-1925</v>
      </c>
      <c r="S63" s="99">
        <v>-2990</v>
      </c>
      <c r="T63" s="106">
        <v>-385</v>
      </c>
      <c r="U63" s="106">
        <v>1941</v>
      </c>
      <c r="V63" s="106">
        <v>-1309</v>
      </c>
      <c r="W63" s="106">
        <v>10261</v>
      </c>
      <c r="X63" s="250">
        <v>-7995</v>
      </c>
    </row>
    <row r="64" spans="1:88" ht="12.5" customHeight="1">
      <c r="C64" s="72" t="str">
        <f>VLOOKUP(62,Textbausteine_102[],Hilfsgrössen!$D$2,FALSE)</f>
        <v>Investimenti</v>
      </c>
      <c r="D64" s="9" t="str">
        <f>VLOOKUP(22,Textbausteine_102[],Hilfsgrössen!$D$2,FALSE)</f>
        <v>mln di CHF</v>
      </c>
      <c r="E64" s="287"/>
      <c r="F64" s="11" t="s">
        <v>37</v>
      </c>
      <c r="H64" s="137" t="s">
        <v>30</v>
      </c>
      <c r="I64" s="99">
        <v>347</v>
      </c>
      <c r="J64" s="99">
        <v>540</v>
      </c>
      <c r="K64" s="99">
        <v>644</v>
      </c>
      <c r="L64" s="99">
        <v>516</v>
      </c>
      <c r="M64" s="99">
        <v>431</v>
      </c>
      <c r="N64" s="20">
        <v>364</v>
      </c>
      <c r="O64" s="99">
        <v>429</v>
      </c>
      <c r="P64" s="99">
        <v>443</v>
      </c>
      <c r="Q64" s="99">
        <v>453</v>
      </c>
      <c r="R64" s="99">
        <v>443</v>
      </c>
      <c r="S64" s="99">
        <v>437</v>
      </c>
      <c r="T64" s="106">
        <v>450</v>
      </c>
      <c r="U64" s="106">
        <v>394</v>
      </c>
      <c r="V64" s="106">
        <v>412</v>
      </c>
      <c r="W64" s="106">
        <v>443</v>
      </c>
      <c r="X64" s="250">
        <v>401</v>
      </c>
    </row>
    <row r="65" spans="1:88" ht="12.5" customHeight="1">
      <c r="C65" s="69" t="str">
        <f>VLOOKUP(63,Textbausteine_102[],Hilfsgrössen!$D$2,FALSE)</f>
        <v>altre immobilizzazioni materiali e immateriali</v>
      </c>
      <c r="D65" s="9" t="str">
        <f>VLOOKUP(22,Textbausteine_102[],Hilfsgrössen!$D$2,FALSE)</f>
        <v>mln di CHF</v>
      </c>
      <c r="E65" s="288"/>
      <c r="F65" s="11" t="s">
        <v>37</v>
      </c>
      <c r="H65" s="137" t="s">
        <v>30</v>
      </c>
      <c r="I65" s="99">
        <v>176</v>
      </c>
      <c r="J65" s="99">
        <v>195</v>
      </c>
      <c r="K65" s="99">
        <v>322</v>
      </c>
      <c r="L65" s="99">
        <v>326</v>
      </c>
      <c r="M65" s="99">
        <v>270</v>
      </c>
      <c r="N65" s="20">
        <v>176</v>
      </c>
      <c r="O65" s="99">
        <v>239</v>
      </c>
      <c r="P65" s="99">
        <v>228</v>
      </c>
      <c r="Q65" s="99">
        <v>249</v>
      </c>
      <c r="R65" s="99">
        <v>250</v>
      </c>
      <c r="S65" s="99">
        <v>317</v>
      </c>
      <c r="T65" s="106">
        <v>302</v>
      </c>
      <c r="U65" s="106">
        <v>245</v>
      </c>
      <c r="V65" s="106">
        <v>252</v>
      </c>
      <c r="W65" s="106">
        <v>293</v>
      </c>
      <c r="X65" s="250">
        <v>199</v>
      </c>
    </row>
    <row r="66" spans="1:88" ht="12.5" customHeight="1">
      <c r="C66" s="69" t="str">
        <f>VLOOKUP(64,Textbausteine_102[],Hilfsgrössen!$D$2,FALSE)</f>
        <v>Stabilimenti</v>
      </c>
      <c r="D66" s="9" t="str">
        <f>VLOOKUP(22,Textbausteine_102[],Hilfsgrössen!$D$2,FALSE)</f>
        <v>mln di CHF</v>
      </c>
      <c r="E66" s="288"/>
      <c r="F66" s="11" t="s">
        <v>37</v>
      </c>
      <c r="H66" s="137" t="s">
        <v>30</v>
      </c>
      <c r="I66" s="99">
        <v>153</v>
      </c>
      <c r="J66" s="99">
        <v>310</v>
      </c>
      <c r="K66" s="99">
        <v>281</v>
      </c>
      <c r="L66" s="99">
        <v>147</v>
      </c>
      <c r="M66" s="99">
        <v>109</v>
      </c>
      <c r="N66" s="20">
        <v>163</v>
      </c>
      <c r="O66" s="99">
        <v>168</v>
      </c>
      <c r="P66" s="99">
        <v>162</v>
      </c>
      <c r="Q66" s="99">
        <v>115</v>
      </c>
      <c r="R66" s="99">
        <v>124</v>
      </c>
      <c r="S66" s="99">
        <v>57</v>
      </c>
      <c r="T66" s="106">
        <v>103</v>
      </c>
      <c r="U66" s="106">
        <v>97</v>
      </c>
      <c r="V66" s="106">
        <v>63</v>
      </c>
      <c r="W66" s="106">
        <v>108</v>
      </c>
      <c r="X66" s="250">
        <v>152</v>
      </c>
    </row>
    <row r="67" spans="1:88" ht="12.5" customHeight="1">
      <c r="C67" s="69" t="str">
        <f>VLOOKUP(65,Textbausteine_102[],Hilfsgrössen!$D$2,FALSE)</f>
        <v>immobili mantenuti come immobilizzazioni finanziarie</v>
      </c>
      <c r="D67" s="9" t="str">
        <f>VLOOKUP(22,Textbausteine_102[],Hilfsgrössen!$D$2,FALSE)</f>
        <v>mln di CHF</v>
      </c>
      <c r="E67" s="288"/>
      <c r="F67" s="11" t="s">
        <v>37</v>
      </c>
      <c r="H67" s="137" t="s">
        <v>30</v>
      </c>
      <c r="I67" s="99">
        <v>0</v>
      </c>
      <c r="J67" s="99">
        <v>0</v>
      </c>
      <c r="K67" s="99">
        <v>0</v>
      </c>
      <c r="L67" s="99">
        <v>0</v>
      </c>
      <c r="M67" s="99">
        <v>0</v>
      </c>
      <c r="N67" s="20">
        <v>0</v>
      </c>
      <c r="O67" s="99">
        <v>11</v>
      </c>
      <c r="P67" s="99">
        <v>19</v>
      </c>
      <c r="Q67" s="99">
        <v>48</v>
      </c>
      <c r="R67" s="99">
        <v>64</v>
      </c>
      <c r="S67" s="99">
        <v>47</v>
      </c>
      <c r="T67" s="106">
        <v>31</v>
      </c>
      <c r="U67" s="106">
        <v>29</v>
      </c>
      <c r="V67" s="106">
        <v>24</v>
      </c>
      <c r="W67" s="106">
        <v>38</v>
      </c>
      <c r="X67" s="250">
        <v>26</v>
      </c>
    </row>
    <row r="68" spans="1:88" ht="12.5" customHeight="1">
      <c r="C68" s="69" t="str">
        <f>VLOOKUP(66,Textbausteine_102[],Hilfsgrössen!$D$2,FALSE)</f>
        <v>Partecipazioni</v>
      </c>
      <c r="D68" s="9" t="str">
        <f>VLOOKUP(22,Textbausteine_102[],Hilfsgrössen!$D$2,FALSE)</f>
        <v>mln di CHF</v>
      </c>
      <c r="E68" s="288"/>
      <c r="F68" s="11" t="s">
        <v>37</v>
      </c>
      <c r="H68" s="137" t="s">
        <v>30</v>
      </c>
      <c r="I68" s="99">
        <v>18</v>
      </c>
      <c r="J68" s="99">
        <v>35</v>
      </c>
      <c r="K68" s="99">
        <v>41</v>
      </c>
      <c r="L68" s="99">
        <v>43</v>
      </c>
      <c r="M68" s="99">
        <v>52</v>
      </c>
      <c r="N68" s="20">
        <v>25</v>
      </c>
      <c r="O68" s="99">
        <v>11</v>
      </c>
      <c r="P68" s="99">
        <v>34</v>
      </c>
      <c r="Q68" s="99">
        <v>41</v>
      </c>
      <c r="R68" s="99">
        <v>5</v>
      </c>
      <c r="S68" s="99">
        <v>16</v>
      </c>
      <c r="T68" s="106">
        <v>14</v>
      </c>
      <c r="U68" s="106">
        <v>23</v>
      </c>
      <c r="V68" s="106">
        <v>73</v>
      </c>
      <c r="W68" s="106">
        <v>4</v>
      </c>
      <c r="X68" s="250">
        <v>24</v>
      </c>
    </row>
    <row r="69" spans="1:88" ht="12.5" customHeight="1">
      <c r="C69" s="72" t="str">
        <f>VLOOKUP(67,Textbausteine_102[],Hilfsgrössen!$D$2,FALSE)</f>
        <v>Quota di investimenti autofinanziati</v>
      </c>
      <c r="D69" s="9" t="str">
        <f>VLOOKUP(21,Textbausteine_102[],Hilfsgrössen!$D$2,FALSE)</f>
        <v>%</v>
      </c>
      <c r="E69" s="288"/>
      <c r="F69" s="11" t="s">
        <v>37</v>
      </c>
      <c r="H69" s="137" t="s">
        <v>30</v>
      </c>
      <c r="I69" s="99">
        <v>100</v>
      </c>
      <c r="J69" s="99">
        <v>100</v>
      </c>
      <c r="K69" s="99">
        <v>100</v>
      </c>
      <c r="L69" s="99">
        <v>100</v>
      </c>
      <c r="M69" s="99">
        <v>100</v>
      </c>
      <c r="N69" s="20">
        <v>100</v>
      </c>
      <c r="O69" s="99">
        <v>100</v>
      </c>
      <c r="P69" s="99">
        <v>100</v>
      </c>
      <c r="Q69" s="99">
        <v>100</v>
      </c>
      <c r="R69" s="99">
        <v>100</v>
      </c>
      <c r="S69" s="99">
        <v>100</v>
      </c>
      <c r="T69" s="106">
        <v>100</v>
      </c>
      <c r="U69" s="106">
        <v>100</v>
      </c>
      <c r="V69" s="106">
        <v>100</v>
      </c>
      <c r="W69" s="106">
        <v>100</v>
      </c>
      <c r="X69" s="250">
        <v>100</v>
      </c>
    </row>
    <row r="70" spans="1:88" ht="12.5" customHeight="1">
      <c r="C70" s="15"/>
      <c r="E70" s="288"/>
      <c r="F70" s="44"/>
      <c r="H70" s="159"/>
      <c r="I70" s="159"/>
      <c r="J70" s="159"/>
      <c r="K70" s="159"/>
      <c r="L70" s="159"/>
      <c r="M70" s="159"/>
      <c r="N70" s="20"/>
      <c r="O70" s="20"/>
      <c r="P70" s="106"/>
      <c r="Q70" s="160"/>
      <c r="R70" s="159"/>
      <c r="S70" s="159"/>
      <c r="T70" s="160"/>
      <c r="U70" s="160"/>
      <c r="V70" s="160"/>
      <c r="W70" s="160"/>
      <c r="X70" s="160"/>
    </row>
    <row r="71" spans="1:88" ht="12.5" customHeight="1">
      <c r="B71" s="26" t="str">
        <f>VLOOKUP(253,Textbausteine_102[],Hilfsgrössen!$D$2,FALSE)</f>
        <v>1) Il cash flow 2019 - 2012 presentato tiene ora conto delle variazioni delle voci relative ai servizi finanziari (PostFinance).</v>
      </c>
      <c r="C71" s="26"/>
      <c r="D71" s="26"/>
      <c r="E71" s="292"/>
      <c r="F71" s="43"/>
      <c r="G71" s="26"/>
      <c r="H71" s="161"/>
      <c r="I71" s="161"/>
      <c r="J71" s="161"/>
      <c r="K71" s="161"/>
      <c r="L71" s="161"/>
      <c r="M71" s="161"/>
      <c r="N71" s="161"/>
      <c r="O71" s="161"/>
      <c r="P71" s="161"/>
      <c r="Q71" s="161"/>
      <c r="R71" s="159"/>
      <c r="S71" s="159"/>
      <c r="T71" s="160"/>
      <c r="U71" s="160"/>
      <c r="V71" s="160"/>
      <c r="W71" s="160"/>
      <c r="X71" s="160"/>
    </row>
    <row r="72" spans="1:88" ht="12.5" customHeight="1">
      <c r="B72" s="26" t="str">
        <f>VLOOKUP(254,Textbausteine_102[],Hilfsgrössen!$D$2,FALSE)</f>
        <v>2) Valori dell'anno precedente in parte adattati.</v>
      </c>
      <c r="C72" s="26"/>
      <c r="D72" s="26"/>
      <c r="E72" s="292"/>
      <c r="F72" s="43"/>
      <c r="G72" s="26"/>
      <c r="H72" s="161"/>
      <c r="I72" s="161"/>
      <c r="J72" s="161"/>
      <c r="K72" s="161"/>
      <c r="L72" s="161"/>
      <c r="M72" s="161"/>
      <c r="N72" s="161"/>
      <c r="O72" s="161"/>
      <c r="P72" s="161"/>
      <c r="Q72" s="161"/>
      <c r="R72" s="159"/>
      <c r="S72" s="159"/>
      <c r="T72" s="160"/>
      <c r="U72" s="160"/>
      <c r="V72" s="160"/>
      <c r="W72" s="160"/>
      <c r="X72" s="160"/>
    </row>
    <row r="73" spans="1:88" ht="12.5" customHeight="1">
      <c r="C73" s="15"/>
      <c r="H73" s="159"/>
      <c r="I73" s="159"/>
      <c r="J73" s="159"/>
      <c r="K73" s="159"/>
      <c r="L73" s="159"/>
      <c r="M73" s="159"/>
      <c r="N73" s="20"/>
      <c r="O73" s="20"/>
      <c r="P73" s="106"/>
      <c r="Q73" s="160"/>
      <c r="R73" s="159"/>
      <c r="S73" s="159"/>
      <c r="T73" s="160"/>
      <c r="U73" s="160"/>
      <c r="V73" s="160"/>
      <c r="W73" s="160"/>
      <c r="X73" s="160"/>
    </row>
    <row r="74" spans="1:88" s="151" customFormat="1" ht="12.5" customHeight="1">
      <c r="A74" s="61" t="s">
        <v>27</v>
      </c>
      <c r="B74" s="495" t="str">
        <f>$C$10</f>
        <v>Evoluzione dei volumi</v>
      </c>
      <c r="C74" s="495"/>
      <c r="D74" s="479" t="str">
        <f>VLOOKUP(32,Textbausteine_Menu[],Hilfsgrössen!$D$2,FALSE)</f>
        <v>Unità</v>
      </c>
      <c r="E74" s="286" t="str">
        <f>VLOOKUP(33,Textbausteine_Menu[],Hilfsgrössen!$D$2,FALSE)</f>
        <v>Note</v>
      </c>
      <c r="F74" s="40" t="str">
        <f>VLOOKUP(34,Textbausteine_Menu[],Hilfsgrössen!$D$2,FALSE)</f>
        <v>GRI</v>
      </c>
      <c r="G74" s="48"/>
      <c r="H74" s="126">
        <v>2004</v>
      </c>
      <c r="I74" s="126">
        <v>2005</v>
      </c>
      <c r="J74" s="126">
        <v>2006</v>
      </c>
      <c r="K74" s="126">
        <v>2007</v>
      </c>
      <c r="L74" s="126">
        <v>2008</v>
      </c>
      <c r="M74" s="126">
        <v>2009</v>
      </c>
      <c r="N74" s="126">
        <v>2010</v>
      </c>
      <c r="O74" s="126">
        <v>2011</v>
      </c>
      <c r="P74" s="126">
        <v>2012</v>
      </c>
      <c r="Q74" s="126">
        <v>2013</v>
      </c>
      <c r="R74" s="126">
        <v>2014</v>
      </c>
      <c r="S74" s="126">
        <v>2015</v>
      </c>
      <c r="T74" s="119">
        <v>2016</v>
      </c>
      <c r="U74" s="119">
        <v>2017</v>
      </c>
      <c r="V74" s="119">
        <v>2018</v>
      </c>
      <c r="W74" s="119">
        <v>2019</v>
      </c>
      <c r="X74" s="247">
        <v>2020</v>
      </c>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row>
    <row r="75" spans="1:88" s="60" customFormat="1" ht="12.5" customHeight="1">
      <c r="A75" s="81"/>
      <c r="B75" s="495"/>
      <c r="C75" s="495"/>
      <c r="D75" s="59"/>
      <c r="E75" s="284"/>
      <c r="F75" s="40"/>
      <c r="G75" s="49"/>
      <c r="H75" s="142"/>
      <c r="I75" s="142"/>
      <c r="J75" s="142"/>
      <c r="K75" s="142"/>
      <c r="L75" s="142"/>
      <c r="M75" s="142"/>
      <c r="N75" s="142"/>
      <c r="O75" s="142"/>
      <c r="P75" s="142"/>
      <c r="Q75" s="142"/>
      <c r="R75" s="142"/>
      <c r="S75" s="142"/>
      <c r="T75" s="118"/>
      <c r="U75" s="118"/>
      <c r="V75" s="118"/>
      <c r="W75" s="118"/>
      <c r="X75" s="248"/>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row>
    <row r="76" spans="1:88" ht="12.5" customHeight="1">
      <c r="B76" s="8"/>
      <c r="D76" s="9"/>
      <c r="E76" s="287"/>
      <c r="F76" s="11"/>
      <c r="G76" s="48"/>
      <c r="H76" s="106"/>
      <c r="I76" s="106"/>
      <c r="J76" s="106"/>
      <c r="K76" s="106"/>
      <c r="L76" s="106"/>
      <c r="M76" s="106"/>
      <c r="N76" s="106"/>
      <c r="O76" s="106"/>
      <c r="P76" s="106"/>
      <c r="Q76" s="106"/>
      <c r="R76" s="106"/>
      <c r="S76" s="106"/>
      <c r="X76" s="249"/>
    </row>
    <row r="77" spans="1:88" ht="12.5" customHeight="1">
      <c r="B77" s="8" t="str">
        <f>VLOOKUP(45,Textbausteine_Menu[],Hilfsgrössen!$D$2,FALSE)</f>
        <v>PostMail</v>
      </c>
      <c r="E77" s="285"/>
      <c r="F77" s="11"/>
      <c r="G77" s="49"/>
      <c r="H77" s="20"/>
      <c r="I77" s="20"/>
      <c r="J77" s="20"/>
      <c r="K77" s="20"/>
      <c r="L77" s="20"/>
      <c r="M77" s="20"/>
      <c r="N77" s="20"/>
      <c r="O77" s="20"/>
      <c r="P77" s="106"/>
      <c r="Q77" s="160"/>
      <c r="R77" s="159"/>
      <c r="S77" s="159"/>
      <c r="T77" s="160"/>
      <c r="U77" s="160"/>
      <c r="V77" s="160"/>
      <c r="W77" s="160"/>
      <c r="X77" s="252"/>
    </row>
    <row r="78" spans="1:88" s="32" customFormat="1" ht="12.5" customHeight="1">
      <c r="A78" s="80"/>
      <c r="B78" s="1"/>
      <c r="C78" s="67" t="str">
        <f>VLOOKUP(71,Textbausteine_102[],Hilfsgrössen!$D$2,FALSE)</f>
        <v>Lettere indirizzate</v>
      </c>
      <c r="D78" s="1" t="str">
        <f>VLOOKUP(23,Textbausteine_102[],Hilfsgrössen!$D$2,FALSE)</f>
        <v>mln di invii</v>
      </c>
      <c r="E78" s="106">
        <v>1</v>
      </c>
      <c r="F78" s="11" t="s">
        <v>37</v>
      </c>
      <c r="G78" s="49"/>
      <c r="H78" s="137" t="s">
        <v>30</v>
      </c>
      <c r="I78" s="20">
        <v>2813</v>
      </c>
      <c r="J78" s="20">
        <v>2762</v>
      </c>
      <c r="K78" s="20">
        <v>2742</v>
      </c>
      <c r="L78" s="20">
        <v>2682</v>
      </c>
      <c r="M78" s="20">
        <v>2401</v>
      </c>
      <c r="N78" s="20">
        <v>2364</v>
      </c>
      <c r="O78" s="20">
        <v>2334</v>
      </c>
      <c r="P78" s="106">
        <v>2291</v>
      </c>
      <c r="Q78" s="160">
        <v>2259</v>
      </c>
      <c r="R78" s="159">
        <v>2203</v>
      </c>
      <c r="S78" s="159">
        <v>2172</v>
      </c>
      <c r="T78" s="160">
        <v>2089</v>
      </c>
      <c r="U78" s="160">
        <v>2001.9</v>
      </c>
      <c r="V78" s="160">
        <v>1898</v>
      </c>
      <c r="W78" s="160">
        <v>1807</v>
      </c>
      <c r="X78" s="252">
        <v>1706</v>
      </c>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row>
    <row r="79" spans="1:88" s="32" customFormat="1" ht="12.5" customHeight="1">
      <c r="A79" s="80"/>
      <c r="B79" s="1"/>
      <c r="C79" s="69" t="str">
        <f>VLOOKUP(72,Textbausteine_102[],Hilfsgrössen!$D$2,FALSE)</f>
        <v>Invii prioritari</v>
      </c>
      <c r="D79" s="1" t="str">
        <f>VLOOKUP(23,Textbausteine_102[],Hilfsgrössen!$D$2,FALSE)</f>
        <v>mln di invii</v>
      </c>
      <c r="E79" s="285"/>
      <c r="F79" s="11" t="s">
        <v>37</v>
      </c>
      <c r="G79" s="49"/>
      <c r="H79" s="137" t="s">
        <v>30</v>
      </c>
      <c r="I79" s="139">
        <v>751</v>
      </c>
      <c r="J79" s="139">
        <v>742</v>
      </c>
      <c r="K79" s="139">
        <v>758</v>
      </c>
      <c r="L79" s="139">
        <v>768</v>
      </c>
      <c r="M79" s="139">
        <v>627</v>
      </c>
      <c r="N79" s="139">
        <v>629</v>
      </c>
      <c r="O79" s="139">
        <v>633</v>
      </c>
      <c r="P79" s="159">
        <v>639</v>
      </c>
      <c r="Q79" s="159">
        <v>636</v>
      </c>
      <c r="R79" s="159">
        <v>622</v>
      </c>
      <c r="S79" s="159">
        <v>611</v>
      </c>
      <c r="T79" s="160">
        <v>593</v>
      </c>
      <c r="U79" s="160">
        <v>566</v>
      </c>
      <c r="V79" s="160">
        <v>528</v>
      </c>
      <c r="W79" s="160">
        <v>507</v>
      </c>
      <c r="X79" s="252">
        <v>508</v>
      </c>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row>
    <row r="80" spans="1:88" s="32" customFormat="1" ht="12.5" customHeight="1">
      <c r="A80" s="80"/>
      <c r="B80" s="1"/>
      <c r="C80" s="69" t="str">
        <f>VLOOKUP(73,Textbausteine_102[],Hilfsgrössen!$D$2,FALSE)</f>
        <v>Invii non prioritari</v>
      </c>
      <c r="D80" s="1" t="str">
        <f>VLOOKUP(23,Textbausteine_102[],Hilfsgrössen!$D$2,FALSE)</f>
        <v>mln di invii</v>
      </c>
      <c r="E80" s="285"/>
      <c r="F80" s="11" t="s">
        <v>37</v>
      </c>
      <c r="G80" s="49"/>
      <c r="H80" s="137" t="s">
        <v>30</v>
      </c>
      <c r="I80" s="139">
        <v>2022</v>
      </c>
      <c r="J80" s="139">
        <v>1984</v>
      </c>
      <c r="K80" s="139">
        <v>1949</v>
      </c>
      <c r="L80" s="139">
        <v>1881</v>
      </c>
      <c r="M80" s="139">
        <v>1740</v>
      </c>
      <c r="N80" s="139">
        <v>1706</v>
      </c>
      <c r="O80" s="139">
        <v>1681</v>
      </c>
      <c r="P80" s="159">
        <v>1630</v>
      </c>
      <c r="Q80" s="159">
        <v>1601</v>
      </c>
      <c r="R80" s="159">
        <v>1559</v>
      </c>
      <c r="S80" s="159">
        <v>1538</v>
      </c>
      <c r="T80" s="160">
        <v>1474</v>
      </c>
      <c r="U80" s="160">
        <v>1408</v>
      </c>
      <c r="V80" s="160">
        <v>1343</v>
      </c>
      <c r="W80" s="160">
        <v>1274</v>
      </c>
      <c r="X80" s="252">
        <v>1173</v>
      </c>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row>
    <row r="81" spans="1:88" s="32" customFormat="1" ht="12.5" customHeight="1">
      <c r="A81" s="80"/>
      <c r="B81" s="1"/>
      <c r="C81" s="67" t="str">
        <f>VLOOKUP(74,Textbausteine_102[],Hilfsgrössen!$D$2,FALSE)</f>
        <v>Invii non indirizzati</v>
      </c>
      <c r="D81" s="1" t="str">
        <f>VLOOKUP(23,Textbausteine_102[],Hilfsgrössen!$D$2,FALSE)</f>
        <v>mln di invii</v>
      </c>
      <c r="E81" s="285" t="s">
        <v>41</v>
      </c>
      <c r="F81" s="11" t="s">
        <v>37</v>
      </c>
      <c r="G81" s="49"/>
      <c r="H81" s="137" t="s">
        <v>30</v>
      </c>
      <c r="I81" s="139">
        <v>1211</v>
      </c>
      <c r="J81" s="139">
        <v>1159</v>
      </c>
      <c r="K81" s="139">
        <v>1216</v>
      </c>
      <c r="L81" s="139">
        <v>1203</v>
      </c>
      <c r="M81" s="139">
        <v>1232</v>
      </c>
      <c r="N81" s="159">
        <v>1300</v>
      </c>
      <c r="O81" s="159">
        <v>1257</v>
      </c>
      <c r="P81" s="159">
        <v>1902</v>
      </c>
      <c r="Q81" s="159">
        <v>1939</v>
      </c>
      <c r="R81" s="159">
        <v>1990</v>
      </c>
      <c r="S81" s="159">
        <v>1982</v>
      </c>
      <c r="T81" s="160">
        <v>1915</v>
      </c>
      <c r="U81" s="160">
        <v>1771</v>
      </c>
      <c r="V81" s="160">
        <v>1676</v>
      </c>
      <c r="W81" s="160">
        <v>1681</v>
      </c>
      <c r="X81" s="252">
        <v>1449</v>
      </c>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row>
    <row r="82" spans="1:88" s="32" customFormat="1" ht="12.5" customHeight="1">
      <c r="A82" s="80"/>
      <c r="B82" s="1"/>
      <c r="C82" s="67" t="str">
        <f>VLOOKUP(75,Textbausteine_102[],Hilfsgrössen!$D$2,FALSE)</f>
        <v>Giornali</v>
      </c>
      <c r="D82" s="1" t="str">
        <f>VLOOKUP(23,Textbausteine_102[],Hilfsgrössen!$D$2,FALSE)</f>
        <v>mln di invii</v>
      </c>
      <c r="E82" s="285"/>
      <c r="F82" s="11" t="s">
        <v>37</v>
      </c>
      <c r="G82" s="49"/>
      <c r="H82" s="137" t="s">
        <v>30</v>
      </c>
      <c r="I82" s="139">
        <v>1201</v>
      </c>
      <c r="J82" s="139">
        <v>1196</v>
      </c>
      <c r="K82" s="139">
        <v>1214</v>
      </c>
      <c r="L82" s="139">
        <v>1196</v>
      </c>
      <c r="M82" s="139">
        <v>1249</v>
      </c>
      <c r="N82" s="99">
        <v>1372</v>
      </c>
      <c r="O82" s="99">
        <v>1342</v>
      </c>
      <c r="P82" s="99">
        <v>1318</v>
      </c>
      <c r="Q82" s="99">
        <v>1256</v>
      </c>
      <c r="R82" s="99">
        <v>1223</v>
      </c>
      <c r="S82" s="99">
        <v>1177</v>
      </c>
      <c r="T82" s="160">
        <v>1149</v>
      </c>
      <c r="U82" s="160">
        <v>1116</v>
      </c>
      <c r="V82" s="160">
        <v>1075</v>
      </c>
      <c r="W82" s="160">
        <v>1009</v>
      </c>
      <c r="X82" s="252">
        <v>964</v>
      </c>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row>
    <row r="83" spans="1:88" s="32" customFormat="1" ht="12.5" customHeight="1">
      <c r="A83" s="57"/>
      <c r="B83" s="8"/>
      <c r="C83" s="67" t="str">
        <f>VLOOKUP(76,Textbausteine_102[],Hilfsgrössen!$D$2,FALSE)</f>
        <v>Lettere export</v>
      </c>
      <c r="D83" s="1" t="str">
        <f>VLOOKUP(23,Textbausteine_102[],Hilfsgrössen!$D$2,FALSE)</f>
        <v>mln di invii</v>
      </c>
      <c r="E83" s="106">
        <v>1</v>
      </c>
      <c r="F83" s="11" t="s">
        <v>37</v>
      </c>
      <c r="G83" s="49"/>
      <c r="H83" s="137" t="s">
        <v>30</v>
      </c>
      <c r="I83" s="99">
        <v>191.7</v>
      </c>
      <c r="J83" s="99">
        <v>199.7</v>
      </c>
      <c r="K83" s="99">
        <v>194</v>
      </c>
      <c r="L83" s="99">
        <v>184</v>
      </c>
      <c r="M83" s="99">
        <v>170</v>
      </c>
      <c r="N83" s="99">
        <v>103.7</v>
      </c>
      <c r="O83" s="99">
        <v>98.2</v>
      </c>
      <c r="P83" s="99">
        <v>82.4</v>
      </c>
      <c r="Q83" s="99">
        <v>80.7</v>
      </c>
      <c r="R83" s="99">
        <v>84.1</v>
      </c>
      <c r="S83" s="99">
        <v>83.8</v>
      </c>
      <c r="T83" s="160">
        <v>82.7</v>
      </c>
      <c r="U83" s="160">
        <v>73.8</v>
      </c>
      <c r="V83" s="160">
        <v>69.5</v>
      </c>
      <c r="W83" s="160">
        <v>64.3</v>
      </c>
      <c r="X83" s="252">
        <v>57.7</v>
      </c>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row>
    <row r="84" spans="1:88" s="32" customFormat="1" ht="12.5" customHeight="1">
      <c r="A84" s="80"/>
      <c r="B84" s="1"/>
      <c r="C84" s="67" t="str">
        <f>VLOOKUP(77,Textbausteine_102[],Hilfsgrössen!$D$2,FALSE)</f>
        <v>Lettere import</v>
      </c>
      <c r="D84" s="1" t="str">
        <f>VLOOKUP(23,Textbausteine_102[],Hilfsgrössen!$D$2,FALSE)</f>
        <v>mln di invii</v>
      </c>
      <c r="E84" s="106">
        <v>3</v>
      </c>
      <c r="F84" s="11" t="s">
        <v>37</v>
      </c>
      <c r="G84" s="49"/>
      <c r="H84" s="137" t="s">
        <v>30</v>
      </c>
      <c r="I84" s="139">
        <v>220.4</v>
      </c>
      <c r="J84" s="139">
        <v>230.6</v>
      </c>
      <c r="K84" s="139">
        <v>234.6</v>
      </c>
      <c r="L84" s="139">
        <v>235.8</v>
      </c>
      <c r="M84" s="139">
        <v>220.3</v>
      </c>
      <c r="N84" s="159">
        <v>198.2</v>
      </c>
      <c r="O84" s="159">
        <v>197.5</v>
      </c>
      <c r="P84" s="159">
        <v>179.6</v>
      </c>
      <c r="Q84" s="159">
        <v>164.2</v>
      </c>
      <c r="R84" s="159">
        <v>159.4</v>
      </c>
      <c r="S84" s="159">
        <v>151.4</v>
      </c>
      <c r="T84" s="160">
        <v>150.69999999999999</v>
      </c>
      <c r="U84" s="160">
        <v>146.80000000000001</v>
      </c>
      <c r="V84" s="160">
        <v>145.6</v>
      </c>
      <c r="W84" s="160">
        <v>132.1</v>
      </c>
      <c r="X84" s="252">
        <v>105.5</v>
      </c>
      <c r="Y84" s="11"/>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row>
    <row r="85" spans="1:88" s="32" customFormat="1" ht="12.5" customHeight="1">
      <c r="A85" s="448"/>
      <c r="B85" s="1"/>
      <c r="C85" s="67" t="str">
        <f>VLOOKUP(78,Textbausteine_102[],Hilfsgrössen!$D$2,FALSE)</f>
        <v>Giornali export</v>
      </c>
      <c r="D85" s="1" t="str">
        <f>VLOOKUP(23,Textbausteine_102[],Hilfsgrössen!$D$2,FALSE)</f>
        <v>mln di invii</v>
      </c>
      <c r="E85" s="285"/>
      <c r="F85" s="11" t="s">
        <v>37</v>
      </c>
      <c r="G85" s="50"/>
      <c r="H85" s="137" t="s">
        <v>30</v>
      </c>
      <c r="I85" s="173" t="s">
        <v>30</v>
      </c>
      <c r="J85" s="173" t="s">
        <v>30</v>
      </c>
      <c r="K85" s="173" t="s">
        <v>30</v>
      </c>
      <c r="L85" s="173" t="s">
        <v>30</v>
      </c>
      <c r="M85" s="173" t="s">
        <v>30</v>
      </c>
      <c r="N85" s="159">
        <v>11.8</v>
      </c>
      <c r="O85" s="159">
        <v>10.6</v>
      </c>
      <c r="P85" s="159">
        <v>9.5</v>
      </c>
      <c r="Q85" s="159">
        <v>8.5</v>
      </c>
      <c r="R85" s="159">
        <v>6.5</v>
      </c>
      <c r="S85" s="159">
        <v>6.2</v>
      </c>
      <c r="T85" s="160">
        <v>5.8</v>
      </c>
      <c r="U85" s="160">
        <v>5.4</v>
      </c>
      <c r="V85" s="160">
        <v>5.0999999999999996</v>
      </c>
      <c r="W85" s="160">
        <v>4.9000000000000004</v>
      </c>
      <c r="X85" s="252">
        <v>4.2</v>
      </c>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row>
    <row r="86" spans="1:88" s="32" customFormat="1" ht="12.5" customHeight="1">
      <c r="A86" s="448"/>
      <c r="B86" s="1"/>
      <c r="C86" s="67" t="str">
        <f>VLOOKUP(79,Textbausteine_102[],Hilfsgrössen!$D$2,FALSE)</f>
        <v>Giornali import</v>
      </c>
      <c r="D86" s="1" t="str">
        <f>VLOOKUP(23,Textbausteine_102[],Hilfsgrössen!$D$2,FALSE)</f>
        <v>mln di invii</v>
      </c>
      <c r="E86" s="285"/>
      <c r="F86" s="11" t="s">
        <v>37</v>
      </c>
      <c r="G86" s="49"/>
      <c r="H86" s="137" t="s">
        <v>30</v>
      </c>
      <c r="I86" s="173" t="s">
        <v>30</v>
      </c>
      <c r="J86" s="173" t="s">
        <v>30</v>
      </c>
      <c r="K86" s="173" t="s">
        <v>30</v>
      </c>
      <c r="L86" s="173" t="s">
        <v>30</v>
      </c>
      <c r="M86" s="173" t="s">
        <v>30</v>
      </c>
      <c r="N86" s="159">
        <v>24.1</v>
      </c>
      <c r="O86" s="159">
        <v>25.7</v>
      </c>
      <c r="P86" s="159">
        <v>23.5</v>
      </c>
      <c r="Q86" s="159">
        <v>22.9</v>
      </c>
      <c r="R86" s="159">
        <v>21.6</v>
      </c>
      <c r="S86" s="159">
        <v>21.5</v>
      </c>
      <c r="T86" s="160">
        <v>21.7</v>
      </c>
      <c r="U86" s="160">
        <v>20.8</v>
      </c>
      <c r="V86" s="160">
        <v>20.5</v>
      </c>
      <c r="W86" s="160">
        <v>19.8</v>
      </c>
      <c r="X86" s="252">
        <v>16.5</v>
      </c>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row>
    <row r="87" spans="1:88" s="32" customFormat="1" ht="12.5" customHeight="1">
      <c r="A87" s="448"/>
      <c r="B87" s="1"/>
      <c r="C87" s="67"/>
      <c r="D87" s="1"/>
      <c r="E87" s="285"/>
      <c r="F87" s="11"/>
      <c r="G87" s="49"/>
      <c r="H87" s="139"/>
      <c r="I87" s="139"/>
      <c r="J87" s="139"/>
      <c r="K87" s="139"/>
      <c r="L87" s="139"/>
      <c r="M87" s="139"/>
      <c r="N87" s="159"/>
      <c r="O87" s="159"/>
      <c r="P87" s="159"/>
      <c r="Q87" s="159"/>
      <c r="R87" s="159"/>
      <c r="S87" s="159"/>
      <c r="T87" s="160"/>
      <c r="U87" s="160"/>
      <c r="V87" s="160"/>
      <c r="W87" s="160"/>
      <c r="X87" s="252"/>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row>
    <row r="88" spans="1:88" s="32" customFormat="1" ht="12.5" customHeight="1">
      <c r="A88" s="448"/>
      <c r="B88" s="8" t="str">
        <f>VLOOKUP(48,Textbausteine_Menu[],Hilfsgrössen!$D$2,FALSE)</f>
        <v>PostLogistics</v>
      </c>
      <c r="C88" s="67"/>
      <c r="D88" s="1"/>
      <c r="E88" s="285"/>
      <c r="F88" s="11"/>
      <c r="G88" s="49"/>
      <c r="H88" s="139"/>
      <c r="I88" s="139"/>
      <c r="J88" s="139"/>
      <c r="K88" s="139"/>
      <c r="L88" s="139"/>
      <c r="M88" s="139"/>
      <c r="N88" s="159"/>
      <c r="O88" s="159"/>
      <c r="P88" s="159"/>
      <c r="Q88" s="159"/>
      <c r="R88" s="159"/>
      <c r="S88" s="159"/>
      <c r="T88" s="160"/>
      <c r="U88" s="160"/>
      <c r="V88" s="160"/>
      <c r="W88" s="160"/>
      <c r="X88" s="252"/>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row>
    <row r="89" spans="1:88" s="32" customFormat="1" ht="12.5" customHeight="1">
      <c r="A89" s="448"/>
      <c r="B89" s="1"/>
      <c r="C89" s="67" t="str">
        <f>VLOOKUP(80,Textbausteine_102[],Hilfsgrössen!$D$2,FALSE)</f>
        <v>Pacchi</v>
      </c>
      <c r="D89" s="1" t="str">
        <f>VLOOKUP(23,Textbausteine_102[],Hilfsgrössen!$D$2,FALSE)</f>
        <v>mln di invii</v>
      </c>
      <c r="E89" s="106" t="s">
        <v>42</v>
      </c>
      <c r="F89" s="11" t="s">
        <v>37</v>
      </c>
      <c r="G89" s="50"/>
      <c r="H89" s="271" t="s">
        <v>30</v>
      </c>
      <c r="I89" s="333">
        <v>107.3</v>
      </c>
      <c r="J89" s="333">
        <v>106.6</v>
      </c>
      <c r="K89" s="333">
        <v>106.8</v>
      </c>
      <c r="L89" s="333">
        <v>110.1</v>
      </c>
      <c r="M89" s="333">
        <v>108.6</v>
      </c>
      <c r="N89" s="334">
        <v>113.4</v>
      </c>
      <c r="O89" s="334">
        <v>111.5</v>
      </c>
      <c r="P89" s="334">
        <v>114</v>
      </c>
      <c r="Q89" s="334">
        <v>110</v>
      </c>
      <c r="R89" s="334">
        <v>112</v>
      </c>
      <c r="S89" s="334">
        <v>115.2</v>
      </c>
      <c r="T89" s="221">
        <v>129</v>
      </c>
      <c r="U89" s="221">
        <v>137.69999999999999</v>
      </c>
      <c r="V89" s="221">
        <v>146</v>
      </c>
      <c r="W89" s="221">
        <v>155.6</v>
      </c>
      <c r="X89" s="335">
        <v>191.4</v>
      </c>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row>
    <row r="90" spans="1:88" s="32" customFormat="1" ht="12.5" customHeight="1">
      <c r="A90" s="448"/>
      <c r="B90" s="1"/>
      <c r="C90" s="69" t="str">
        <f>VLOOKUP(81,Textbausteine_102[],Hilfsgrössen!$D$2,FALSE)</f>
        <v>Domestici Priority</v>
      </c>
      <c r="D90" s="1" t="str">
        <f>VLOOKUP(23,Textbausteine_102[],Hilfsgrössen!$D$2,FALSE)</f>
        <v>mln di invii</v>
      </c>
      <c r="E90" s="20" t="s">
        <v>42</v>
      </c>
      <c r="F90" s="11" t="s">
        <v>37</v>
      </c>
      <c r="G90" s="50"/>
      <c r="H90" s="271" t="s">
        <v>30</v>
      </c>
      <c r="I90" s="333">
        <v>27.4</v>
      </c>
      <c r="J90" s="333">
        <v>30.3</v>
      </c>
      <c r="K90" s="333">
        <v>34.6</v>
      </c>
      <c r="L90" s="333">
        <v>38</v>
      </c>
      <c r="M90" s="333">
        <v>39.799999999999997</v>
      </c>
      <c r="N90" s="334">
        <v>43.7</v>
      </c>
      <c r="O90" s="334">
        <v>45.9</v>
      </c>
      <c r="P90" s="334">
        <v>50.1</v>
      </c>
      <c r="Q90" s="334">
        <v>45.8</v>
      </c>
      <c r="R90" s="334">
        <v>49.1</v>
      </c>
      <c r="S90" s="334">
        <v>53.2</v>
      </c>
      <c r="T90" s="221">
        <v>59.4</v>
      </c>
      <c r="U90" s="221">
        <v>65.099999999999994</v>
      </c>
      <c r="V90" s="221">
        <v>70.8</v>
      </c>
      <c r="W90" s="221">
        <v>76.900000000000006</v>
      </c>
      <c r="X90" s="335">
        <v>96</v>
      </c>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row>
    <row r="91" spans="1:88" s="32" customFormat="1" ht="12.5" customHeight="1">
      <c r="A91" s="448"/>
      <c r="B91" s="1"/>
      <c r="C91" s="69" t="str">
        <f>VLOOKUP(82,Textbausteine_102[],Hilfsgrössen!$D$2,FALSE)</f>
        <v>Domestici Economy</v>
      </c>
      <c r="D91" s="1" t="str">
        <f>VLOOKUP(23,Textbausteine_102[],Hilfsgrössen!$D$2,FALSE)</f>
        <v>mln di invii</v>
      </c>
      <c r="E91" s="20" t="s">
        <v>42</v>
      </c>
      <c r="F91" s="11" t="s">
        <v>37</v>
      </c>
      <c r="G91" s="49"/>
      <c r="H91" s="271" t="s">
        <v>30</v>
      </c>
      <c r="I91" s="333">
        <v>75.3</v>
      </c>
      <c r="J91" s="333">
        <v>71.400000000000006</v>
      </c>
      <c r="K91" s="333">
        <v>68.5</v>
      </c>
      <c r="L91" s="333">
        <v>66.400000000000006</v>
      </c>
      <c r="M91" s="333">
        <v>64.599999999999994</v>
      </c>
      <c r="N91" s="334">
        <v>64.599999999999994</v>
      </c>
      <c r="O91" s="334">
        <v>61</v>
      </c>
      <c r="P91" s="334">
        <v>61.1</v>
      </c>
      <c r="Q91" s="334">
        <v>57.8</v>
      </c>
      <c r="R91" s="334">
        <v>56.3</v>
      </c>
      <c r="S91" s="334">
        <v>55.3</v>
      </c>
      <c r="T91" s="221">
        <v>55.2</v>
      </c>
      <c r="U91" s="221">
        <v>56.9</v>
      </c>
      <c r="V91" s="221">
        <v>59.9</v>
      </c>
      <c r="W91" s="221">
        <v>63</v>
      </c>
      <c r="X91" s="335">
        <v>75.8</v>
      </c>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row>
    <row r="92" spans="1:88" s="32" customFormat="1" ht="12.5" customHeight="1">
      <c r="A92" s="448"/>
      <c r="B92" s="1"/>
      <c r="C92" s="69" t="str">
        <f>VLOOKUP(83,Textbausteine_102[],Hilfsgrössen!$D$2,FALSE)</f>
        <v>Export</v>
      </c>
      <c r="D92" s="1" t="str">
        <f>VLOOKUP(23,Textbausteine_102[],Hilfsgrössen!$D$2,FALSE)</f>
        <v>mln di invii</v>
      </c>
      <c r="E92" s="20" t="s">
        <v>42</v>
      </c>
      <c r="F92" s="11" t="s">
        <v>37</v>
      </c>
      <c r="G92" s="49"/>
      <c r="H92" s="271" t="s">
        <v>30</v>
      </c>
      <c r="I92" s="333">
        <v>1.4</v>
      </c>
      <c r="J92" s="333">
        <v>1.4</v>
      </c>
      <c r="K92" s="333">
        <v>0.8</v>
      </c>
      <c r="L92" s="333">
        <v>1.4</v>
      </c>
      <c r="M92" s="333">
        <v>1.1000000000000001</v>
      </c>
      <c r="N92" s="334">
        <v>1.3</v>
      </c>
      <c r="O92" s="334">
        <v>1.2</v>
      </c>
      <c r="P92" s="334">
        <v>1.4</v>
      </c>
      <c r="Q92" s="334">
        <v>1.6</v>
      </c>
      <c r="R92" s="334">
        <v>1.3</v>
      </c>
      <c r="S92" s="334">
        <v>1.1000000000000001</v>
      </c>
      <c r="T92" s="221">
        <v>1.3</v>
      </c>
      <c r="U92" s="221">
        <v>1.2</v>
      </c>
      <c r="V92" s="221">
        <v>1.3</v>
      </c>
      <c r="W92" s="221">
        <v>1.5</v>
      </c>
      <c r="X92" s="335">
        <v>2.4</v>
      </c>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row>
    <row r="93" spans="1:88" s="32" customFormat="1" ht="12.5" customHeight="1">
      <c r="A93" s="448"/>
      <c r="B93" s="1"/>
      <c r="C93" s="69" t="str">
        <f>VLOOKUP(84,Textbausteine_102[],Hilfsgrössen!$D$2,FALSE)</f>
        <v>Import</v>
      </c>
      <c r="D93" s="1" t="str">
        <f>VLOOKUP(23,Textbausteine_102[],Hilfsgrössen!$D$2,FALSE)</f>
        <v>mln di invii</v>
      </c>
      <c r="E93" s="106" t="s">
        <v>43</v>
      </c>
      <c r="F93" s="11" t="s">
        <v>37</v>
      </c>
      <c r="G93" s="50"/>
      <c r="H93" s="271" t="s">
        <v>30</v>
      </c>
      <c r="I93" s="333">
        <v>3.2</v>
      </c>
      <c r="J93" s="333">
        <v>3.5</v>
      </c>
      <c r="K93" s="333">
        <v>2.9</v>
      </c>
      <c r="L93" s="333">
        <v>4.3</v>
      </c>
      <c r="M93" s="333">
        <v>3.1</v>
      </c>
      <c r="N93" s="334">
        <v>3.8</v>
      </c>
      <c r="O93" s="334">
        <v>3.4</v>
      </c>
      <c r="P93" s="334">
        <v>1.4</v>
      </c>
      <c r="Q93" s="334">
        <v>4.8</v>
      </c>
      <c r="R93" s="334">
        <v>5.0999999999999996</v>
      </c>
      <c r="S93" s="334">
        <v>5.6</v>
      </c>
      <c r="T93" s="221">
        <v>5.9</v>
      </c>
      <c r="U93" s="221">
        <v>6.2</v>
      </c>
      <c r="V93" s="221">
        <v>6.1</v>
      </c>
      <c r="W93" s="221">
        <v>6.8</v>
      </c>
      <c r="X93" s="335">
        <v>8.5</v>
      </c>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row>
    <row r="94" spans="1:88" s="32" customFormat="1" ht="12.5" customHeight="1">
      <c r="A94" s="448"/>
      <c r="B94" s="1"/>
      <c r="C94" s="69" t="str">
        <f>VLOOKUP(128,Textbausteine_102[],Hilfsgrössen!$D$2,FALSE)</f>
        <v>Altri prodotti posta-pacchi</v>
      </c>
      <c r="D94" s="1" t="str">
        <f>VLOOKUP(23,Textbausteine_102[],Hilfsgrössen!$D$2,FALSE)</f>
        <v>mln di invii</v>
      </c>
      <c r="E94" s="106">
        <v>20</v>
      </c>
      <c r="F94" s="11" t="s">
        <v>37</v>
      </c>
      <c r="G94" s="50"/>
      <c r="H94" s="173" t="s">
        <v>30</v>
      </c>
      <c r="I94" s="173" t="s">
        <v>30</v>
      </c>
      <c r="J94" s="173" t="s">
        <v>30</v>
      </c>
      <c r="K94" s="173" t="s">
        <v>30</v>
      </c>
      <c r="L94" s="173" t="s">
        <v>30</v>
      </c>
      <c r="M94" s="173" t="s">
        <v>30</v>
      </c>
      <c r="N94" s="173" t="s">
        <v>30</v>
      </c>
      <c r="O94" s="173" t="s">
        <v>30</v>
      </c>
      <c r="P94" s="173" t="s">
        <v>30</v>
      </c>
      <c r="Q94" s="173" t="s">
        <v>30</v>
      </c>
      <c r="R94" s="173" t="s">
        <v>30</v>
      </c>
      <c r="S94" s="173" t="s">
        <v>30</v>
      </c>
      <c r="T94" s="221">
        <v>5.2</v>
      </c>
      <c r="U94" s="221">
        <v>6.4</v>
      </c>
      <c r="V94" s="221">
        <v>6.1</v>
      </c>
      <c r="W94" s="221">
        <v>5.6</v>
      </c>
      <c r="X94" s="335">
        <v>6.7</v>
      </c>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row>
    <row r="95" spans="1:88" s="32" customFormat="1" ht="12.5" customHeight="1">
      <c r="A95" s="448"/>
      <c r="B95" s="1"/>
      <c r="C95" s="69" t="str">
        <f>VLOOKUP(129,Textbausteine_102[],Hilfsgrössen!$D$2,FALSE)</f>
        <v>Clienti privati Swiss-Express</v>
      </c>
      <c r="D95" s="1" t="str">
        <f>VLOOKUP(23,Textbausteine_102[],Hilfsgrössen!$D$2,FALSE)</f>
        <v>mln di invii</v>
      </c>
      <c r="E95" s="106">
        <v>20</v>
      </c>
      <c r="F95" s="11" t="s">
        <v>37</v>
      </c>
      <c r="G95" s="50"/>
      <c r="H95" s="173" t="s">
        <v>30</v>
      </c>
      <c r="I95" s="173" t="s">
        <v>30</v>
      </c>
      <c r="J95" s="173" t="s">
        <v>30</v>
      </c>
      <c r="K95" s="173" t="s">
        <v>30</v>
      </c>
      <c r="L95" s="173" t="s">
        <v>30</v>
      </c>
      <c r="M95" s="173" t="s">
        <v>30</v>
      </c>
      <c r="N95" s="173" t="s">
        <v>30</v>
      </c>
      <c r="O95" s="173" t="s">
        <v>30</v>
      </c>
      <c r="P95" s="173" t="s">
        <v>30</v>
      </c>
      <c r="Q95" s="173" t="s">
        <v>30</v>
      </c>
      <c r="R95" s="173" t="s">
        <v>30</v>
      </c>
      <c r="S95" s="173" t="s">
        <v>30</v>
      </c>
      <c r="T95" s="221">
        <v>0.3</v>
      </c>
      <c r="U95" s="221">
        <v>0.3</v>
      </c>
      <c r="V95" s="221">
        <v>0.3</v>
      </c>
      <c r="W95" s="221">
        <v>0.3</v>
      </c>
      <c r="X95" s="335">
        <v>0.3</v>
      </c>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row>
    <row r="96" spans="1:88" s="32" customFormat="1" ht="12.5" customHeight="1">
      <c r="A96" s="448"/>
      <c r="B96" s="1"/>
      <c r="C96" s="69" t="str">
        <f>VLOOKUP(85,Textbausteine_102[],Hilfsgrössen!$D$2,FALSE)</f>
        <v>Swiss-Express clienti commerciali</v>
      </c>
      <c r="D96" s="1" t="str">
        <f>VLOOKUP(23,Textbausteine_102[],Hilfsgrössen!$D$2,FALSE)</f>
        <v>mln di invii</v>
      </c>
      <c r="E96" s="20" t="s">
        <v>44</v>
      </c>
      <c r="F96" s="11" t="s">
        <v>37</v>
      </c>
      <c r="G96" s="50"/>
      <c r="H96" s="271" t="s">
        <v>30</v>
      </c>
      <c r="I96" s="333">
        <v>3.2</v>
      </c>
      <c r="J96" s="333">
        <v>3.2</v>
      </c>
      <c r="K96" s="333">
        <v>3</v>
      </c>
      <c r="L96" s="333">
        <v>3</v>
      </c>
      <c r="M96" s="333">
        <v>2.9</v>
      </c>
      <c r="N96" s="334">
        <v>2.4</v>
      </c>
      <c r="O96" s="334">
        <v>2.1</v>
      </c>
      <c r="P96" s="334">
        <v>2.1</v>
      </c>
      <c r="Q96" s="334">
        <v>2</v>
      </c>
      <c r="R96" s="334">
        <v>1.8</v>
      </c>
      <c r="S96" s="334">
        <v>1.8</v>
      </c>
      <c r="T96" s="221">
        <v>1.7</v>
      </c>
      <c r="U96" s="221">
        <v>1.6</v>
      </c>
      <c r="V96" s="221">
        <v>1.5</v>
      </c>
      <c r="W96" s="221">
        <v>1.5</v>
      </c>
      <c r="X96" s="335">
        <v>1.7</v>
      </c>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row>
    <row r="97" spans="1:88" s="32" customFormat="1" ht="12.5" customHeight="1">
      <c r="A97" s="448"/>
      <c r="B97" s="1"/>
      <c r="C97" s="67" t="str">
        <f>VLOOKUP(86,Textbausteine_102[],Hilfsgrössen!$D$2,FALSE)</f>
        <v>Corriere export (via TNT Swiss Post AG)</v>
      </c>
      <c r="D97" s="1" t="str">
        <f>VLOOKUP(23,Textbausteine_102[],Hilfsgrössen!$D$2,FALSE)</f>
        <v>mln di invii</v>
      </c>
      <c r="E97" s="20" t="s">
        <v>45</v>
      </c>
      <c r="F97" s="11" t="s">
        <v>37</v>
      </c>
      <c r="G97" s="49"/>
      <c r="H97" s="271" t="s">
        <v>30</v>
      </c>
      <c r="I97" s="333">
        <v>1.4</v>
      </c>
      <c r="J97" s="333">
        <v>1.6</v>
      </c>
      <c r="K97" s="333">
        <v>1.9</v>
      </c>
      <c r="L97" s="333">
        <v>1.5</v>
      </c>
      <c r="M97" s="333">
        <v>1.5</v>
      </c>
      <c r="N97" s="334">
        <v>1.5</v>
      </c>
      <c r="O97" s="334">
        <v>1.5</v>
      </c>
      <c r="P97" s="334">
        <v>1.4</v>
      </c>
      <c r="Q97" s="334">
        <v>1.4</v>
      </c>
      <c r="R97" s="334">
        <v>1.5</v>
      </c>
      <c r="S97" s="334">
        <v>1.6</v>
      </c>
      <c r="T97" s="221">
        <v>1.6</v>
      </c>
      <c r="U97" s="221">
        <v>1.5</v>
      </c>
      <c r="V97" s="221">
        <v>1.6</v>
      </c>
      <c r="W97" s="221">
        <v>2.6</v>
      </c>
      <c r="X97" s="335">
        <v>2.3079999999999998</v>
      </c>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row>
    <row r="98" spans="1:88" s="32" customFormat="1" ht="12.5" customHeight="1">
      <c r="A98" s="448"/>
      <c r="B98" s="1"/>
      <c r="C98" s="10"/>
      <c r="D98" s="1"/>
      <c r="E98" s="287"/>
      <c r="F98" s="11"/>
      <c r="G98" s="49"/>
      <c r="H98" s="139"/>
      <c r="I98" s="139"/>
      <c r="J98" s="139"/>
      <c r="K98" s="139"/>
      <c r="L98" s="139"/>
      <c r="M98" s="139"/>
      <c r="N98" s="159"/>
      <c r="O98" s="159"/>
      <c r="P98" s="159"/>
      <c r="Q98" s="159"/>
      <c r="R98" s="159"/>
      <c r="S98" s="159"/>
      <c r="T98" s="160"/>
      <c r="U98" s="160"/>
      <c r="V98" s="160"/>
      <c r="W98" s="160"/>
      <c r="X98" s="252"/>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row>
    <row r="99" spans="1:88" s="32" customFormat="1" ht="12.5" customHeight="1">
      <c r="A99" s="448"/>
      <c r="B99" s="8" t="str">
        <f>VLOOKUP(46,Textbausteine_Menu[],Hilfsgrössen!$D$2,FALSE)</f>
        <v>Swiss Post Solutions</v>
      </c>
      <c r="C99" s="10"/>
      <c r="D99" s="1"/>
      <c r="E99" s="287"/>
      <c r="F99" s="11"/>
      <c r="G99" s="49"/>
      <c r="H99" s="139"/>
      <c r="I99" s="139"/>
      <c r="J99" s="139"/>
      <c r="K99" s="139"/>
      <c r="L99" s="139"/>
      <c r="M99" s="139"/>
      <c r="N99" s="159"/>
      <c r="O99" s="159"/>
      <c r="P99" s="159"/>
      <c r="Q99" s="159"/>
      <c r="R99" s="159"/>
      <c r="S99" s="159"/>
      <c r="T99" s="160"/>
      <c r="U99" s="160"/>
      <c r="V99" s="160"/>
      <c r="W99" s="160"/>
      <c r="X99" s="252"/>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row>
    <row r="100" spans="1:88" s="32" customFormat="1" ht="12.5" customHeight="1">
      <c r="A100" s="448"/>
      <c r="B100" s="1"/>
      <c r="C100" s="67" t="str">
        <f>VLOOKUP(87,Textbausteine_102[],Hilfsgrössen!$D$2,FALSE)</f>
        <v>Casi trattati (Customer Care)</v>
      </c>
      <c r="D100" s="1" t="str">
        <f>VLOOKUP(24,Textbausteine_102[],Hilfsgrössen!$D$2,FALSE)</f>
        <v>Numero in mln</v>
      </c>
      <c r="E100" s="287" t="s">
        <v>46</v>
      </c>
      <c r="F100" s="11" t="s">
        <v>37</v>
      </c>
      <c r="G100" s="49"/>
      <c r="H100" s="377" t="s">
        <v>30</v>
      </c>
      <c r="I100" s="378" t="s">
        <v>30</v>
      </c>
      <c r="J100" s="379">
        <v>4.3</v>
      </c>
      <c r="K100" s="379">
        <v>4.3</v>
      </c>
      <c r="L100" s="379">
        <v>3.2</v>
      </c>
      <c r="M100" s="379">
        <v>3.9</v>
      </c>
      <c r="N100" s="380">
        <v>5.9</v>
      </c>
      <c r="O100" s="380">
        <v>5.2705979999999997</v>
      </c>
      <c r="P100" s="380">
        <v>5.2861380000000002</v>
      </c>
      <c r="Q100" s="380">
        <v>6.3248540000000002</v>
      </c>
      <c r="R100" s="380">
        <v>7.1</v>
      </c>
      <c r="S100" s="380">
        <v>5.9</v>
      </c>
      <c r="T100" s="381">
        <v>4.8</v>
      </c>
      <c r="U100" s="381">
        <v>5.0999999999999996</v>
      </c>
      <c r="V100" s="381">
        <v>5.6970210000000003</v>
      </c>
      <c r="W100" s="381">
        <v>5.4</v>
      </c>
      <c r="X100" s="382">
        <v>4.4266259999999997</v>
      </c>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row>
    <row r="101" spans="1:88" s="32" customFormat="1" ht="12.5" customHeight="1">
      <c r="A101" s="448"/>
      <c r="B101" s="1"/>
      <c r="C101" s="67" t="str">
        <f>VLOOKUP(88,Textbausteine_102[],Hilfsgrössen!$D$2,FALSE)</f>
        <v>Pagine scansionate (Document Solutions)</v>
      </c>
      <c r="D101" s="1" t="str">
        <f>VLOOKUP(24,Textbausteine_102[],Hilfsgrössen!$D$2,FALSE)</f>
        <v>Numero in mln</v>
      </c>
      <c r="E101" s="106">
        <v>5</v>
      </c>
      <c r="F101" s="11" t="s">
        <v>37</v>
      </c>
      <c r="G101" s="49"/>
      <c r="H101" s="377" t="s">
        <v>30</v>
      </c>
      <c r="I101" s="378" t="s">
        <v>30</v>
      </c>
      <c r="J101" s="379">
        <v>15.7</v>
      </c>
      <c r="K101" s="379">
        <v>15.7</v>
      </c>
      <c r="L101" s="379">
        <v>23.7</v>
      </c>
      <c r="M101" s="379">
        <v>33</v>
      </c>
      <c r="N101" s="380">
        <v>35</v>
      </c>
      <c r="O101" s="380">
        <v>38.65</v>
      </c>
      <c r="P101" s="380">
        <v>33</v>
      </c>
      <c r="Q101" s="380">
        <v>153.834</v>
      </c>
      <c r="R101" s="380">
        <v>160</v>
      </c>
      <c r="S101" s="380">
        <v>186.9</v>
      </c>
      <c r="T101" s="381">
        <v>182.8</v>
      </c>
      <c r="U101" s="381">
        <v>201</v>
      </c>
      <c r="V101" s="381">
        <v>220.52623800000001</v>
      </c>
      <c r="W101" s="381">
        <v>178.7</v>
      </c>
      <c r="X101" s="382">
        <v>166.08444499999999</v>
      </c>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row>
    <row r="102" spans="1:88" s="32" customFormat="1" ht="12.5" customHeight="1">
      <c r="A102" s="448"/>
      <c r="B102" s="1"/>
      <c r="C102" s="67" t="str">
        <f>VLOOKUP(89,Textbausteine_102[],Hilfsgrössen!$D$2,FALSE)</f>
        <v>Carte personalizzate (Cards)</v>
      </c>
      <c r="D102" s="1" t="str">
        <f>VLOOKUP(24,Textbausteine_102[],Hilfsgrössen!$D$2,FALSE)</f>
        <v>Numero in mln</v>
      </c>
      <c r="E102" s="106">
        <v>5</v>
      </c>
      <c r="F102" s="11" t="s">
        <v>37</v>
      </c>
      <c r="G102" s="50"/>
      <c r="H102" s="377" t="s">
        <v>30</v>
      </c>
      <c r="I102" s="378" t="s">
        <v>30</v>
      </c>
      <c r="J102" s="379">
        <v>256</v>
      </c>
      <c r="K102" s="379">
        <v>256</v>
      </c>
      <c r="L102" s="379">
        <v>254</v>
      </c>
      <c r="M102" s="379">
        <v>125</v>
      </c>
      <c r="N102" s="380">
        <v>165.5</v>
      </c>
      <c r="O102" s="380">
        <v>189.50945299999998</v>
      </c>
      <c r="P102" s="380">
        <v>171.5</v>
      </c>
      <c r="Q102" s="380">
        <v>140</v>
      </c>
      <c r="R102" s="380">
        <v>119.1</v>
      </c>
      <c r="S102" s="380">
        <v>153</v>
      </c>
      <c r="T102" s="383" t="s">
        <v>30</v>
      </c>
      <c r="U102" s="383" t="s">
        <v>30</v>
      </c>
      <c r="V102" s="383" t="s">
        <v>30</v>
      </c>
      <c r="W102" s="383" t="s">
        <v>30</v>
      </c>
      <c r="X102" s="384" t="s">
        <v>30</v>
      </c>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row>
    <row r="103" spans="1:88" s="32" customFormat="1" ht="12.5" customHeight="1">
      <c r="A103" s="448"/>
      <c r="B103" s="1"/>
      <c r="C103" s="67" t="str">
        <f>VLOOKUP(90,Textbausteine_102[],Hilfsgrössen!$D$2,FALSE)</f>
        <v>Carte non personalizzate (Cards)</v>
      </c>
      <c r="D103" s="1" t="str">
        <f>VLOOKUP(24,Textbausteine_102[],Hilfsgrössen!$D$2,FALSE)</f>
        <v>Numero in mln</v>
      </c>
      <c r="E103" s="106">
        <v>5</v>
      </c>
      <c r="F103" s="11" t="s">
        <v>37</v>
      </c>
      <c r="G103" s="49"/>
      <c r="H103" s="377" t="s">
        <v>30</v>
      </c>
      <c r="I103" s="377" t="s">
        <v>30</v>
      </c>
      <c r="J103" s="385">
        <v>21</v>
      </c>
      <c r="K103" s="385">
        <v>21</v>
      </c>
      <c r="L103" s="385">
        <v>22</v>
      </c>
      <c r="M103" s="385">
        <v>20</v>
      </c>
      <c r="N103" s="386">
        <v>20</v>
      </c>
      <c r="O103" s="386">
        <v>9</v>
      </c>
      <c r="P103" s="386">
        <v>8.3000000000000007</v>
      </c>
      <c r="Q103" s="386">
        <v>5</v>
      </c>
      <c r="R103" s="386">
        <v>1.2</v>
      </c>
      <c r="S103" s="386">
        <v>2</v>
      </c>
      <c r="T103" s="383" t="s">
        <v>30</v>
      </c>
      <c r="U103" s="383" t="s">
        <v>30</v>
      </c>
      <c r="V103" s="383" t="s">
        <v>30</v>
      </c>
      <c r="W103" s="383" t="s">
        <v>30</v>
      </c>
      <c r="X103" s="384" t="s">
        <v>30</v>
      </c>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row>
    <row r="104" spans="1:88" s="32" customFormat="1" ht="12.5" customHeight="1">
      <c r="A104" s="450"/>
      <c r="B104" s="8"/>
      <c r="C104" s="67" t="str">
        <f>VLOOKUP(91,Textbausteine_102[],Hilfsgrössen!$D$2,FALSE)</f>
        <v>Invii prodotti (Document Output)</v>
      </c>
      <c r="D104" s="1" t="str">
        <f>VLOOKUP(24,Textbausteine_102[],Hilfsgrössen!$D$2,FALSE)</f>
        <v>Numero in mln</v>
      </c>
      <c r="E104" s="106">
        <v>5</v>
      </c>
      <c r="F104" s="11" t="s">
        <v>37</v>
      </c>
      <c r="G104" s="49"/>
      <c r="H104" s="377" t="s">
        <v>30</v>
      </c>
      <c r="I104" s="377" t="s">
        <v>30</v>
      </c>
      <c r="J104" s="385">
        <v>169.2</v>
      </c>
      <c r="K104" s="385">
        <v>169.2</v>
      </c>
      <c r="L104" s="385">
        <v>204.2</v>
      </c>
      <c r="M104" s="385">
        <v>208.9</v>
      </c>
      <c r="N104" s="386">
        <v>204.2</v>
      </c>
      <c r="O104" s="386">
        <v>203.63200000000001</v>
      </c>
      <c r="P104" s="386">
        <v>204.12100000000001</v>
      </c>
      <c r="Q104" s="386">
        <v>360</v>
      </c>
      <c r="R104" s="386">
        <v>335.8</v>
      </c>
      <c r="S104" s="386">
        <v>403.1</v>
      </c>
      <c r="T104" s="381">
        <v>428.8</v>
      </c>
      <c r="U104" s="381">
        <v>463.4</v>
      </c>
      <c r="V104" s="381">
        <v>480.63600000000002</v>
      </c>
      <c r="W104" s="381">
        <v>426.1</v>
      </c>
      <c r="X104" s="382">
        <v>342.13899999999995</v>
      </c>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row>
    <row r="105" spans="1:88" s="32" customFormat="1" ht="12.5" customHeight="1">
      <c r="A105" s="448"/>
      <c r="B105" s="1"/>
      <c r="C105" s="67" t="str">
        <f>VLOOKUP(92,Textbausteine_102[],Hilfsgrössen!$D$2,FALSE)</f>
        <v>Volume di contratti conclusi</v>
      </c>
      <c r="D105" s="1" t="str">
        <f>VLOOKUP(22,Textbausteine_102[],Hilfsgrössen!$D$2,FALSE)</f>
        <v>mln di CHF</v>
      </c>
      <c r="E105" s="106">
        <v>5</v>
      </c>
      <c r="F105" s="11" t="s">
        <v>37</v>
      </c>
      <c r="G105" s="50"/>
      <c r="H105" s="377" t="s">
        <v>30</v>
      </c>
      <c r="I105" s="387" t="s">
        <v>30</v>
      </c>
      <c r="J105" s="388">
        <v>261.7</v>
      </c>
      <c r="K105" s="388">
        <v>261.7</v>
      </c>
      <c r="L105" s="388">
        <v>568.5</v>
      </c>
      <c r="M105" s="388">
        <v>456.9</v>
      </c>
      <c r="N105" s="380">
        <v>662.4</v>
      </c>
      <c r="O105" s="380">
        <v>498.4</v>
      </c>
      <c r="P105" s="380">
        <v>503.887</v>
      </c>
      <c r="Q105" s="380">
        <v>620.9</v>
      </c>
      <c r="R105" s="380">
        <v>677.3</v>
      </c>
      <c r="S105" s="380">
        <v>667.9</v>
      </c>
      <c r="T105" s="381">
        <v>646.1</v>
      </c>
      <c r="U105" s="381">
        <v>594.79999999999995</v>
      </c>
      <c r="V105" s="381">
        <v>672.77499999999998</v>
      </c>
      <c r="W105" s="381">
        <v>755</v>
      </c>
      <c r="X105" s="382">
        <v>625.46</v>
      </c>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row>
    <row r="106" spans="1:88" s="32" customFormat="1" ht="12.5" customHeight="1">
      <c r="A106" s="448"/>
      <c r="B106" s="1"/>
      <c r="C106" s="67"/>
      <c r="D106" s="1"/>
      <c r="E106" s="285"/>
      <c r="F106" s="11"/>
      <c r="G106" s="49"/>
      <c r="H106" s="172"/>
      <c r="I106" s="172"/>
      <c r="J106" s="172"/>
      <c r="K106" s="172"/>
      <c r="L106" s="172"/>
      <c r="M106" s="172"/>
      <c r="N106" s="159"/>
      <c r="O106" s="159"/>
      <c r="P106" s="159"/>
      <c r="Q106" s="159"/>
      <c r="R106" s="159"/>
      <c r="S106" s="159"/>
      <c r="T106" s="160"/>
      <c r="U106" s="160"/>
      <c r="V106" s="160"/>
      <c r="W106" s="160"/>
      <c r="X106" s="252"/>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row>
    <row r="107" spans="1:88" ht="12.5" customHeight="1">
      <c r="A107" s="448"/>
      <c r="B107" s="8" t="str">
        <f>VLOOKUP(47,Textbausteine_Menu[],Hilfsgrössen!$D$2,FALSE)</f>
        <v>RetePostale</v>
      </c>
      <c r="E107" s="285"/>
      <c r="F107" s="11"/>
      <c r="G107" s="49"/>
      <c r="H107" s="20"/>
      <c r="I107" s="20"/>
      <c r="J107" s="20"/>
      <c r="K107" s="20"/>
      <c r="L107" s="20"/>
      <c r="M107" s="20"/>
      <c r="N107" s="20"/>
      <c r="O107" s="20"/>
      <c r="P107" s="106"/>
      <c r="Q107" s="160"/>
      <c r="R107" s="159"/>
      <c r="S107" s="159"/>
      <c r="T107" s="160"/>
      <c r="U107" s="160"/>
      <c r="V107" s="160"/>
      <c r="W107" s="160"/>
      <c r="X107" s="252"/>
    </row>
    <row r="108" spans="1:88" s="32" customFormat="1" ht="12.5" customHeight="1">
      <c r="A108" s="448"/>
      <c r="B108" s="1"/>
      <c r="C108" s="18" t="str">
        <f>VLOOKUP(93,Textbausteine_102[],Hilfsgrössen!$D$2,FALSE)</f>
        <v>Fatturato netto altri articoli di marca</v>
      </c>
      <c r="D108" s="1" t="str">
        <f>VLOOKUP(22,Textbausteine_102[],Hilfsgrössen!$D$2,FALSE)</f>
        <v>mln di CHF</v>
      </c>
      <c r="E108" s="285" t="s">
        <v>47</v>
      </c>
      <c r="F108" s="11" t="s">
        <v>37</v>
      </c>
      <c r="G108" s="49"/>
      <c r="H108" s="137" t="s">
        <v>30</v>
      </c>
      <c r="I108" s="137" t="s">
        <v>30</v>
      </c>
      <c r="J108" s="137" t="s">
        <v>30</v>
      </c>
      <c r="K108" s="137" t="s">
        <v>30</v>
      </c>
      <c r="L108" s="137" t="s">
        <v>30</v>
      </c>
      <c r="M108" s="137" t="s">
        <v>30</v>
      </c>
      <c r="N108" s="20">
        <v>482</v>
      </c>
      <c r="O108" s="20">
        <v>495</v>
      </c>
      <c r="P108" s="106">
        <v>498</v>
      </c>
      <c r="Q108" s="160">
        <v>497</v>
      </c>
      <c r="R108" s="159">
        <v>509</v>
      </c>
      <c r="S108" s="159">
        <v>480</v>
      </c>
      <c r="T108" s="160">
        <v>473</v>
      </c>
      <c r="U108" s="160">
        <v>425</v>
      </c>
      <c r="V108" s="160">
        <v>97.1</v>
      </c>
      <c r="W108" s="160">
        <v>78.2</v>
      </c>
      <c r="X108" s="252">
        <v>55.7</v>
      </c>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row>
    <row r="109" spans="1:88" s="32" customFormat="1" ht="12.5" customHeight="1">
      <c r="A109" s="448"/>
      <c r="B109" s="1"/>
      <c r="C109" s="4" t="str">
        <f>VLOOKUP(94,Textbausteine_102[],Hilfsgrössen!$D$2,FALSE)</f>
        <v>Accettazione versamenti</v>
      </c>
      <c r="D109" s="1" t="str">
        <f>VLOOKUP(24,Textbausteine_102[],Hilfsgrössen!$D$2,FALSE)</f>
        <v>Numero in mln</v>
      </c>
      <c r="E109" s="285" t="s">
        <v>48</v>
      </c>
      <c r="F109" s="11" t="s">
        <v>37</v>
      </c>
      <c r="G109" s="49"/>
      <c r="H109" s="137" t="s">
        <v>30</v>
      </c>
      <c r="I109" s="139">
        <v>230</v>
      </c>
      <c r="J109" s="139">
        <v>222</v>
      </c>
      <c r="K109" s="139">
        <v>216</v>
      </c>
      <c r="L109" s="139">
        <v>212</v>
      </c>
      <c r="M109" s="139">
        <v>207</v>
      </c>
      <c r="N109" s="139">
        <v>201</v>
      </c>
      <c r="O109" s="139">
        <v>189</v>
      </c>
      <c r="P109" s="159">
        <v>183</v>
      </c>
      <c r="Q109" s="159">
        <v>178</v>
      </c>
      <c r="R109" s="159">
        <v>171</v>
      </c>
      <c r="S109" s="159">
        <v>164</v>
      </c>
      <c r="T109" s="160">
        <v>155</v>
      </c>
      <c r="U109" s="160">
        <v>145</v>
      </c>
      <c r="V109" s="160">
        <v>137</v>
      </c>
      <c r="W109" s="160">
        <v>128</v>
      </c>
      <c r="X109" s="252">
        <v>110</v>
      </c>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row>
    <row r="110" spans="1:88" s="32" customFormat="1" ht="12.5" customHeight="1">
      <c r="A110" s="448"/>
      <c r="B110" s="1"/>
      <c r="C110" s="10"/>
      <c r="D110" s="1"/>
      <c r="E110" s="285"/>
      <c r="F110" s="11"/>
      <c r="G110" s="49"/>
      <c r="H110" s="139"/>
      <c r="I110" s="139"/>
      <c r="J110" s="139"/>
      <c r="K110" s="139"/>
      <c r="L110" s="139"/>
      <c r="M110" s="139"/>
      <c r="N110" s="139"/>
      <c r="O110" s="139"/>
      <c r="P110" s="159"/>
      <c r="Q110" s="159"/>
      <c r="R110" s="159"/>
      <c r="S110" s="159"/>
      <c r="T110" s="160"/>
      <c r="U110" s="160"/>
      <c r="V110" s="160"/>
      <c r="W110" s="160"/>
      <c r="X110" s="252"/>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row>
    <row r="111" spans="1:88" s="32" customFormat="1" ht="12.5" customHeight="1">
      <c r="A111" s="448"/>
      <c r="B111" s="8" t="str">
        <f>VLOOKUP(49,Textbausteine_Menu[],Hilfsgrössen!$D$2,FALSE)</f>
        <v>PostFinance</v>
      </c>
      <c r="C111" s="10"/>
      <c r="D111" s="1"/>
      <c r="E111" s="285"/>
      <c r="F111" s="11"/>
      <c r="G111" s="49"/>
      <c r="H111" s="139"/>
      <c r="I111" s="139"/>
      <c r="J111" s="139"/>
      <c r="K111" s="139"/>
      <c r="L111" s="139"/>
      <c r="M111" s="139"/>
      <c r="N111" s="159"/>
      <c r="O111" s="159"/>
      <c r="P111" s="159"/>
      <c r="Q111" s="159"/>
      <c r="R111" s="159"/>
      <c r="S111" s="159"/>
      <c r="T111" s="160"/>
      <c r="U111" s="160"/>
      <c r="V111" s="160"/>
      <c r="W111" s="160"/>
      <c r="X111" s="252"/>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row>
    <row r="112" spans="1:88" s="32" customFormat="1" ht="12.5" customHeight="1">
      <c r="A112" s="448"/>
      <c r="B112" s="1"/>
      <c r="C112" s="66" t="str">
        <f>VLOOKUP(95,Textbausteine_102[],Hilfsgrössen!$D$2,FALSE)</f>
        <v>Andamento dei patrimoni dei clienti</v>
      </c>
      <c r="D112" s="1" t="str">
        <f>VLOOKUP(22,Textbausteine_102[],Hilfsgrössen!$D$2,FALSE)</f>
        <v>mln di CHF</v>
      </c>
      <c r="E112" s="285" t="s">
        <v>49</v>
      </c>
      <c r="F112" s="11" t="s">
        <v>37</v>
      </c>
      <c r="G112" s="49"/>
      <c r="H112" s="137" t="s">
        <v>30</v>
      </c>
      <c r="I112" s="173" t="s">
        <v>30</v>
      </c>
      <c r="J112" s="173" t="s">
        <v>30</v>
      </c>
      <c r="K112" s="173" t="s">
        <v>30</v>
      </c>
      <c r="L112" s="173" t="s">
        <v>30</v>
      </c>
      <c r="M112" s="173" t="s">
        <v>30</v>
      </c>
      <c r="N112" s="165" t="s">
        <v>30</v>
      </c>
      <c r="O112" s="99">
        <v>10835</v>
      </c>
      <c r="P112" s="99">
        <v>9681</v>
      </c>
      <c r="Q112" s="99">
        <v>5072</v>
      </c>
      <c r="R112" s="99">
        <v>3606</v>
      </c>
      <c r="S112" s="99">
        <v>-2320</v>
      </c>
      <c r="T112" s="160">
        <v>4570</v>
      </c>
      <c r="U112" s="160">
        <v>361</v>
      </c>
      <c r="V112" s="160">
        <v>-854</v>
      </c>
      <c r="W112" s="20">
        <v>246</v>
      </c>
      <c r="X112" s="471">
        <v>4019</v>
      </c>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row>
    <row r="113" spans="1:88" s="32" customFormat="1" ht="12.5" customHeight="1">
      <c r="A113" s="450"/>
      <c r="B113" s="8"/>
      <c r="C113" s="175" t="str">
        <f>VLOOKUP(96,Textbausteine_102[],Hilfsgrössen!$D$2,FALSE)</f>
        <v>Numero di conti dei clienti</v>
      </c>
      <c r="D113" s="66" t="str">
        <f>VLOOKUP(25,Textbausteine_102[],Hilfsgrössen!$D$2,FALSE)</f>
        <v>Numero in migliaia</v>
      </c>
      <c r="E113" s="285"/>
      <c r="F113" s="11" t="s">
        <v>37</v>
      </c>
      <c r="G113" s="49"/>
      <c r="H113" s="137" t="s">
        <v>30</v>
      </c>
      <c r="I113" s="99">
        <v>3008</v>
      </c>
      <c r="J113" s="99">
        <v>3154</v>
      </c>
      <c r="K113" s="99">
        <v>3335.0120000000002</v>
      </c>
      <c r="L113" s="99">
        <v>3646</v>
      </c>
      <c r="M113" s="99">
        <v>3881</v>
      </c>
      <c r="N113" s="99">
        <v>4079</v>
      </c>
      <c r="O113" s="99">
        <v>4212</v>
      </c>
      <c r="P113" s="99">
        <v>4549.2359999999999</v>
      </c>
      <c r="Q113" s="99">
        <v>4628</v>
      </c>
      <c r="R113" s="99">
        <v>4752</v>
      </c>
      <c r="S113" s="99">
        <v>4835</v>
      </c>
      <c r="T113" s="160">
        <v>4845</v>
      </c>
      <c r="U113" s="160">
        <v>4809</v>
      </c>
      <c r="V113" s="160">
        <v>4503</v>
      </c>
      <c r="W113" s="160">
        <v>4401</v>
      </c>
      <c r="X113" s="252">
        <v>4286</v>
      </c>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row>
    <row r="114" spans="1:88" s="32" customFormat="1" ht="12.5" customHeight="1">
      <c r="A114" s="448"/>
      <c r="B114" s="1"/>
      <c r="C114" s="4" t="str">
        <f>VLOOKUP(97,Textbausteine_102[],Hilfsgrössen!$D$2,FALSE)</f>
        <v>Consistenza media dei patrimoni dei clienti (Ø mensile)</v>
      </c>
      <c r="D114" s="1" t="str">
        <f>VLOOKUP(22,Textbausteine_102[],Hilfsgrössen!$D$2,FALSE)</f>
        <v>mln di CHF</v>
      </c>
      <c r="E114" s="285" t="s">
        <v>50</v>
      </c>
      <c r="F114" s="11" t="s">
        <v>37</v>
      </c>
      <c r="G114" s="49"/>
      <c r="H114" s="137" t="s">
        <v>30</v>
      </c>
      <c r="I114" s="173" t="s">
        <v>30</v>
      </c>
      <c r="J114" s="173" t="s">
        <v>30</v>
      </c>
      <c r="K114" s="173" t="s">
        <v>30</v>
      </c>
      <c r="L114" s="173" t="s">
        <v>30</v>
      </c>
      <c r="M114" s="173" t="s">
        <v>30</v>
      </c>
      <c r="N114" s="159">
        <v>87992.309227999998</v>
      </c>
      <c r="O114" s="159">
        <v>98827.6851844013</v>
      </c>
      <c r="P114" s="159">
        <v>108508.29627799999</v>
      </c>
      <c r="Q114" s="159">
        <v>113580</v>
      </c>
      <c r="R114" s="159">
        <v>117186</v>
      </c>
      <c r="S114" s="159">
        <v>114865.813994121</v>
      </c>
      <c r="T114" s="160">
        <v>119436</v>
      </c>
      <c r="U114" s="160">
        <v>119797</v>
      </c>
      <c r="V114" s="160">
        <v>118943</v>
      </c>
      <c r="W114" s="20">
        <v>119660</v>
      </c>
      <c r="X114" s="252">
        <v>123679</v>
      </c>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row>
    <row r="115" spans="1:88" s="32" customFormat="1" ht="12.5" customHeight="1">
      <c r="A115" s="448"/>
      <c r="B115" s="1"/>
      <c r="C115" s="4" t="str">
        <f>VLOOKUP(98,Textbausteine_102[],Hilfsgrössen!$D$2,FALSE)</f>
        <v>Consistenza media dei depositi dei clienti (Ø mensile)</v>
      </c>
      <c r="D115" s="1" t="str">
        <f>VLOOKUP(22,Textbausteine_102[],Hilfsgrössen!$D$2,FALSE)</f>
        <v>mln di CHF</v>
      </c>
      <c r="E115" s="285"/>
      <c r="F115" s="11" t="s">
        <v>37</v>
      </c>
      <c r="G115" s="50"/>
      <c r="H115" s="137" t="s">
        <v>30</v>
      </c>
      <c r="I115" s="173" t="s">
        <v>30</v>
      </c>
      <c r="J115" s="173" t="s">
        <v>30</v>
      </c>
      <c r="K115" s="173" t="s">
        <v>30</v>
      </c>
      <c r="L115" s="173" t="s">
        <v>30</v>
      </c>
      <c r="M115" s="173" t="s">
        <v>30</v>
      </c>
      <c r="N115" s="159">
        <v>83974.026276387507</v>
      </c>
      <c r="O115" s="159">
        <v>94642.066211651298</v>
      </c>
      <c r="P115" s="159">
        <v>103484.821056774</v>
      </c>
      <c r="Q115" s="159">
        <v>107538.19981799999</v>
      </c>
      <c r="R115" s="159">
        <v>110062</v>
      </c>
      <c r="S115" s="159">
        <v>107093.693319121</v>
      </c>
      <c r="T115" s="160">
        <v>111190</v>
      </c>
      <c r="U115" s="160">
        <v>109829</v>
      </c>
      <c r="V115" s="160">
        <v>108869</v>
      </c>
      <c r="W115" s="160">
        <v>106852</v>
      </c>
      <c r="X115" s="252">
        <v>109189</v>
      </c>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row>
    <row r="116" spans="1:88" s="32" customFormat="1" ht="12.5" customHeight="1">
      <c r="A116" s="448"/>
      <c r="B116" s="1"/>
      <c r="C116" s="175" t="str">
        <f>VLOOKUP(99,Textbausteine_102[],Hilfsgrössen!$D$2,FALSE)</f>
        <v>Transazioni</v>
      </c>
      <c r="D116" s="1" t="str">
        <f>VLOOKUP(24,Textbausteine_102[],Hilfsgrössen!$D$2,FALSE)</f>
        <v>Numero in mln</v>
      </c>
      <c r="E116" s="285"/>
      <c r="F116" s="11" t="s">
        <v>37</v>
      </c>
      <c r="G116" s="49"/>
      <c r="H116" s="137" t="s">
        <v>30</v>
      </c>
      <c r="I116" s="139">
        <v>801</v>
      </c>
      <c r="J116" s="139">
        <v>803</v>
      </c>
      <c r="K116" s="139">
        <v>823</v>
      </c>
      <c r="L116" s="139">
        <v>843</v>
      </c>
      <c r="M116" s="139">
        <v>865</v>
      </c>
      <c r="N116" s="159">
        <v>894</v>
      </c>
      <c r="O116" s="159">
        <v>907</v>
      </c>
      <c r="P116" s="159">
        <v>932.12372300000004</v>
      </c>
      <c r="Q116" s="159">
        <v>965</v>
      </c>
      <c r="R116" s="159">
        <v>996</v>
      </c>
      <c r="S116" s="159">
        <v>1020</v>
      </c>
      <c r="T116" s="160">
        <v>1044</v>
      </c>
      <c r="U116" s="160">
        <v>1072</v>
      </c>
      <c r="V116" s="160">
        <v>1145</v>
      </c>
      <c r="W116" s="160">
        <v>1180</v>
      </c>
      <c r="X116" s="252">
        <v>1185</v>
      </c>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row>
    <row r="117" spans="1:88" s="32" customFormat="1" ht="12.5" customHeight="1">
      <c r="A117" s="448"/>
      <c r="B117" s="1"/>
      <c r="C117" s="18" t="str">
        <f>VLOOKUP(100,Textbausteine_102[],Hilfsgrössen!$D$2,FALSE)</f>
        <v>Utenti e-finance</v>
      </c>
      <c r="D117" s="66" t="str">
        <f>VLOOKUP(26,Textbausteine_102[],Hilfsgrössen!$D$2,FALSE)</f>
        <v>Clienti</v>
      </c>
      <c r="E117" s="285"/>
      <c r="F117" s="11" t="s">
        <v>37</v>
      </c>
      <c r="G117" s="49"/>
      <c r="H117" s="137" t="s">
        <v>30</v>
      </c>
      <c r="I117" s="139">
        <v>671728</v>
      </c>
      <c r="J117" s="139">
        <v>760585</v>
      </c>
      <c r="K117" s="139">
        <v>858587</v>
      </c>
      <c r="L117" s="139">
        <v>984592</v>
      </c>
      <c r="M117" s="139">
        <v>1101593</v>
      </c>
      <c r="N117" s="159">
        <v>1219539</v>
      </c>
      <c r="O117" s="159">
        <v>1349747</v>
      </c>
      <c r="P117" s="159">
        <v>1463325</v>
      </c>
      <c r="Q117" s="159">
        <v>1546000</v>
      </c>
      <c r="R117" s="159">
        <v>1624443</v>
      </c>
      <c r="S117" s="159">
        <v>1682956</v>
      </c>
      <c r="T117" s="160">
        <v>1742751</v>
      </c>
      <c r="U117" s="160">
        <v>1755823</v>
      </c>
      <c r="V117" s="160">
        <v>1775343</v>
      </c>
      <c r="W117" s="160">
        <v>1796571</v>
      </c>
      <c r="X117" s="252">
        <v>1860437</v>
      </c>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row>
    <row r="118" spans="1:88" s="32" customFormat="1" ht="12.5" customHeight="1">
      <c r="A118" s="448"/>
      <c r="C118" s="18" t="str">
        <f>VLOOKUP(101,Textbausteine_102[],Hilfsgrössen!$D$2,FALSE)</f>
        <v>Volume fondi (PostFinance Fonds senza fondi emessi da terzi)</v>
      </c>
      <c r="D118" s="1" t="str">
        <f>VLOOKUP(22,Textbausteine_102[],Hilfsgrössen!$D$2,FALSE)</f>
        <v>mln di CHF</v>
      </c>
      <c r="E118" s="285" t="s">
        <v>51</v>
      </c>
      <c r="F118" s="11" t="s">
        <v>37</v>
      </c>
      <c r="G118" s="49"/>
      <c r="H118" s="137" t="s">
        <v>30</v>
      </c>
      <c r="I118" s="139">
        <v>1524</v>
      </c>
      <c r="J118" s="139">
        <v>1560</v>
      </c>
      <c r="K118" s="139">
        <v>1475</v>
      </c>
      <c r="L118" s="139">
        <v>1160</v>
      </c>
      <c r="M118" s="139">
        <v>1464</v>
      </c>
      <c r="N118" s="159">
        <v>1673</v>
      </c>
      <c r="O118" s="159">
        <v>1764</v>
      </c>
      <c r="P118" s="159">
        <v>2131.5705029999999</v>
      </c>
      <c r="Q118" s="159">
        <v>2352</v>
      </c>
      <c r="R118" s="159">
        <v>2701</v>
      </c>
      <c r="S118" s="159">
        <v>2972</v>
      </c>
      <c r="T118" s="160">
        <v>3428</v>
      </c>
      <c r="U118" s="160">
        <v>4243</v>
      </c>
      <c r="V118" s="160">
        <v>4212</v>
      </c>
      <c r="W118" s="160">
        <v>5424</v>
      </c>
      <c r="X118" s="252" t="s">
        <v>30</v>
      </c>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row>
    <row r="119" spans="1:88" s="32" customFormat="1" ht="12.5" customHeight="1">
      <c r="A119" s="448"/>
      <c r="B119" s="1"/>
      <c r="C119" s="18" t="str">
        <f>VLOOKUP(102,Textbausteine_102[],Hilfsgrössen!$D$2,FALSE)</f>
        <v>Volume fondi (PostFinance Fonds e fondi emessi da terzi)</v>
      </c>
      <c r="D119" s="1" t="str">
        <f>VLOOKUP(22,Textbausteine_102[],Hilfsgrössen!$D$2,FALSE)</f>
        <v>mln di CHF</v>
      </c>
      <c r="E119" s="285" t="s">
        <v>52</v>
      </c>
      <c r="F119" s="11" t="s">
        <v>37</v>
      </c>
      <c r="G119" s="50"/>
      <c r="H119" s="137" t="s">
        <v>30</v>
      </c>
      <c r="I119" s="139">
        <v>1552.2</v>
      </c>
      <c r="J119" s="139">
        <v>1708</v>
      </c>
      <c r="K119" s="139">
        <v>1728.9</v>
      </c>
      <c r="L119" s="139">
        <v>1380.2</v>
      </c>
      <c r="M119" s="139">
        <v>1723</v>
      </c>
      <c r="N119" s="159">
        <v>1940</v>
      </c>
      <c r="O119" s="159">
        <v>1990</v>
      </c>
      <c r="P119" s="159">
        <v>2390.2245640000001</v>
      </c>
      <c r="Q119" s="159">
        <v>2634</v>
      </c>
      <c r="R119" s="159">
        <v>3005</v>
      </c>
      <c r="S119" s="159">
        <v>3284</v>
      </c>
      <c r="T119" s="160">
        <v>3788</v>
      </c>
      <c r="U119" s="160">
        <v>4757</v>
      </c>
      <c r="V119" s="160">
        <v>5095.8559999999998</v>
      </c>
      <c r="W119" s="160">
        <v>6071</v>
      </c>
      <c r="X119" s="252" t="s">
        <v>30</v>
      </c>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row>
    <row r="120" spans="1:88" s="32" customFormat="1" ht="12.5" customHeight="1">
      <c r="A120" s="448"/>
      <c r="B120" s="1"/>
      <c r="C120" s="18" t="str">
        <f>VLOOKUP(127,Textbausteine_102[],Hilfsgrössen!$D$2,FALSE)</f>
        <v>Volume dei fondi</v>
      </c>
      <c r="D120" s="1" t="str">
        <f>VLOOKUP(22,Textbausteine_102[],Hilfsgrössen!$D$2,FALSE)</f>
        <v>mln di CHF</v>
      </c>
      <c r="E120" s="285" t="s">
        <v>52</v>
      </c>
      <c r="F120" s="11" t="s">
        <v>37</v>
      </c>
      <c r="G120" s="50"/>
      <c r="H120" s="137" t="s">
        <v>30</v>
      </c>
      <c r="I120" s="137" t="s">
        <v>30</v>
      </c>
      <c r="J120" s="137" t="s">
        <v>30</v>
      </c>
      <c r="K120" s="137" t="s">
        <v>30</v>
      </c>
      <c r="L120" s="137" t="s">
        <v>30</v>
      </c>
      <c r="M120" s="137" t="s">
        <v>30</v>
      </c>
      <c r="N120" s="137" t="s">
        <v>30</v>
      </c>
      <c r="O120" s="137" t="s">
        <v>30</v>
      </c>
      <c r="P120" s="137" t="s">
        <v>30</v>
      </c>
      <c r="Q120" s="137" t="s">
        <v>30</v>
      </c>
      <c r="R120" s="137" t="s">
        <v>30</v>
      </c>
      <c r="S120" s="137" t="s">
        <v>30</v>
      </c>
      <c r="T120" s="137" t="s">
        <v>30</v>
      </c>
      <c r="U120" s="137" t="s">
        <v>30</v>
      </c>
      <c r="V120" s="137" t="s">
        <v>30</v>
      </c>
      <c r="W120" s="137" t="s">
        <v>30</v>
      </c>
      <c r="X120" s="252">
        <v>6571.6940000000004</v>
      </c>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row>
    <row r="121" spans="1:88" s="32" customFormat="1" ht="12.5" customHeight="1">
      <c r="A121" s="448"/>
      <c r="B121" s="1"/>
      <c r="C121" s="175" t="str">
        <f>VLOOKUP(103,Textbausteine_102[],Hilfsgrössen!$D$2,FALSE)</f>
        <v>Volume prestiti alla clientela commerciale</v>
      </c>
      <c r="D121" s="1" t="str">
        <f>VLOOKUP(22,Textbausteine_102[],Hilfsgrössen!$D$2,FALSE)</f>
        <v>mln di CHF</v>
      </c>
      <c r="E121" s="287" t="s">
        <v>53</v>
      </c>
      <c r="F121" s="11" t="s">
        <v>37</v>
      </c>
      <c r="G121" s="50"/>
      <c r="H121" s="137" t="s">
        <v>30</v>
      </c>
      <c r="I121" s="139">
        <v>2106</v>
      </c>
      <c r="J121" s="139">
        <v>2649</v>
      </c>
      <c r="K121" s="139">
        <v>3160</v>
      </c>
      <c r="L121" s="139">
        <v>4313</v>
      </c>
      <c r="M121" s="139">
        <v>5423</v>
      </c>
      <c r="N121" s="159">
        <v>6134</v>
      </c>
      <c r="O121" s="159">
        <v>6842</v>
      </c>
      <c r="P121" s="159">
        <v>6514.2359330000008</v>
      </c>
      <c r="Q121" s="159">
        <v>7271</v>
      </c>
      <c r="R121" s="159">
        <v>8165</v>
      </c>
      <c r="S121" s="159">
        <v>9063</v>
      </c>
      <c r="T121" s="160">
        <v>9894</v>
      </c>
      <c r="U121" s="160">
        <v>10185</v>
      </c>
      <c r="V121" s="160">
        <v>9880</v>
      </c>
      <c r="W121" s="160">
        <v>10123</v>
      </c>
      <c r="X121" s="252">
        <v>10498</v>
      </c>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row>
    <row r="122" spans="1:88" s="32" customFormat="1" ht="12.5" customHeight="1">
      <c r="A122" s="448"/>
      <c r="B122" s="1"/>
      <c r="C122" s="175" t="str">
        <f>VLOOKUP(104,Textbausteine_102[],Hilfsgrössen!$D$2,FALSE)</f>
        <v>Volume ipoteche alla clientela privata</v>
      </c>
      <c r="D122" s="1" t="str">
        <f>VLOOKUP(22,Textbausteine_102[],Hilfsgrössen!$D$2,FALSE)</f>
        <v>mln di CHF</v>
      </c>
      <c r="E122" s="287"/>
      <c r="F122" s="11" t="s">
        <v>37</v>
      </c>
      <c r="G122" s="49"/>
      <c r="H122" s="137" t="s">
        <v>30</v>
      </c>
      <c r="I122" s="139">
        <v>1440</v>
      </c>
      <c r="J122" s="139">
        <v>1819</v>
      </c>
      <c r="K122" s="139">
        <v>1943.5</v>
      </c>
      <c r="L122" s="139">
        <v>2040</v>
      </c>
      <c r="M122" s="139">
        <v>2673</v>
      </c>
      <c r="N122" s="159">
        <v>3197</v>
      </c>
      <c r="O122" s="159">
        <v>3684</v>
      </c>
      <c r="P122" s="159">
        <v>4166.7325166999999</v>
      </c>
      <c r="Q122" s="159">
        <v>4424</v>
      </c>
      <c r="R122" s="159">
        <v>4713</v>
      </c>
      <c r="S122" s="159">
        <v>5089</v>
      </c>
      <c r="T122" s="160">
        <v>5361</v>
      </c>
      <c r="U122" s="160">
        <v>5650</v>
      </c>
      <c r="V122" s="160">
        <v>5816</v>
      </c>
      <c r="W122" s="160">
        <v>5965</v>
      </c>
      <c r="X122" s="252">
        <v>6039.0159582599999</v>
      </c>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row>
    <row r="123" spans="1:88" s="32" customFormat="1" ht="12.5" customHeight="1">
      <c r="A123" s="448"/>
      <c r="B123" s="1"/>
      <c r="C123" s="67"/>
      <c r="D123" s="1"/>
      <c r="E123" s="287"/>
      <c r="F123" s="11"/>
      <c r="G123" s="49"/>
      <c r="H123" s="139"/>
      <c r="I123" s="139"/>
      <c r="J123" s="139"/>
      <c r="K123" s="139"/>
      <c r="L123" s="139"/>
      <c r="M123" s="139"/>
      <c r="N123" s="159"/>
      <c r="O123" s="159"/>
      <c r="P123" s="159"/>
      <c r="Q123" s="159"/>
      <c r="R123" s="159"/>
      <c r="S123" s="159"/>
      <c r="T123" s="160"/>
      <c r="U123" s="160"/>
      <c r="V123" s="160"/>
      <c r="W123" s="160"/>
      <c r="X123" s="252"/>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row>
    <row r="124" spans="1:88" s="32" customFormat="1" ht="12.5" customHeight="1">
      <c r="A124" s="448"/>
      <c r="B124" s="8" t="str">
        <f>VLOOKUP(50,Textbausteine_Menu[],Hilfsgrössen!$D$2,FALSE)</f>
        <v>AutoPostale</v>
      </c>
      <c r="C124" s="10"/>
      <c r="D124" s="66"/>
      <c r="E124" s="289"/>
      <c r="F124" s="13"/>
      <c r="G124" s="50"/>
      <c r="H124" s="139"/>
      <c r="I124" s="139"/>
      <c r="J124" s="139"/>
      <c r="K124" s="139"/>
      <c r="L124" s="139"/>
      <c r="M124" s="139"/>
      <c r="N124" s="159"/>
      <c r="O124" s="159"/>
      <c r="P124" s="159"/>
      <c r="Q124" s="159"/>
      <c r="R124" s="159"/>
      <c r="S124" s="159"/>
      <c r="T124" s="160"/>
      <c r="U124" s="160"/>
      <c r="V124" s="160"/>
      <c r="W124" s="160"/>
      <c r="X124" s="252"/>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row>
    <row r="125" spans="1:88" s="32" customFormat="1" ht="12.5" customHeight="1">
      <c r="A125" s="448"/>
      <c r="B125" s="1"/>
      <c r="C125" s="66" t="str">
        <f>VLOOKUP(105,Textbausteine_102[],Hilfsgrössen!$D$2,FALSE)</f>
        <v>Viaggiatori</v>
      </c>
      <c r="D125" s="66" t="str">
        <f>VLOOKUP(24,Textbausteine_102[],Hilfsgrössen!$D$2,FALSE)</f>
        <v>Numero in mln</v>
      </c>
      <c r="E125" s="106" t="s">
        <v>54</v>
      </c>
      <c r="F125" s="11" t="s">
        <v>37</v>
      </c>
      <c r="G125" s="50"/>
      <c r="H125" s="137" t="s">
        <v>30</v>
      </c>
      <c r="I125" s="139">
        <v>105</v>
      </c>
      <c r="J125" s="139">
        <v>106</v>
      </c>
      <c r="K125" s="139">
        <v>111</v>
      </c>
      <c r="L125" s="139">
        <v>115</v>
      </c>
      <c r="M125" s="139">
        <v>118</v>
      </c>
      <c r="N125" s="159">
        <v>121</v>
      </c>
      <c r="O125" s="159">
        <v>124</v>
      </c>
      <c r="P125" s="159">
        <v>133</v>
      </c>
      <c r="Q125" s="159">
        <v>139</v>
      </c>
      <c r="R125" s="159">
        <v>141</v>
      </c>
      <c r="S125" s="159">
        <v>145</v>
      </c>
      <c r="T125" s="160">
        <v>152</v>
      </c>
      <c r="U125" s="160">
        <v>154.6</v>
      </c>
      <c r="V125" s="160">
        <v>155.5</v>
      </c>
      <c r="W125" s="160">
        <v>167</v>
      </c>
      <c r="X125" s="252">
        <v>127</v>
      </c>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row>
    <row r="126" spans="1:88" s="32" customFormat="1" ht="12.5" customHeight="1">
      <c r="A126" s="448"/>
      <c r="B126" s="1"/>
      <c r="C126" s="175" t="str">
        <f>VLOOKUP(106,Textbausteine_102[],Hilfsgrössen!$D$2,FALSE)</f>
        <v>Prestazione annua</v>
      </c>
      <c r="D126" s="66" t="str">
        <f>VLOOKUP(27,Textbausteine_102[],Hilfsgrössen!$D$2,FALSE)</f>
        <v>mln di km</v>
      </c>
      <c r="E126" s="106">
        <v>11</v>
      </c>
      <c r="F126" s="11" t="s">
        <v>37</v>
      </c>
      <c r="G126" s="49"/>
      <c r="H126" s="137" t="s">
        <v>30</v>
      </c>
      <c r="I126" s="139">
        <v>94</v>
      </c>
      <c r="J126" s="139">
        <v>91</v>
      </c>
      <c r="K126" s="139">
        <v>89</v>
      </c>
      <c r="L126" s="139">
        <v>94</v>
      </c>
      <c r="M126" s="139">
        <v>98</v>
      </c>
      <c r="N126" s="159">
        <v>103</v>
      </c>
      <c r="O126" s="159">
        <v>104</v>
      </c>
      <c r="P126" s="159">
        <v>107</v>
      </c>
      <c r="Q126" s="159">
        <v>108</v>
      </c>
      <c r="R126" s="159">
        <v>110</v>
      </c>
      <c r="S126" s="159">
        <v>113</v>
      </c>
      <c r="T126" s="160">
        <v>117</v>
      </c>
      <c r="U126" s="160">
        <v>119</v>
      </c>
      <c r="V126" s="160">
        <v>119.95769799999999</v>
      </c>
      <c r="W126" s="160">
        <v>124</v>
      </c>
      <c r="X126" s="252">
        <v>121</v>
      </c>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row>
    <row r="127" spans="1:88" s="32" customFormat="1" ht="12.5" customHeight="1">
      <c r="A127" s="448"/>
      <c r="B127" s="1"/>
      <c r="C127" s="175" t="str">
        <f>VLOOKUP(107,Textbausteine_102[],Hilfsgrössen!$D$2,FALSE)</f>
        <v>Veicoli</v>
      </c>
      <c r="D127" s="66" t="str">
        <f>VLOOKUP(33,Textbausteine_102[],Hilfsgrössen!$D$2,FALSE)</f>
        <v>Numero per anno</v>
      </c>
      <c r="E127" s="285" t="s">
        <v>55</v>
      </c>
      <c r="F127" s="11" t="s">
        <v>37</v>
      </c>
      <c r="G127" s="49"/>
      <c r="H127" s="137" t="s">
        <v>30</v>
      </c>
      <c r="I127" s="139">
        <v>2029</v>
      </c>
      <c r="J127" s="139">
        <v>1953</v>
      </c>
      <c r="K127" s="139">
        <v>1909</v>
      </c>
      <c r="L127" s="139">
        <v>1989</v>
      </c>
      <c r="M127" s="139">
        <v>2066</v>
      </c>
      <c r="N127" s="159">
        <v>2103</v>
      </c>
      <c r="O127" s="159">
        <v>2145</v>
      </c>
      <c r="P127" s="159">
        <v>2157</v>
      </c>
      <c r="Q127" s="159">
        <v>2219</v>
      </c>
      <c r="R127" s="159">
        <v>2193</v>
      </c>
      <c r="S127" s="159">
        <v>2238</v>
      </c>
      <c r="T127" s="160">
        <v>2242</v>
      </c>
      <c r="U127" s="160">
        <v>2311</v>
      </c>
      <c r="V127" s="160">
        <v>2412</v>
      </c>
      <c r="W127" s="160">
        <v>2403</v>
      </c>
      <c r="X127" s="471">
        <v>2443</v>
      </c>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row>
    <row r="128" spans="1:88" s="32" customFormat="1" ht="12.5" customHeight="1">
      <c r="A128" s="448"/>
      <c r="B128" s="1"/>
      <c r="C128" s="175" t="str">
        <f>VLOOKUP(108,Textbausteine_102[],Hilfsgrössen!$D$2,FALSE)</f>
        <v>Rete di AutoPostale</v>
      </c>
      <c r="D128" s="66" t="str">
        <f>VLOOKUP(29,Textbausteine_102[],Hilfsgrössen!$D$2,FALSE)</f>
        <v>km</v>
      </c>
      <c r="E128" s="285" t="s">
        <v>56</v>
      </c>
      <c r="F128" s="11" t="s">
        <v>37</v>
      </c>
      <c r="G128" s="49"/>
      <c r="H128" s="137" t="s">
        <v>30</v>
      </c>
      <c r="I128" s="172">
        <v>10450</v>
      </c>
      <c r="J128" s="172">
        <v>9805</v>
      </c>
      <c r="K128" s="172">
        <v>9827</v>
      </c>
      <c r="L128" s="172">
        <v>10345</v>
      </c>
      <c r="M128" s="172">
        <v>10429</v>
      </c>
      <c r="N128" s="159">
        <v>11007</v>
      </c>
      <c r="O128" s="159">
        <v>11102</v>
      </c>
      <c r="P128" s="159">
        <v>11350</v>
      </c>
      <c r="Q128" s="159">
        <v>11674</v>
      </c>
      <c r="R128" s="159">
        <v>11869</v>
      </c>
      <c r="S128" s="159">
        <v>11982</v>
      </c>
      <c r="T128" s="160">
        <v>12076</v>
      </c>
      <c r="U128" s="160">
        <v>12159</v>
      </c>
      <c r="V128" s="160">
        <v>12718.924999999999</v>
      </c>
      <c r="W128" s="160">
        <v>16055</v>
      </c>
      <c r="X128" s="471">
        <v>16865</v>
      </c>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row>
    <row r="129" spans="1:88" s="32" customFormat="1" ht="12.5" customHeight="1">
      <c r="A129" s="448"/>
      <c r="B129" s="1"/>
      <c r="C129" s="67"/>
      <c r="D129" s="1"/>
      <c r="E129" s="285"/>
      <c r="F129" s="11"/>
      <c r="G129" s="49"/>
      <c r="H129" s="172"/>
      <c r="I129" s="172"/>
      <c r="J129" s="172"/>
      <c r="K129" s="172"/>
      <c r="L129" s="172"/>
      <c r="M129" s="172"/>
      <c r="N129" s="159"/>
      <c r="O129" s="159"/>
      <c r="P129" s="159"/>
      <c r="Q129" s="159"/>
      <c r="R129" s="159"/>
      <c r="S129" s="159"/>
      <c r="T129" s="160"/>
      <c r="U129" s="160"/>
      <c r="V129" s="160"/>
      <c r="W129" s="160"/>
      <c r="X129" s="252"/>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row>
    <row r="130" spans="1:88" s="32" customFormat="1" ht="12.5" customHeight="1">
      <c r="A130" s="448"/>
      <c r="B130" s="8" t="str">
        <f>VLOOKUP(53,Textbausteine_Menu[],Hilfsgrössen!$D$2,FALSE)</f>
        <v>Immobili</v>
      </c>
      <c r="C130" s="10"/>
      <c r="D130" s="66"/>
      <c r="E130" s="289"/>
      <c r="F130" s="13"/>
      <c r="G130" s="50"/>
      <c r="H130" s="139"/>
      <c r="I130" s="139"/>
      <c r="J130" s="139"/>
      <c r="K130" s="139"/>
      <c r="L130" s="139"/>
      <c r="M130" s="139"/>
      <c r="N130" s="159"/>
      <c r="O130" s="159"/>
      <c r="P130" s="159"/>
      <c r="Q130" s="159"/>
      <c r="R130" s="159"/>
      <c r="S130" s="159"/>
      <c r="T130" s="160"/>
      <c r="U130" s="160"/>
      <c r="V130" s="160"/>
      <c r="W130" s="160"/>
      <c r="X130" s="252"/>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row>
    <row r="131" spans="1:88" ht="12.5" customHeight="1">
      <c r="A131" s="448"/>
      <c r="C131" s="66" t="str">
        <f>VLOOKUP(109,Textbausteine_102[],Hilfsgrössen!$D$2,FALSE)</f>
        <v>Immobili</v>
      </c>
      <c r="D131" s="18" t="str">
        <f>VLOOKUP(28,Textbausteine_102[],Hilfsgrössen!$D$2,FALSE)</f>
        <v>Numero</v>
      </c>
      <c r="E131" s="285"/>
      <c r="F131" s="11" t="s">
        <v>37</v>
      </c>
      <c r="G131" s="49"/>
      <c r="H131" s="137" t="s">
        <v>30</v>
      </c>
      <c r="I131" s="174" t="s">
        <v>30</v>
      </c>
      <c r="J131" s="174" t="s">
        <v>30</v>
      </c>
      <c r="K131" s="172">
        <v>2923</v>
      </c>
      <c r="L131" s="172">
        <v>2997</v>
      </c>
      <c r="M131" s="172">
        <v>2773</v>
      </c>
      <c r="N131" s="159">
        <v>2687</v>
      </c>
      <c r="O131" s="159">
        <v>2733</v>
      </c>
      <c r="P131" s="159">
        <v>2545</v>
      </c>
      <c r="Q131" s="159">
        <v>2484</v>
      </c>
      <c r="R131" s="159">
        <v>2471</v>
      </c>
      <c r="S131" s="159">
        <v>2467</v>
      </c>
      <c r="T131" s="160">
        <v>2415</v>
      </c>
      <c r="U131" s="160">
        <v>2407</v>
      </c>
      <c r="V131" s="160">
        <v>2345</v>
      </c>
      <c r="W131" s="160">
        <v>2296</v>
      </c>
      <c r="X131" s="471">
        <v>2268</v>
      </c>
    </row>
    <row r="132" spans="1:88" ht="12.5" customHeight="1">
      <c r="A132" s="448"/>
      <c r="C132" s="19" t="str">
        <f>VLOOKUP(110,Textbausteine_102[],Hilfsgrössen!$D$2,FALSE)</f>
        <v>di proprietà</v>
      </c>
      <c r="D132" s="18" t="str">
        <f>VLOOKUP(28,Textbausteine_102[],Hilfsgrössen!$D$2,FALSE)</f>
        <v>Numero</v>
      </c>
      <c r="E132" s="285"/>
      <c r="F132" s="11" t="s">
        <v>37</v>
      </c>
      <c r="G132" s="49"/>
      <c r="H132" s="137" t="s">
        <v>30</v>
      </c>
      <c r="I132" s="174" t="s">
        <v>30</v>
      </c>
      <c r="J132" s="174" t="s">
        <v>30</v>
      </c>
      <c r="K132" s="172">
        <v>1346</v>
      </c>
      <c r="L132" s="172">
        <v>1304</v>
      </c>
      <c r="M132" s="172">
        <v>1216</v>
      </c>
      <c r="N132" s="159">
        <v>1180</v>
      </c>
      <c r="O132" s="159">
        <v>1154</v>
      </c>
      <c r="P132" s="159">
        <v>1120</v>
      </c>
      <c r="Q132" s="159">
        <v>1086</v>
      </c>
      <c r="R132" s="159">
        <v>1051</v>
      </c>
      <c r="S132" s="159">
        <v>1009</v>
      </c>
      <c r="T132" s="160">
        <v>947</v>
      </c>
      <c r="U132" s="160">
        <v>901</v>
      </c>
      <c r="V132" s="160">
        <v>833</v>
      </c>
      <c r="W132" s="160">
        <v>775</v>
      </c>
      <c r="X132" s="252">
        <v>732</v>
      </c>
    </row>
    <row r="133" spans="1:88" ht="12.5" customHeight="1">
      <c r="A133" s="448"/>
      <c r="C133" s="76" t="str">
        <f>VLOOKUP(111,Textbausteine_102[],Hilfsgrössen!$D$2,FALSE)</f>
        <v>in affitto</v>
      </c>
      <c r="D133" s="18" t="str">
        <f>VLOOKUP(28,Textbausteine_102[],Hilfsgrössen!$D$2,FALSE)</f>
        <v>Numero</v>
      </c>
      <c r="E133" s="285"/>
      <c r="F133" s="11" t="s">
        <v>37</v>
      </c>
      <c r="G133" s="49"/>
      <c r="H133" s="137" t="s">
        <v>30</v>
      </c>
      <c r="I133" s="174" t="s">
        <v>30</v>
      </c>
      <c r="J133" s="174" t="s">
        <v>30</v>
      </c>
      <c r="K133" s="172">
        <v>1577</v>
      </c>
      <c r="L133" s="172">
        <v>1693</v>
      </c>
      <c r="M133" s="172">
        <v>1557</v>
      </c>
      <c r="N133" s="159">
        <v>1507</v>
      </c>
      <c r="O133" s="159">
        <v>1579</v>
      </c>
      <c r="P133" s="159">
        <v>1425</v>
      </c>
      <c r="Q133" s="159">
        <v>1398</v>
      </c>
      <c r="R133" s="159">
        <v>1420</v>
      </c>
      <c r="S133" s="159">
        <v>1458</v>
      </c>
      <c r="T133" s="160">
        <v>1468</v>
      </c>
      <c r="U133" s="160">
        <v>1506</v>
      </c>
      <c r="V133" s="160">
        <v>1512</v>
      </c>
      <c r="W133" s="160">
        <v>1521</v>
      </c>
      <c r="X133" s="471">
        <v>1535</v>
      </c>
    </row>
    <row r="134" spans="1:88" ht="12.5" customHeight="1">
      <c r="A134" s="448"/>
      <c r="C134" s="66" t="str">
        <f>VLOOKUP(112,Textbausteine_102[],Hilfsgrössen!$D$2,FALSE)</f>
        <v>Superficie gestita</v>
      </c>
      <c r="D134" s="18" t="str">
        <f>VLOOKUP(30,Textbausteine_102[],Hilfsgrössen!$D$2,FALSE)</f>
        <v>mln di m²</v>
      </c>
      <c r="E134" s="285"/>
      <c r="F134" s="11" t="s">
        <v>37</v>
      </c>
      <c r="G134" s="49"/>
      <c r="H134" s="271" t="s">
        <v>30</v>
      </c>
      <c r="I134" s="389" t="s">
        <v>30</v>
      </c>
      <c r="J134" s="389" t="s">
        <v>30</v>
      </c>
      <c r="K134" s="219">
        <v>2.6</v>
      </c>
      <c r="L134" s="219">
        <v>2.8</v>
      </c>
      <c r="M134" s="219">
        <v>2.6</v>
      </c>
      <c r="N134" s="334">
        <v>2.673</v>
      </c>
      <c r="O134" s="334">
        <v>2.6</v>
      </c>
      <c r="P134" s="334">
        <v>2.5539999999999998</v>
      </c>
      <c r="Q134" s="334">
        <v>2.6</v>
      </c>
      <c r="R134" s="334">
        <v>2.4</v>
      </c>
      <c r="S134" s="334">
        <v>2.5</v>
      </c>
      <c r="T134" s="221">
        <v>2.5</v>
      </c>
      <c r="U134" s="221">
        <v>2.54</v>
      </c>
      <c r="V134" s="221">
        <v>2.5099999999999998</v>
      </c>
      <c r="W134" s="221">
        <v>2.5</v>
      </c>
      <c r="X134" s="335">
        <v>2.5</v>
      </c>
    </row>
    <row r="135" spans="1:88" ht="12.5" customHeight="1">
      <c r="A135" s="448"/>
      <c r="C135" s="76" t="str">
        <f>VLOOKUP(113,Textbausteine_102[],Hilfsgrössen!$D$2,FALSE)</f>
        <v>Superficie in locazione</v>
      </c>
      <c r="D135" s="18" t="str">
        <f>VLOOKUP(30,Textbausteine_102[],Hilfsgrössen!$D$2,FALSE)</f>
        <v>mln di m²</v>
      </c>
      <c r="E135" s="287"/>
      <c r="F135" s="11" t="s">
        <v>37</v>
      </c>
      <c r="G135" s="49"/>
      <c r="H135" s="271" t="s">
        <v>30</v>
      </c>
      <c r="I135" s="389" t="s">
        <v>30</v>
      </c>
      <c r="J135" s="389" t="s">
        <v>30</v>
      </c>
      <c r="K135" s="219">
        <v>0.5</v>
      </c>
      <c r="L135" s="219">
        <v>0.7</v>
      </c>
      <c r="M135" s="219">
        <v>0.8</v>
      </c>
      <c r="N135" s="334">
        <v>0.77500000000000002</v>
      </c>
      <c r="O135" s="334">
        <v>0.8</v>
      </c>
      <c r="P135" s="334">
        <v>0.72399999999999998</v>
      </c>
      <c r="Q135" s="334">
        <v>0.8</v>
      </c>
      <c r="R135" s="334">
        <v>0.8</v>
      </c>
      <c r="S135" s="334">
        <v>0.8</v>
      </c>
      <c r="T135" s="221">
        <v>0.7</v>
      </c>
      <c r="U135" s="221">
        <v>0.71</v>
      </c>
      <c r="V135" s="221">
        <v>0.7</v>
      </c>
      <c r="W135" s="221">
        <v>0.7</v>
      </c>
      <c r="X135" s="335">
        <v>0.7</v>
      </c>
    </row>
    <row r="136" spans="1:88" ht="12.5" customHeight="1">
      <c r="A136" s="448"/>
      <c r="B136" s="9"/>
      <c r="C136" s="76" t="str">
        <f>VLOOKUP(114,Textbausteine_102[],Hilfsgrössen!$D$2,FALSE)</f>
        <v>Superficie in locazione</v>
      </c>
      <c r="D136" s="1" t="str">
        <f>VLOOKUP(22,Textbausteine_102[],Hilfsgrössen!$D$2,FALSE)</f>
        <v>mln di CHF</v>
      </c>
      <c r="E136" s="288"/>
      <c r="F136" s="11" t="s">
        <v>37</v>
      </c>
      <c r="G136" s="49"/>
      <c r="H136" s="137" t="s">
        <v>30</v>
      </c>
      <c r="I136" s="164" t="s">
        <v>30</v>
      </c>
      <c r="J136" s="164" t="s">
        <v>30</v>
      </c>
      <c r="K136" s="159">
        <v>111</v>
      </c>
      <c r="L136" s="159">
        <v>116</v>
      </c>
      <c r="M136" s="159">
        <v>129</v>
      </c>
      <c r="N136" s="20">
        <v>138</v>
      </c>
      <c r="O136" s="20">
        <v>137</v>
      </c>
      <c r="P136" s="106">
        <v>137</v>
      </c>
      <c r="Q136" s="160">
        <v>157</v>
      </c>
      <c r="R136" s="159">
        <v>143</v>
      </c>
      <c r="S136" s="159">
        <v>152.36232099999998</v>
      </c>
      <c r="T136" s="160">
        <v>153</v>
      </c>
      <c r="U136" s="160">
        <v>147</v>
      </c>
      <c r="V136" s="160">
        <v>143</v>
      </c>
      <c r="W136" s="160">
        <v>141</v>
      </c>
      <c r="X136" s="252">
        <v>139</v>
      </c>
    </row>
    <row r="137" spans="1:88" ht="12.5" customHeight="1">
      <c r="A137" s="448"/>
      <c r="C137" s="66" t="str">
        <f>VLOOKUP(115,Textbausteine_102[],Hilfsgrössen!$D$2,FALSE)</f>
        <v>Valore d'investimento</v>
      </c>
      <c r="D137" s="1" t="str">
        <f>VLOOKUP(22,Textbausteine_102[],Hilfsgrössen!$D$2,FALSE)</f>
        <v>mln di CHF</v>
      </c>
      <c r="E137" s="285"/>
      <c r="F137" s="11" t="s">
        <v>37</v>
      </c>
      <c r="G137" s="49"/>
      <c r="H137" s="137" t="s">
        <v>30</v>
      </c>
      <c r="I137" s="174" t="s">
        <v>30</v>
      </c>
      <c r="J137" s="174" t="s">
        <v>30</v>
      </c>
      <c r="K137" s="172">
        <v>6057</v>
      </c>
      <c r="L137" s="172">
        <v>5732</v>
      </c>
      <c r="M137" s="172">
        <v>5208</v>
      </c>
      <c r="N137" s="159">
        <v>5237</v>
      </c>
      <c r="O137" s="159">
        <v>5277</v>
      </c>
      <c r="P137" s="159">
        <v>5357</v>
      </c>
      <c r="Q137" s="159">
        <v>5496</v>
      </c>
      <c r="R137" s="159">
        <v>5594</v>
      </c>
      <c r="S137" s="159">
        <v>5500.2836930000003</v>
      </c>
      <c r="T137" s="160">
        <v>5464</v>
      </c>
      <c r="U137" s="160">
        <v>5309</v>
      </c>
      <c r="V137" s="160">
        <v>5251</v>
      </c>
      <c r="W137" s="160">
        <v>5185</v>
      </c>
      <c r="X137" s="471">
        <v>5272</v>
      </c>
    </row>
    <row r="138" spans="1:88" ht="12.5" customHeight="1">
      <c r="A138" s="448"/>
      <c r="C138" s="66" t="str">
        <f>VLOOKUP(116,Textbausteine_102[],Hilfsgrössen!$D$2,FALSE)</f>
        <v>Reddito da locazioni interno</v>
      </c>
      <c r="D138" s="1" t="str">
        <f>VLOOKUP(22,Textbausteine_102[],Hilfsgrössen!$D$2,FALSE)</f>
        <v>mln di CHF</v>
      </c>
      <c r="E138" s="285"/>
      <c r="F138" s="11" t="s">
        <v>37</v>
      </c>
      <c r="G138" s="49"/>
      <c r="H138" s="137" t="s">
        <v>30</v>
      </c>
      <c r="I138" s="174" t="s">
        <v>30</v>
      </c>
      <c r="J138" s="174" t="s">
        <v>30</v>
      </c>
      <c r="K138" s="172">
        <v>399</v>
      </c>
      <c r="L138" s="172">
        <v>415</v>
      </c>
      <c r="M138" s="172">
        <v>402</v>
      </c>
      <c r="N138" s="159">
        <v>398</v>
      </c>
      <c r="O138" s="159">
        <v>394</v>
      </c>
      <c r="P138" s="159">
        <v>392</v>
      </c>
      <c r="Q138" s="159">
        <v>370</v>
      </c>
      <c r="R138" s="159">
        <v>371</v>
      </c>
      <c r="S138" s="159">
        <v>367.85900000000004</v>
      </c>
      <c r="T138" s="160">
        <v>358</v>
      </c>
      <c r="U138" s="160">
        <v>344</v>
      </c>
      <c r="V138" s="160">
        <v>296.2</v>
      </c>
      <c r="W138" s="160">
        <v>289</v>
      </c>
      <c r="X138" s="252">
        <v>278</v>
      </c>
    </row>
    <row r="139" spans="1:88" ht="12.5" customHeight="1">
      <c r="A139" s="448"/>
      <c r="C139" s="66" t="str">
        <f>VLOOKUP(117,Textbausteine_102[],Hilfsgrössen!$D$2,FALSE)</f>
        <v>Reddito da locazioni esterno</v>
      </c>
      <c r="D139" s="1" t="str">
        <f>VLOOKUP(22,Textbausteine_102[],Hilfsgrössen!$D$2,FALSE)</f>
        <v>mln di CHF</v>
      </c>
      <c r="E139" s="285"/>
      <c r="F139" s="11" t="s">
        <v>37</v>
      </c>
      <c r="G139" s="49"/>
      <c r="H139" s="390" t="s">
        <v>30</v>
      </c>
      <c r="I139" s="391" t="s">
        <v>30</v>
      </c>
      <c r="J139" s="391" t="s">
        <v>30</v>
      </c>
      <c r="K139" s="222">
        <v>55</v>
      </c>
      <c r="L139" s="222">
        <v>59</v>
      </c>
      <c r="M139" s="222">
        <v>57</v>
      </c>
      <c r="N139" s="330">
        <v>56</v>
      </c>
      <c r="O139" s="330">
        <v>56</v>
      </c>
      <c r="P139" s="330">
        <v>63</v>
      </c>
      <c r="Q139" s="330">
        <v>64</v>
      </c>
      <c r="R139" s="330">
        <v>61</v>
      </c>
      <c r="S139" s="330">
        <v>63.567</v>
      </c>
      <c r="T139" s="331">
        <v>61</v>
      </c>
      <c r="U139" s="331">
        <v>62</v>
      </c>
      <c r="V139" s="331">
        <v>84</v>
      </c>
      <c r="W139" s="331">
        <v>86</v>
      </c>
      <c r="X139" s="332">
        <v>58</v>
      </c>
      <c r="Y139" s="11"/>
    </row>
    <row r="140" spans="1:88" ht="12.5" customHeight="1">
      <c r="A140" s="448"/>
      <c r="C140" s="66" t="str">
        <f>VLOOKUP(118,Textbausteine_102[],Hilfsgrössen!$D$2,FALSE)</f>
        <v>Volume investimenti</v>
      </c>
      <c r="D140" s="1" t="str">
        <f>VLOOKUP(22,Textbausteine_102[],Hilfsgrössen!$D$2,FALSE)</f>
        <v>mln di CHF</v>
      </c>
      <c r="E140" s="285"/>
      <c r="F140" s="11" t="s">
        <v>37</v>
      </c>
      <c r="G140" s="49"/>
      <c r="H140" s="390" t="s">
        <v>30</v>
      </c>
      <c r="I140" s="391" t="s">
        <v>30</v>
      </c>
      <c r="J140" s="391" t="s">
        <v>30</v>
      </c>
      <c r="K140" s="222">
        <v>140</v>
      </c>
      <c r="L140" s="222">
        <v>160</v>
      </c>
      <c r="M140" s="222">
        <v>121</v>
      </c>
      <c r="N140" s="330">
        <v>167</v>
      </c>
      <c r="O140" s="330">
        <v>183</v>
      </c>
      <c r="P140" s="330">
        <v>177</v>
      </c>
      <c r="Q140" s="330">
        <v>157</v>
      </c>
      <c r="R140" s="330">
        <v>189</v>
      </c>
      <c r="S140" s="330">
        <v>101.937</v>
      </c>
      <c r="T140" s="331">
        <v>141</v>
      </c>
      <c r="U140" s="331">
        <v>127</v>
      </c>
      <c r="V140" s="331">
        <v>85.9</v>
      </c>
      <c r="W140" s="331">
        <v>144</v>
      </c>
      <c r="X140" s="332">
        <v>176</v>
      </c>
    </row>
    <row r="141" spans="1:88" ht="12.5" customHeight="1">
      <c r="A141" s="448"/>
      <c r="C141" s="66" t="str">
        <f>VLOOKUP(119,Textbausteine_102[],Hilfsgrössen!$D$2,FALSE)</f>
        <v>Volume manutenzioni</v>
      </c>
      <c r="D141" s="1" t="str">
        <f>VLOOKUP(22,Textbausteine_102[],Hilfsgrössen!$D$2,FALSE)</f>
        <v>mln di CHF</v>
      </c>
      <c r="E141" s="287"/>
      <c r="F141" s="11" t="s">
        <v>37</v>
      </c>
      <c r="G141" s="49"/>
      <c r="H141" s="390" t="s">
        <v>30</v>
      </c>
      <c r="I141" s="391" t="s">
        <v>30</v>
      </c>
      <c r="J141" s="391" t="s">
        <v>30</v>
      </c>
      <c r="K141" s="222">
        <v>47</v>
      </c>
      <c r="L141" s="222">
        <v>50</v>
      </c>
      <c r="M141" s="222">
        <v>49</v>
      </c>
      <c r="N141" s="330">
        <v>44</v>
      </c>
      <c r="O141" s="330">
        <v>48</v>
      </c>
      <c r="P141" s="330">
        <v>54</v>
      </c>
      <c r="Q141" s="330">
        <v>44</v>
      </c>
      <c r="R141" s="330">
        <v>42</v>
      </c>
      <c r="S141" s="330">
        <v>92</v>
      </c>
      <c r="T141" s="331">
        <v>57</v>
      </c>
      <c r="U141" s="331">
        <v>40</v>
      </c>
      <c r="V141" s="331">
        <v>43.4</v>
      </c>
      <c r="W141" s="331">
        <v>40</v>
      </c>
      <c r="X141" s="332">
        <v>35</v>
      </c>
      <c r="Y141" s="11"/>
    </row>
    <row r="142" spans="1:88" ht="12.5" customHeight="1">
      <c r="A142" s="448"/>
      <c r="B142" s="9"/>
      <c r="C142" s="66" t="str">
        <f>VLOOKUP(120,Textbausteine_102[],Hilfsgrössen!$D$2,FALSE)</f>
        <v>Progetti in corso</v>
      </c>
      <c r="D142" s="18" t="str">
        <f>VLOOKUP(28,Textbausteine_102[],Hilfsgrössen!$D$2,FALSE)</f>
        <v>Numero</v>
      </c>
      <c r="E142" s="288"/>
      <c r="F142" s="11" t="s">
        <v>37</v>
      </c>
      <c r="G142" s="49"/>
      <c r="H142" s="137" t="s">
        <v>30</v>
      </c>
      <c r="I142" s="164" t="s">
        <v>30</v>
      </c>
      <c r="J142" s="164" t="s">
        <v>30</v>
      </c>
      <c r="K142" s="159" t="s">
        <v>57</v>
      </c>
      <c r="L142" s="159" t="s">
        <v>58</v>
      </c>
      <c r="M142" s="159" t="s">
        <v>58</v>
      </c>
      <c r="N142" s="20" t="s">
        <v>58</v>
      </c>
      <c r="O142" s="20" t="s">
        <v>59</v>
      </c>
      <c r="P142" s="106" t="s">
        <v>59</v>
      </c>
      <c r="Q142" s="160" t="s">
        <v>60</v>
      </c>
      <c r="R142" s="159" t="s">
        <v>61</v>
      </c>
      <c r="S142" s="159" t="s">
        <v>62</v>
      </c>
      <c r="T142" s="160" t="s">
        <v>63</v>
      </c>
      <c r="U142" s="160" t="s">
        <v>63</v>
      </c>
      <c r="V142" s="160" t="s">
        <v>64</v>
      </c>
      <c r="W142" s="160" t="s">
        <v>64</v>
      </c>
      <c r="X142" s="252" t="s">
        <v>59</v>
      </c>
    </row>
    <row r="143" spans="1:88" ht="12.5" customHeight="1">
      <c r="A143" s="448"/>
      <c r="C143" s="67"/>
      <c r="E143" s="285"/>
      <c r="F143" s="11"/>
      <c r="G143" s="49"/>
      <c r="H143" s="172"/>
      <c r="I143" s="172"/>
      <c r="J143" s="172"/>
      <c r="K143" s="172"/>
      <c r="L143" s="172"/>
      <c r="M143" s="172"/>
      <c r="N143" s="159"/>
      <c r="O143" s="159"/>
      <c r="P143" s="159"/>
      <c r="Q143" s="159"/>
      <c r="R143" s="159"/>
      <c r="S143" s="159"/>
      <c r="T143" s="160"/>
      <c r="U143" s="160"/>
      <c r="V143" s="160"/>
      <c r="W143" s="160"/>
      <c r="X143" s="252"/>
    </row>
    <row r="144" spans="1:88" s="32" customFormat="1" ht="12.5" customHeight="1">
      <c r="A144" s="448"/>
      <c r="B144" s="8" t="str">
        <f>VLOOKUP(54,Textbausteine_Menu[],Hilfsgrössen!$D$2,FALSE)</f>
        <v>Tecnologia dell'informazione</v>
      </c>
      <c r="C144" s="10"/>
      <c r="D144" s="66"/>
      <c r="E144" s="289"/>
      <c r="F144" s="13"/>
      <c r="G144" s="50"/>
      <c r="H144" s="139"/>
      <c r="I144" s="139"/>
      <c r="J144" s="139"/>
      <c r="K144" s="139"/>
      <c r="L144" s="139"/>
      <c r="M144" s="139"/>
      <c r="N144" s="159"/>
      <c r="O144" s="159"/>
      <c r="P144" s="159"/>
      <c r="Q144" s="159"/>
      <c r="R144" s="159"/>
      <c r="S144" s="159"/>
      <c r="T144" s="160"/>
      <c r="U144" s="160"/>
      <c r="V144" s="160"/>
      <c r="W144" s="160"/>
      <c r="X144" s="252"/>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row>
    <row r="145" spans="1:25" ht="12.5" customHeight="1">
      <c r="A145" s="448"/>
      <c r="C145" s="67" t="str">
        <f>VLOOKUP(121,Textbausteine_102[],Hilfsgrössen!$D$2,FALSE)</f>
        <v xml:space="preserve">Contatti User Help Desk </v>
      </c>
      <c r="D145" s="1" t="str">
        <f>VLOOKUP(31,Textbausteine_102[],Hilfsgrössen!$D$2,FALSE)</f>
        <v>Numero per mese</v>
      </c>
      <c r="E145" s="285"/>
      <c r="F145" s="11" t="s">
        <v>37</v>
      </c>
      <c r="G145" s="49"/>
      <c r="H145" s="137" t="s">
        <v>30</v>
      </c>
      <c r="I145" s="174" t="s">
        <v>30</v>
      </c>
      <c r="J145" s="174" t="s">
        <v>30</v>
      </c>
      <c r="K145" s="172">
        <v>25000</v>
      </c>
      <c r="L145" s="172">
        <v>24000</v>
      </c>
      <c r="M145" s="172">
        <v>24000</v>
      </c>
      <c r="N145" s="159">
        <v>21935</v>
      </c>
      <c r="O145" s="159">
        <v>20901</v>
      </c>
      <c r="P145" s="159">
        <v>19200</v>
      </c>
      <c r="Q145" s="159">
        <v>16768</v>
      </c>
      <c r="R145" s="159">
        <v>16092</v>
      </c>
      <c r="S145" s="159">
        <v>19080</v>
      </c>
      <c r="T145" s="160">
        <v>17038</v>
      </c>
      <c r="U145" s="160">
        <v>15126</v>
      </c>
      <c r="V145" s="160">
        <v>14167</v>
      </c>
      <c r="W145" s="160">
        <v>14813</v>
      </c>
      <c r="X145" s="471">
        <v>14985</v>
      </c>
    </row>
    <row r="146" spans="1:25" ht="12.5" customHeight="1">
      <c r="A146" s="448"/>
      <c r="C146" s="67" t="str">
        <f>VLOOKUP(122,Textbausteine_102[],Hilfsgrössen!$D$2,FALSE)</f>
        <v>Apparecchi sotto assistenza</v>
      </c>
      <c r="D146" s="66" t="str">
        <f>VLOOKUP(33,Textbausteine_102[],Hilfsgrössen!$D$2,FALSE)</f>
        <v>Numero per anno</v>
      </c>
      <c r="E146" s="285"/>
      <c r="F146" s="11" t="s">
        <v>37</v>
      </c>
      <c r="G146" s="49"/>
      <c r="H146" s="137" t="s">
        <v>30</v>
      </c>
      <c r="I146" s="174" t="s">
        <v>30</v>
      </c>
      <c r="J146" s="174" t="s">
        <v>30</v>
      </c>
      <c r="K146" s="172">
        <v>38200</v>
      </c>
      <c r="L146" s="172">
        <v>62000</v>
      </c>
      <c r="M146" s="172">
        <v>64431</v>
      </c>
      <c r="N146" s="159">
        <v>79121</v>
      </c>
      <c r="O146" s="159">
        <v>85455</v>
      </c>
      <c r="P146" s="159">
        <v>87073</v>
      </c>
      <c r="Q146" s="159">
        <v>86884</v>
      </c>
      <c r="R146" s="159">
        <v>89075</v>
      </c>
      <c r="S146" s="159">
        <v>96891</v>
      </c>
      <c r="T146" s="160">
        <v>92492</v>
      </c>
      <c r="U146" s="160">
        <v>90231</v>
      </c>
      <c r="V146" s="160">
        <v>89772</v>
      </c>
      <c r="W146" s="160">
        <v>93544</v>
      </c>
      <c r="X146" s="471">
        <v>98257</v>
      </c>
    </row>
    <row r="147" spans="1:25" ht="12.5" customHeight="1">
      <c r="A147" s="448"/>
      <c r="C147" s="67" t="str">
        <f>VLOOKUP(123,Textbausteine_102[],Hilfsgrössen!$D$2,FALSE)</f>
        <v>Numero di applicazioni diverse</v>
      </c>
      <c r="D147" s="66" t="str">
        <f>VLOOKUP(33,Textbausteine_102[],Hilfsgrössen!$D$2,FALSE)</f>
        <v>Numero per anno</v>
      </c>
      <c r="E147" s="287" t="s">
        <v>65</v>
      </c>
      <c r="F147" s="11" t="s">
        <v>37</v>
      </c>
      <c r="G147" s="49"/>
      <c r="H147" s="137" t="s">
        <v>30</v>
      </c>
      <c r="I147" s="174" t="s">
        <v>30</v>
      </c>
      <c r="J147" s="174" t="s">
        <v>30</v>
      </c>
      <c r="K147" s="172">
        <v>430</v>
      </c>
      <c r="L147" s="172">
        <v>450</v>
      </c>
      <c r="M147" s="172">
        <v>625</v>
      </c>
      <c r="N147" s="159">
        <v>654</v>
      </c>
      <c r="O147" s="159">
        <v>636</v>
      </c>
      <c r="P147" s="159">
        <v>509</v>
      </c>
      <c r="Q147" s="159">
        <v>540</v>
      </c>
      <c r="R147" s="159">
        <v>559</v>
      </c>
      <c r="S147" s="159">
        <v>569</v>
      </c>
      <c r="T147" s="160">
        <v>591</v>
      </c>
      <c r="U147" s="160">
        <v>593</v>
      </c>
      <c r="V147" s="160">
        <v>586</v>
      </c>
      <c r="W147" s="160">
        <v>442</v>
      </c>
      <c r="X147" s="252">
        <v>454</v>
      </c>
    </row>
    <row r="148" spans="1:25" ht="12.5" customHeight="1">
      <c r="A148" s="448"/>
      <c r="B148" s="9"/>
      <c r="C148" s="10" t="str">
        <f>VLOOKUP(124,Textbausteine_102[],Hilfsgrössen!$D$2,FALSE)</f>
        <v>Numero di dati salvati all'anno</v>
      </c>
      <c r="D148" s="9" t="str">
        <f>VLOOKUP(32,Textbausteine_102[],Hilfsgrössen!$D$2,FALSE)</f>
        <v>Gigabyte</v>
      </c>
      <c r="E148" s="288"/>
      <c r="F148" s="11" t="s">
        <v>37</v>
      </c>
      <c r="G148" s="49"/>
      <c r="H148" s="137" t="s">
        <v>30</v>
      </c>
      <c r="I148" s="164" t="s">
        <v>30</v>
      </c>
      <c r="J148" s="164" t="s">
        <v>30</v>
      </c>
      <c r="K148" s="164" t="s">
        <v>30</v>
      </c>
      <c r="L148" s="164" t="s">
        <v>30</v>
      </c>
      <c r="M148" s="164" t="s">
        <v>30</v>
      </c>
      <c r="N148" s="20" t="s">
        <v>66</v>
      </c>
      <c r="O148" s="20">
        <v>1900000</v>
      </c>
      <c r="P148" s="106">
        <v>2600000</v>
      </c>
      <c r="Q148" s="160">
        <v>2700000</v>
      </c>
      <c r="R148" s="159">
        <v>2900000</v>
      </c>
      <c r="S148" s="159">
        <v>3100000</v>
      </c>
      <c r="T148" s="160">
        <v>3400000</v>
      </c>
      <c r="U148" s="160">
        <v>3500000</v>
      </c>
      <c r="V148" s="160">
        <v>3600000</v>
      </c>
      <c r="W148" s="160">
        <v>4200000</v>
      </c>
      <c r="X148" s="471">
        <v>4450000</v>
      </c>
    </row>
    <row r="149" spans="1:25" ht="12.5" customHeight="1">
      <c r="A149" s="448"/>
      <c r="C149" s="67" t="str">
        <f>VLOOKUP(125,Textbausteine_102[],Hilfsgrössen!$D$2,FALSE)</f>
        <v>Tasso di risoluzione immediata</v>
      </c>
      <c r="D149" s="1" t="str">
        <f>VLOOKUP(21,Textbausteine_102[],Hilfsgrössen!$D$2,FALSE)</f>
        <v>%</v>
      </c>
      <c r="E149" s="285"/>
      <c r="F149" s="11" t="s">
        <v>37</v>
      </c>
      <c r="G149" s="49"/>
      <c r="H149" s="137" t="s">
        <v>30</v>
      </c>
      <c r="I149" s="174" t="s">
        <v>30</v>
      </c>
      <c r="J149" s="174" t="s">
        <v>30</v>
      </c>
      <c r="K149" s="222">
        <v>67.7</v>
      </c>
      <c r="L149" s="222">
        <v>67.5</v>
      </c>
      <c r="M149" s="222">
        <v>68.599999999999994</v>
      </c>
      <c r="N149" s="330">
        <v>68.099999999999994</v>
      </c>
      <c r="O149" s="330">
        <v>69.2</v>
      </c>
      <c r="P149" s="330">
        <v>76.900000000000006</v>
      </c>
      <c r="Q149" s="330">
        <v>74</v>
      </c>
      <c r="R149" s="330">
        <v>75</v>
      </c>
      <c r="S149" s="330">
        <v>76</v>
      </c>
      <c r="T149" s="331">
        <v>74</v>
      </c>
      <c r="U149" s="331">
        <v>72</v>
      </c>
      <c r="V149" s="331">
        <v>69</v>
      </c>
      <c r="W149" s="331">
        <v>71</v>
      </c>
      <c r="X149" s="332">
        <v>75</v>
      </c>
      <c r="Y149" s="11"/>
    </row>
    <row r="150" spans="1:25" ht="12.5" customHeight="1">
      <c r="A150" s="448"/>
      <c r="C150" s="67" t="str">
        <f>VLOOKUP(126,Textbausteine_102[],Hilfsgrössen!$D$2,FALSE)</f>
        <v>Missioni di supporto</v>
      </c>
      <c r="D150" s="66" t="str">
        <f>VLOOKUP(33,Textbausteine_102[],Hilfsgrössen!$D$2,FALSE)</f>
        <v>Numero per anno</v>
      </c>
      <c r="E150" s="285" t="s">
        <v>67</v>
      </c>
      <c r="F150" s="11" t="s">
        <v>37</v>
      </c>
      <c r="G150" s="49"/>
      <c r="H150" s="137" t="s">
        <v>30</v>
      </c>
      <c r="I150" s="174" t="s">
        <v>30</v>
      </c>
      <c r="J150" s="174" t="s">
        <v>30</v>
      </c>
      <c r="K150" s="172">
        <v>40500</v>
      </c>
      <c r="L150" s="172">
        <v>39600</v>
      </c>
      <c r="M150" s="172">
        <v>41500</v>
      </c>
      <c r="N150" s="159">
        <v>38927</v>
      </c>
      <c r="O150" s="159">
        <v>40214</v>
      </c>
      <c r="P150" s="159">
        <v>44100</v>
      </c>
      <c r="Q150" s="159">
        <v>44440</v>
      </c>
      <c r="R150" s="159">
        <v>46990</v>
      </c>
      <c r="S150" s="159">
        <v>50792</v>
      </c>
      <c r="T150" s="160">
        <v>44229</v>
      </c>
      <c r="U150" s="160">
        <v>42292</v>
      </c>
      <c r="V150" s="160">
        <v>44788</v>
      </c>
      <c r="W150" s="160">
        <v>30007</v>
      </c>
      <c r="X150" s="471">
        <v>31134</v>
      </c>
    </row>
    <row r="151" spans="1:25" ht="12.5" customHeight="1">
      <c r="A151" s="448"/>
      <c r="C151" s="67"/>
      <c r="E151" s="285"/>
      <c r="F151" s="11"/>
      <c r="G151" s="49"/>
      <c r="H151" s="172"/>
      <c r="I151" s="172"/>
      <c r="J151" s="172"/>
      <c r="K151" s="172"/>
      <c r="L151" s="172"/>
      <c r="M151" s="172"/>
      <c r="N151" s="159"/>
      <c r="O151" s="159"/>
      <c r="P151" s="159"/>
      <c r="Q151" s="159"/>
      <c r="R151" s="159"/>
      <c r="S151" s="159"/>
      <c r="T151" s="160"/>
      <c r="U151" s="160"/>
      <c r="V151" s="160"/>
      <c r="W151" s="160"/>
      <c r="X151" s="160"/>
    </row>
    <row r="152" spans="1:25" ht="12.5" customHeight="1">
      <c r="A152" s="448"/>
      <c r="B152" s="26" t="str">
        <f>VLOOKUP(261,Textbausteine_102[],Hilfsgrössen!$D$2,FALSE)</f>
        <v>1) Dalle 1.1.2010 alle 31.12.2015 la responsabilità dei prodotti per i clienti privati è stata da RetePostale. A partire dal 1o gennaio 2016 la responsabilità dei prodotti per i clienti privati è stata transferita da RetePostale a PostMail e PostLogistics.</v>
      </c>
      <c r="C152" s="67"/>
      <c r="E152" s="285"/>
      <c r="F152" s="11"/>
      <c r="G152" s="49"/>
      <c r="H152" s="172"/>
      <c r="I152" s="172"/>
      <c r="J152" s="172"/>
      <c r="K152" s="172"/>
      <c r="L152" s="172"/>
      <c r="M152" s="172"/>
      <c r="N152" s="159"/>
      <c r="O152" s="159"/>
      <c r="P152" s="159"/>
      <c r="Q152" s="159"/>
      <c r="R152" s="159"/>
      <c r="S152" s="159"/>
      <c r="T152" s="160"/>
      <c r="U152" s="160"/>
      <c r="V152" s="160"/>
      <c r="W152" s="160"/>
      <c r="X152" s="160"/>
    </row>
    <row r="153" spans="1:25" ht="12.5" customHeight="1">
      <c r="A153" s="448"/>
      <c r="B153" s="26" t="str">
        <f>VLOOKUP(262,Textbausteine_102[],Hilfsgrössen!$D$2,FALSE)</f>
        <v>2) Valore 2017 adattato.</v>
      </c>
      <c r="C153" s="67"/>
      <c r="E153" s="287"/>
      <c r="F153" s="11"/>
      <c r="G153" s="49"/>
      <c r="H153" s="172"/>
      <c r="I153" s="172"/>
      <c r="J153" s="172"/>
      <c r="K153" s="172"/>
      <c r="L153" s="172"/>
      <c r="M153" s="172"/>
      <c r="N153" s="159"/>
      <c r="O153" s="159"/>
      <c r="P153" s="159"/>
      <c r="Q153" s="159"/>
      <c r="R153" s="159"/>
      <c r="S153" s="159"/>
      <c r="T153" s="160"/>
      <c r="U153" s="160"/>
      <c r="V153" s="160"/>
      <c r="W153" s="160"/>
      <c r="X153" s="160"/>
    </row>
    <row r="154" spans="1:25" ht="12.5" customHeight="1">
      <c r="A154" s="448"/>
      <c r="B154" s="26" t="str">
        <f>VLOOKUP(263,Textbausteine_102[],Hilfsgrössen!$D$2,FALSE)</f>
        <v>3) Dall'anno 2012 Swiss Post International non è più un segmento a sé stante. Dal 1o gennaio 2012 le attività sono state trasferite alle unità PostMail e PostLogistics. I dati continuano a essere rilevati.</v>
      </c>
      <c r="C154" s="15"/>
      <c r="D154" s="9"/>
      <c r="E154" s="288"/>
      <c r="F154" s="44"/>
      <c r="G154" s="49"/>
      <c r="H154" s="159"/>
      <c r="I154" s="159"/>
      <c r="J154" s="159"/>
      <c r="K154" s="159"/>
      <c r="L154" s="159"/>
      <c r="M154" s="159"/>
      <c r="N154" s="20"/>
      <c r="O154" s="20"/>
      <c r="P154" s="106"/>
      <c r="Q154" s="160"/>
      <c r="R154" s="159"/>
      <c r="S154" s="159"/>
      <c r="T154" s="160"/>
      <c r="U154" s="160"/>
      <c r="V154" s="160"/>
      <c r="W154" s="160"/>
      <c r="X154" s="160"/>
    </row>
    <row r="155" spans="1:25" ht="12.5" customHeight="1">
      <c r="A155" s="448"/>
      <c r="B155" s="26" t="str">
        <f>VLOOKUP(264,Textbausteine_102[],Hilfsgrössen!$D$2,FALSE)</f>
        <v>4) Dal 2010 Swiss-Express e solo clienti commerciali, fino al 2009 invii espresso (Swiss-Express «Luna»)</v>
      </c>
      <c r="C155" s="26"/>
      <c r="D155" s="26"/>
      <c r="E155" s="292"/>
      <c r="F155" s="43"/>
      <c r="G155" s="26"/>
      <c r="H155" s="161"/>
      <c r="I155" s="161"/>
      <c r="J155" s="161"/>
      <c r="K155" s="161"/>
      <c r="L155" s="161"/>
      <c r="M155" s="161"/>
      <c r="N155" s="161"/>
      <c r="O155" s="161"/>
      <c r="P155" s="161"/>
      <c r="Q155" s="161"/>
      <c r="R155" s="159"/>
      <c r="S155" s="159"/>
      <c r="T155" s="160"/>
      <c r="U155" s="160"/>
      <c r="V155" s="160"/>
      <c r="W155" s="160"/>
      <c r="X155" s="160"/>
    </row>
    <row r="156" spans="1:25" ht="12.5" customHeight="1">
      <c r="A156" s="448"/>
      <c r="B156" s="26" t="str">
        <f>VLOOKUP(265,Textbausteine_102[],Hilfsgrössen!$D$2,FALSE)</f>
        <v>5) Nel 2007 alcune società del gruppo dei segmenti PostMail (DocumentServices AG, SwissSign AG) e PostLogistics (yellowworld AG) sono state assegnate al segmento Swiss Post Solutions.</v>
      </c>
      <c r="C156" s="26"/>
      <c r="D156" s="26"/>
      <c r="E156" s="292"/>
      <c r="F156" s="43"/>
      <c r="G156" s="26"/>
      <c r="H156" s="161"/>
      <c r="I156" s="161"/>
      <c r="J156" s="161"/>
      <c r="K156" s="161"/>
      <c r="L156" s="161"/>
      <c r="M156" s="161"/>
      <c r="N156" s="161"/>
      <c r="O156" s="161"/>
      <c r="P156" s="161"/>
      <c r="Q156" s="161"/>
      <c r="R156" s="159"/>
      <c r="S156" s="159"/>
      <c r="T156" s="160"/>
      <c r="U156" s="160"/>
      <c r="V156" s="160"/>
      <c r="W156" s="160"/>
      <c r="X156" s="160"/>
    </row>
    <row r="157" spans="1:25" ht="12.5" customHeight="1">
      <c r="A157" s="448"/>
      <c r="B157" s="26" t="str">
        <f>VLOOKUP(266,Textbausteine_102[],Hilfsgrössen!$D$2,FALSE)</f>
        <v>6) L’indice "casi trattati“ è stato denominato sino al 2016 "telefonate effettuate". Dal 2017 le telefonate effettuate sono parte integrante dell’indice "casi trattati".</v>
      </c>
      <c r="C157" s="26"/>
      <c r="D157" s="26"/>
      <c r="E157" s="292"/>
      <c r="F157" s="43"/>
      <c r="G157" s="26"/>
      <c r="H157" s="161"/>
      <c r="I157" s="161"/>
      <c r="J157" s="161"/>
      <c r="K157" s="161"/>
      <c r="L157" s="161"/>
      <c r="M157" s="161"/>
      <c r="N157" s="161"/>
      <c r="O157" s="161"/>
      <c r="P157" s="161"/>
      <c r="Q157" s="161"/>
      <c r="R157" s="159"/>
      <c r="S157" s="159"/>
      <c r="T157" s="160"/>
      <c r="U157" s="160"/>
      <c r="V157" s="160"/>
      <c r="W157" s="160"/>
      <c r="X157" s="160"/>
    </row>
    <row r="158" spans="1:25" ht="12.5" customHeight="1">
      <c r="A158" s="448"/>
      <c r="B158" s="26" t="str">
        <f>VLOOKUP(267,Textbausteine_102[],Hilfsgrössen!$D$2,FALSE)</f>
        <v>7) Nel 2019 RetePostale ha apportato una modifica alla presentazione del fatturato netto, senza effetto sul risultato, derivante da contratti con clienti per beni commerciali e dei corrispondenti costi per beni commerciali.</v>
      </c>
      <c r="C158" s="26"/>
      <c r="D158" s="26"/>
      <c r="E158" s="292"/>
      <c r="F158" s="43"/>
      <c r="G158" s="26"/>
      <c r="H158" s="161"/>
      <c r="I158" s="161"/>
      <c r="J158" s="161"/>
      <c r="K158" s="161"/>
      <c r="L158" s="161"/>
      <c r="M158" s="161"/>
      <c r="N158" s="161"/>
      <c r="O158" s="161"/>
      <c r="P158" s="161"/>
      <c r="Q158" s="161"/>
      <c r="R158" s="159"/>
      <c r="S158" s="159"/>
      <c r="T158" s="160"/>
      <c r="U158" s="160"/>
      <c r="V158" s="160"/>
      <c r="W158" s="160"/>
      <c r="X158" s="160"/>
    </row>
    <row r="159" spans="1:25" ht="12.5" customHeight="1">
      <c r="A159" s="448"/>
      <c r="B159" s="26" t="str">
        <f>VLOOKUP(268,Textbausteine_102[],Hilfsgrössen!$D$2,FALSE)</f>
        <v>8) Nel 2019 l’andamento dei patrimoni dei clienti viene presentato come nuovo indice in sostituzione dell’afflusso di nuovi fondi.</v>
      </c>
      <c r="C159" s="26"/>
      <c r="D159" s="26"/>
      <c r="E159" s="292"/>
      <c r="F159" s="43"/>
      <c r="G159" s="26"/>
      <c r="H159" s="161"/>
      <c r="I159" s="161"/>
      <c r="J159" s="161"/>
      <c r="K159" s="161"/>
      <c r="L159" s="161"/>
      <c r="M159" s="161"/>
      <c r="N159" s="161"/>
      <c r="O159" s="161"/>
      <c r="P159" s="161"/>
      <c r="Q159" s="161"/>
      <c r="R159" s="159"/>
      <c r="S159" s="159"/>
      <c r="T159" s="160"/>
      <c r="U159" s="160"/>
      <c r="V159" s="160"/>
      <c r="W159" s="160"/>
      <c r="X159" s="160"/>
    </row>
    <row r="160" spans="1:25" ht="12.5" customHeight="1">
      <c r="A160" s="448"/>
      <c r="B160" s="26" t="str">
        <f>VLOOKUP(269,Textbausteine_102[],Hilfsgrössen!$D$2,FALSE)</f>
        <v>9) Il valore dell’anno precedente (2018) è stato adeguato.</v>
      </c>
      <c r="C160" s="15"/>
      <c r="H160" s="159"/>
      <c r="I160" s="159"/>
      <c r="J160" s="159"/>
      <c r="K160" s="159"/>
      <c r="L160" s="159"/>
      <c r="M160" s="159"/>
      <c r="N160" s="20"/>
      <c r="O160" s="20"/>
      <c r="P160" s="106"/>
      <c r="Q160" s="160"/>
      <c r="R160" s="159"/>
      <c r="S160" s="159"/>
      <c r="T160" s="160"/>
      <c r="U160" s="160"/>
      <c r="V160" s="160"/>
      <c r="W160" s="160"/>
      <c r="X160" s="160"/>
    </row>
    <row r="161" spans="1:88" ht="12.5" customHeight="1">
      <c r="A161" s="448"/>
      <c r="B161" s="26" t="str">
        <f>VLOOKUP(270,Textbausteine_102[],Hilfsgrössen!$D$2,FALSE)</f>
        <v>10) Nel 2019 sono stati adottati per la prima volta una base e un sistema di calcolo modificati. Non è possibile pertanto effettuare un confronto con gli anni precedenti.</v>
      </c>
      <c r="C161" s="15"/>
      <c r="H161" s="159"/>
      <c r="I161" s="159"/>
      <c r="J161" s="159"/>
      <c r="K161" s="159"/>
      <c r="L161" s="159"/>
      <c r="M161" s="159"/>
      <c r="N161" s="20"/>
      <c r="O161" s="20"/>
      <c r="P161" s="106"/>
      <c r="Q161" s="160"/>
      <c r="R161" s="159"/>
      <c r="S161" s="159"/>
      <c r="T161" s="160"/>
      <c r="U161" s="160"/>
      <c r="V161" s="160"/>
      <c r="W161" s="160"/>
      <c r="X161" s="160"/>
    </row>
    <row r="162" spans="1:88" ht="12.5" customHeight="1">
      <c r="A162" s="448"/>
      <c r="B162" s="26" t="str">
        <f>VLOOKUP(271,Textbausteine_102[],Hilfsgrössen!$D$2,FALSE)</f>
        <v>11) Valori in Svizzera</v>
      </c>
      <c r="C162" s="15"/>
      <c r="H162" s="159"/>
      <c r="I162" s="159"/>
      <c r="J162" s="159"/>
      <c r="K162" s="159"/>
      <c r="L162" s="159"/>
      <c r="M162" s="159"/>
      <c r="N162" s="20"/>
      <c r="O162" s="20"/>
      <c r="P162" s="106"/>
      <c r="Q162" s="160"/>
      <c r="R162" s="159"/>
      <c r="S162" s="159"/>
      <c r="T162" s="160"/>
      <c r="U162" s="160"/>
      <c r="V162" s="160"/>
      <c r="W162" s="160"/>
      <c r="X162" s="160"/>
    </row>
    <row r="163" spans="1:88" ht="12.5" customHeight="1">
      <c r="A163" s="448"/>
      <c r="B163" s="26" t="str">
        <f>VLOOKUP(272,Textbausteine_102[],Hilfsgrössen!$D$2,FALSE)</f>
        <v>12) Gruppo Svizzera</v>
      </c>
      <c r="C163" s="15"/>
      <c r="H163" s="159"/>
      <c r="I163" s="159"/>
      <c r="J163" s="159"/>
      <c r="K163" s="159"/>
      <c r="L163" s="159"/>
      <c r="M163" s="159"/>
      <c r="N163" s="20"/>
      <c r="O163" s="20"/>
      <c r="P163" s="106"/>
      <c r="Q163" s="160"/>
      <c r="R163" s="159"/>
      <c r="S163" s="159"/>
      <c r="T163" s="160"/>
      <c r="U163" s="160"/>
      <c r="V163" s="160"/>
      <c r="W163" s="160"/>
      <c r="X163" s="160"/>
    </row>
    <row r="164" spans="1:88" ht="12.5" customHeight="1">
      <c r="A164" s="448"/>
      <c r="B164" s="26" t="str">
        <f>VLOOKUP(273,Textbausteine_102[],Hilfsgrössen!$D$2,FALSE)</f>
        <v>13) Nuove basi di calcolo per il 2007, valori non confrontabili con quelli degli anni precedenti</v>
      </c>
      <c r="C164" s="15"/>
      <c r="H164" s="159"/>
      <c r="I164" s="159"/>
      <c r="J164" s="159"/>
      <c r="K164" s="159"/>
      <c r="L164" s="159"/>
      <c r="M164" s="159"/>
      <c r="N164" s="20"/>
      <c r="O164" s="20"/>
      <c r="P164" s="106"/>
      <c r="Q164" s="160"/>
      <c r="R164" s="159"/>
      <c r="S164" s="159"/>
      <c r="T164" s="160"/>
      <c r="U164" s="160"/>
      <c r="V164" s="160"/>
      <c r="W164" s="160"/>
      <c r="X164" s="160"/>
    </row>
    <row r="165" spans="1:88" ht="12.5" customHeight="1">
      <c r="A165" s="448"/>
      <c r="B165" s="26" t="str">
        <f>VLOOKUP(274,Textbausteine_102[],Hilfsgrössen!$D$2,FALSE)</f>
        <v>14) Nel 2019 è stato introdotto un nuovo modello di servizio con una semplificazione del catalogo delle prestazioni. Di conseguenza, i valori sono raffrontabili soltanto in misura limitata con quelli degli anni precedenti.</v>
      </c>
      <c r="C165" s="15"/>
      <c r="H165" s="159"/>
      <c r="I165" s="159"/>
      <c r="J165" s="159"/>
      <c r="K165" s="159"/>
      <c r="L165" s="159"/>
      <c r="M165" s="159"/>
      <c r="N165" s="20"/>
      <c r="O165" s="20"/>
      <c r="P165" s="106"/>
      <c r="Q165" s="160"/>
      <c r="R165" s="159"/>
      <c r="S165" s="159"/>
      <c r="T165" s="160"/>
      <c r="U165" s="160"/>
      <c r="V165" s="160"/>
      <c r="W165" s="160"/>
      <c r="X165" s="160"/>
    </row>
    <row r="166" spans="1:88" ht="12.5" customHeight="1">
      <c r="A166" s="448"/>
      <c r="B166" s="26" t="str">
        <f>VLOOKUP(275,Textbausteine_102[],Hilfsgrössen!$D$2,FALSE)</f>
        <v>15) Nel 2019 gli interventi di assistenza sono stati ridefiniti come interventi in loco dei tecnici del Servizio sul campo. Di conseguenza, il confronto con gli anni precedenti è possibile soltanto in misura limitata.</v>
      </c>
      <c r="C166" s="15"/>
      <c r="H166" s="159"/>
      <c r="I166" s="159"/>
      <c r="J166" s="159"/>
      <c r="K166" s="159"/>
      <c r="L166" s="159"/>
      <c r="M166" s="159"/>
      <c r="N166" s="20"/>
      <c r="O166" s="20"/>
      <c r="P166" s="106"/>
      <c r="Q166" s="160"/>
      <c r="R166" s="159"/>
      <c r="S166" s="159"/>
      <c r="T166" s="160"/>
      <c r="U166" s="160"/>
      <c r="V166" s="160"/>
      <c r="W166" s="160"/>
      <c r="X166" s="160"/>
    </row>
    <row r="167" spans="1:88" ht="12.5" customHeight="1">
      <c r="A167" s="448"/>
      <c r="B167" s="26" t="str">
        <f>VLOOKUP(276,Textbausteine_102[],Hilfsgrössen!$D$2,FALSE)</f>
        <v>16) Il valore del precedente anno 2019 è stato rettificato. A partire dal 2020, per le assicurazioni sulla vita la riserva matematica zillmerata è sostituita dal valore di riscatto delle assicurazioni stesse.</v>
      </c>
      <c r="C167" s="15"/>
      <c r="H167" s="159"/>
      <c r="I167" s="159"/>
      <c r="J167" s="159"/>
      <c r="K167" s="159"/>
      <c r="L167" s="159"/>
      <c r="M167" s="159"/>
      <c r="N167" s="20"/>
      <c r="O167" s="20"/>
      <c r="P167" s="106"/>
      <c r="Q167" s="160"/>
      <c r="R167" s="159"/>
      <c r="S167" s="159"/>
      <c r="T167" s="160"/>
      <c r="U167" s="160"/>
      <c r="V167" s="160"/>
      <c r="W167" s="160"/>
      <c r="X167" s="160"/>
    </row>
    <row r="168" spans="1:88" ht="12.5" customHeight="1">
      <c r="A168" s="448"/>
      <c r="B168" s="26" t="str">
        <f>VLOOKUP(277,Textbausteine_102[],Hilfsgrössen!$D$2,FALSE)</f>
        <v>17) A partire dal 2020 nei volumi dei fondi sono inclusi i fondi di terzi.</v>
      </c>
      <c r="C168" s="15"/>
      <c r="H168" s="159"/>
      <c r="I168" s="159"/>
      <c r="J168" s="159"/>
      <c r="K168" s="159"/>
      <c r="L168" s="159"/>
      <c r="M168" s="159"/>
      <c r="N168" s="20"/>
      <c r="O168" s="20"/>
      <c r="P168" s="106"/>
      <c r="Q168" s="160"/>
      <c r="R168" s="159"/>
      <c r="S168" s="159"/>
      <c r="T168" s="160"/>
      <c r="U168" s="160"/>
      <c r="V168" s="160"/>
      <c r="W168" s="160"/>
      <c r="X168" s="160"/>
    </row>
    <row r="169" spans="1:88" ht="12.5" customHeight="1">
      <c r="A169" s="448"/>
      <c r="B169" s="26" t="str">
        <f>VLOOKUP(278,Textbausteine_102[],Hilfsgrössen!$D$2,FALSE)</f>
        <v>18) Il valore del precedente anno 2019 è stato rettificato. Il metodo di calcolo è passato dal numero di invii al numero di pacchi. I valori del 2019 e del 2020 non sono più confrontabili con quelli degli anni precedenti.</v>
      </c>
      <c r="C169" s="15"/>
      <c r="H169" s="159"/>
      <c r="I169" s="159"/>
      <c r="J169" s="159"/>
      <c r="K169" s="159"/>
      <c r="L169" s="159"/>
      <c r="M169" s="159"/>
      <c r="N169" s="20"/>
      <c r="O169" s="20"/>
      <c r="P169" s="106"/>
      <c r="Q169" s="160"/>
      <c r="R169" s="159"/>
      <c r="S169" s="159"/>
      <c r="T169" s="160"/>
      <c r="U169" s="160"/>
      <c r="V169" s="160"/>
      <c r="W169" s="160"/>
      <c r="X169" s="160"/>
    </row>
    <row r="170" spans="1:88" ht="12.5" customHeight="1">
      <c r="A170" s="448"/>
      <c r="B170" s="26" t="str">
        <f>VLOOKUP(279,Textbausteine_102[],Hilfsgrössen!$D$2,FALSE)</f>
        <v>19) Valore 2019 adattato.</v>
      </c>
      <c r="C170" s="15"/>
      <c r="H170" s="159"/>
      <c r="I170" s="159"/>
      <c r="J170" s="159"/>
      <c r="K170" s="159"/>
      <c r="L170" s="159"/>
      <c r="M170" s="159"/>
      <c r="N170" s="20"/>
      <c r="O170" s="20"/>
      <c r="P170" s="106"/>
      <c r="Q170" s="160"/>
      <c r="R170" s="159"/>
      <c r="S170" s="159"/>
      <c r="T170" s="160"/>
      <c r="U170" s="160"/>
      <c r="V170" s="160"/>
      <c r="W170" s="160"/>
      <c r="X170" s="160"/>
    </row>
    <row r="171" spans="1:88" ht="12.5" customHeight="1">
      <c r="A171" s="448"/>
      <c r="B171" s="26" t="str">
        <f>VLOOKUP(280,Textbausteine_102[],Hilfsgrössen!$D$2,FALSE)</f>
        <v>20) La definizione del volume dei pacchi è stata rettificata nel 2020.
Tale valore comprende ora il quantitativo di pacchi per Svizzera/estero,
invii espresso e servizi logistici inclusi. I valori dal 2016 al 2019 sono stati modificati.</v>
      </c>
      <c r="C171" s="15"/>
      <c r="H171" s="159"/>
      <c r="I171" s="159"/>
      <c r="J171" s="159"/>
      <c r="K171" s="159"/>
      <c r="L171" s="159"/>
      <c r="M171" s="159"/>
      <c r="N171" s="20"/>
      <c r="O171" s="20"/>
      <c r="P171" s="106"/>
      <c r="Q171" s="160"/>
      <c r="R171" s="159"/>
      <c r="S171" s="159"/>
      <c r="T171" s="160"/>
      <c r="U171" s="160"/>
      <c r="V171" s="160"/>
      <c r="W171" s="160"/>
      <c r="X171" s="160"/>
    </row>
    <row r="172" spans="1:88" ht="12.5" customHeight="1">
      <c r="C172" s="15"/>
      <c r="H172" s="159"/>
      <c r="I172" s="159"/>
      <c r="J172" s="159"/>
      <c r="K172" s="159"/>
      <c r="L172" s="159"/>
      <c r="M172" s="159"/>
      <c r="N172" s="20"/>
      <c r="O172" s="20"/>
      <c r="P172" s="106"/>
      <c r="Q172" s="160"/>
      <c r="R172" s="159"/>
      <c r="S172" s="159"/>
      <c r="T172" s="160"/>
      <c r="U172" s="160"/>
      <c r="V172" s="160"/>
      <c r="W172" s="160"/>
      <c r="X172" s="160"/>
    </row>
    <row r="173" spans="1:88" s="151" customFormat="1" ht="12.5" customHeight="1">
      <c r="A173" s="61" t="s">
        <v>27</v>
      </c>
      <c r="B173" s="495" t="str">
        <f>$C$11</f>
        <v>Volume traffico dei pagamenti</v>
      </c>
      <c r="C173" s="495"/>
      <c r="D173" s="479" t="str">
        <f>VLOOKUP(32,Textbausteine_Menu[],Hilfsgrössen!$D$2,FALSE)</f>
        <v>Unità</v>
      </c>
      <c r="E173" s="286" t="str">
        <f>VLOOKUP(33,Textbausteine_Menu[],Hilfsgrössen!$D$2,FALSE)</f>
        <v>Note</v>
      </c>
      <c r="F173" s="40" t="str">
        <f>VLOOKUP(34,Textbausteine_Menu[],Hilfsgrössen!$D$2,FALSE)</f>
        <v>GRI</v>
      </c>
      <c r="G173" s="48"/>
      <c r="H173" s="157">
        <v>2004</v>
      </c>
      <c r="I173" s="157">
        <v>2005</v>
      </c>
      <c r="J173" s="157">
        <v>2006</v>
      </c>
      <c r="K173" s="157">
        <v>2007</v>
      </c>
      <c r="L173" s="157">
        <v>2008</v>
      </c>
      <c r="M173" s="157">
        <v>2009</v>
      </c>
      <c r="N173" s="157">
        <v>2010</v>
      </c>
      <c r="O173" s="157">
        <v>2011</v>
      </c>
      <c r="P173" s="157">
        <v>2012</v>
      </c>
      <c r="Q173" s="157">
        <v>2013</v>
      </c>
      <c r="R173" s="157">
        <v>2014</v>
      </c>
      <c r="S173" s="157">
        <v>2015</v>
      </c>
      <c r="T173" s="119">
        <v>2016</v>
      </c>
      <c r="U173" s="119">
        <v>2017</v>
      </c>
      <c r="V173" s="119">
        <v>2018</v>
      </c>
      <c r="W173" s="119">
        <v>2019</v>
      </c>
      <c r="X173" s="247">
        <v>2020</v>
      </c>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row>
    <row r="174" spans="1:88" s="60" customFormat="1" ht="12.5" customHeight="1">
      <c r="A174" s="81"/>
      <c r="B174" s="495"/>
      <c r="C174" s="495"/>
      <c r="D174" s="59"/>
      <c r="E174" s="282"/>
      <c r="F174" s="39"/>
      <c r="G174" s="49"/>
      <c r="H174" s="158"/>
      <c r="I174" s="158"/>
      <c r="J174" s="158"/>
      <c r="K174" s="158"/>
      <c r="L174" s="158"/>
      <c r="M174" s="158"/>
      <c r="N174" s="158"/>
      <c r="O174" s="158"/>
      <c r="P174" s="158"/>
      <c r="Q174" s="158"/>
      <c r="R174" s="158"/>
      <c r="S174" s="158"/>
      <c r="T174" s="118"/>
      <c r="U174" s="118"/>
      <c r="V174" s="118"/>
      <c r="W174" s="118"/>
      <c r="X174" s="248"/>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c r="CG174" s="113"/>
      <c r="CH174" s="113"/>
      <c r="CI174" s="113"/>
      <c r="CJ174" s="113"/>
    </row>
    <row r="175" spans="1:88" ht="12.5" customHeight="1">
      <c r="B175" s="8"/>
      <c r="D175" s="9"/>
      <c r="E175" s="287"/>
      <c r="F175" s="11"/>
      <c r="G175" s="46"/>
      <c r="T175" s="118"/>
      <c r="U175" s="118"/>
      <c r="V175" s="118"/>
      <c r="W175" s="118"/>
      <c r="X175" s="248"/>
    </row>
    <row r="176" spans="1:88" ht="12.5" customHeight="1">
      <c r="B176" s="8" t="str">
        <f>VLOOKUP(131,Textbausteine_102[],Hilfsgrössen!$D$2,FALSE)</f>
        <v>Volume di versamenti e bonifici</v>
      </c>
      <c r="D176" s="66"/>
      <c r="E176" s="287"/>
      <c r="F176" s="11"/>
      <c r="T176" s="118"/>
      <c r="U176" s="118"/>
      <c r="V176" s="118"/>
      <c r="W176" s="118"/>
      <c r="X176" s="248"/>
    </row>
    <row r="177" spans="2:24" ht="12.5" customHeight="1">
      <c r="B177" s="8"/>
      <c r="C177" s="67" t="str">
        <f>VLOOKUP(132,Textbausteine_102[],Hilfsgrössen!$D$2,FALSE)</f>
        <v>Bonifici e-finance (canale elettronico)</v>
      </c>
      <c r="D177" s="18" t="str">
        <f>VLOOKUP(28,Textbausteine_102[],Hilfsgrössen!$D$2,FALSE)</f>
        <v>Numero</v>
      </c>
      <c r="E177" s="287"/>
      <c r="F177" s="11" t="s">
        <v>37</v>
      </c>
      <c r="H177" s="174" t="s">
        <v>30</v>
      </c>
      <c r="I177" s="20">
        <v>322801822</v>
      </c>
      <c r="J177" s="174" t="s">
        <v>30</v>
      </c>
      <c r="K177" s="174" t="s">
        <v>30</v>
      </c>
      <c r="L177" s="174" t="s">
        <v>30</v>
      </c>
      <c r="M177" s="20">
        <v>360908857.30000001</v>
      </c>
      <c r="N177" s="20">
        <v>381329801</v>
      </c>
      <c r="O177" s="99">
        <v>393269485</v>
      </c>
      <c r="P177" s="99">
        <v>406937366</v>
      </c>
      <c r="Q177" s="99" t="s">
        <v>68</v>
      </c>
      <c r="R177" s="99">
        <v>424759782</v>
      </c>
      <c r="S177" s="99">
        <v>358745223</v>
      </c>
      <c r="T177" s="99">
        <v>370842877</v>
      </c>
      <c r="U177" s="99">
        <v>321690025</v>
      </c>
      <c r="V177" s="99">
        <v>271129120</v>
      </c>
      <c r="W177" s="99">
        <v>282961540</v>
      </c>
      <c r="X177" s="249">
        <v>297262406</v>
      </c>
    </row>
    <row r="178" spans="2:24" ht="12.5" customHeight="1">
      <c r="B178" s="8"/>
      <c r="C178" s="72" t="str">
        <f>VLOOKUP(133,Textbausteine_102[],Hilfsgrössen!$D$2,FALSE)</f>
        <v>Bonifici EFT/POS (negozi, uffici postali e agenzie)</v>
      </c>
      <c r="D178" s="18" t="str">
        <f>VLOOKUP(28,Textbausteine_102[],Hilfsgrössen!$D$2,FALSE)</f>
        <v>Numero</v>
      </c>
      <c r="E178" s="287"/>
      <c r="F178" s="11" t="s">
        <v>37</v>
      </c>
      <c r="H178" s="174" t="s">
        <v>30</v>
      </c>
      <c r="I178" s="20">
        <v>91940458</v>
      </c>
      <c r="J178" s="174" t="s">
        <v>30</v>
      </c>
      <c r="K178" s="174" t="s">
        <v>30</v>
      </c>
      <c r="L178" s="174" t="s">
        <v>30</v>
      </c>
      <c r="M178" s="20">
        <v>124161458</v>
      </c>
      <c r="N178" s="20">
        <v>135000375</v>
      </c>
      <c r="O178" s="99">
        <v>145251716</v>
      </c>
      <c r="P178" s="99">
        <v>158543228</v>
      </c>
      <c r="Q178" s="99" t="s">
        <v>69</v>
      </c>
      <c r="R178" s="99">
        <v>185943523</v>
      </c>
      <c r="S178" s="99">
        <v>200237206</v>
      </c>
      <c r="T178" s="99">
        <v>217813986</v>
      </c>
      <c r="U178" s="99">
        <v>238009954</v>
      </c>
      <c r="V178" s="99">
        <v>263402898</v>
      </c>
      <c r="W178" s="99">
        <v>278963515</v>
      </c>
      <c r="X178" s="249">
        <v>296907752</v>
      </c>
    </row>
    <row r="179" spans="2:24" ht="12.5" customHeight="1">
      <c r="B179" s="8"/>
      <c r="C179" s="10" t="str">
        <f>VLOOKUP(134,Textbausteine_102[],Hilfsgrössen!$D$2,FALSE)</f>
        <v>Bonifici su carta</v>
      </c>
      <c r="D179" s="18" t="str">
        <f>VLOOKUP(28,Textbausteine_102[],Hilfsgrössen!$D$2,FALSE)</f>
        <v>Numero</v>
      </c>
      <c r="E179" s="288"/>
      <c r="F179" s="11" t="s">
        <v>37</v>
      </c>
      <c r="H179" s="174" t="s">
        <v>30</v>
      </c>
      <c r="I179" s="159">
        <v>45460085</v>
      </c>
      <c r="J179" s="174" t="s">
        <v>30</v>
      </c>
      <c r="K179" s="174" t="s">
        <v>30</v>
      </c>
      <c r="L179" s="174" t="s">
        <v>30</v>
      </c>
      <c r="M179" s="159">
        <v>32771750</v>
      </c>
      <c r="N179" s="20">
        <v>30737657</v>
      </c>
      <c r="O179" s="20">
        <v>27994032</v>
      </c>
      <c r="P179" s="106">
        <v>25958010</v>
      </c>
      <c r="Q179" s="160" t="s">
        <v>70</v>
      </c>
      <c r="R179" s="159">
        <v>24108511</v>
      </c>
      <c r="S179" s="159">
        <v>22846118</v>
      </c>
      <c r="T179" s="159">
        <v>21477787</v>
      </c>
      <c r="U179" s="159">
        <v>20008478</v>
      </c>
      <c r="V179" s="159">
        <v>18304732</v>
      </c>
      <c r="W179" s="159">
        <v>15683753</v>
      </c>
      <c r="X179" s="249">
        <v>14032989</v>
      </c>
    </row>
    <row r="180" spans="2:24" ht="12.5" customHeight="1">
      <c r="B180" s="8"/>
      <c r="C180" s="10" t="str">
        <f>VLOOKUP(135,Textbausteine_102[],Hilfsgrössen!$D$2,FALSE)</f>
        <v>Bonifici (altro)</v>
      </c>
      <c r="D180" s="18" t="str">
        <f>VLOOKUP(28,Textbausteine_102[],Hilfsgrössen!$D$2,FALSE)</f>
        <v>Numero</v>
      </c>
      <c r="F180" s="11" t="s">
        <v>37</v>
      </c>
      <c r="H180" s="174" t="s">
        <v>30</v>
      </c>
      <c r="I180" s="159">
        <v>15555192</v>
      </c>
      <c r="J180" s="174" t="s">
        <v>30</v>
      </c>
      <c r="K180" s="174" t="s">
        <v>30</v>
      </c>
      <c r="L180" s="174" t="s">
        <v>30</v>
      </c>
      <c r="M180" s="159">
        <v>16449183</v>
      </c>
      <c r="N180" s="20">
        <v>17803281</v>
      </c>
      <c r="O180" s="20">
        <v>19133796</v>
      </c>
      <c r="P180" s="106">
        <v>21145350</v>
      </c>
      <c r="Q180" s="160" t="s">
        <v>71</v>
      </c>
      <c r="R180" s="159">
        <v>24165179</v>
      </c>
      <c r="S180" s="159">
        <v>27019428</v>
      </c>
      <c r="T180" s="159">
        <v>29525721</v>
      </c>
      <c r="U180" s="159">
        <v>33758236</v>
      </c>
      <c r="V180" s="159">
        <v>32400120</v>
      </c>
      <c r="W180" s="159">
        <v>38025901</v>
      </c>
      <c r="X180" s="249">
        <v>52880158</v>
      </c>
    </row>
    <row r="181" spans="2:24" ht="12.5" customHeight="1">
      <c r="B181" s="8"/>
      <c r="C181" s="10" t="str">
        <f>VLOOKUP(136,Textbausteine_102[],Hilfsgrössen!$D$2,FALSE)</f>
        <v>Versamenti</v>
      </c>
      <c r="D181" s="18" t="str">
        <f>VLOOKUP(28,Textbausteine_102[],Hilfsgrössen!$D$2,FALSE)</f>
        <v>Numero</v>
      </c>
      <c r="F181" s="11" t="s">
        <v>37</v>
      </c>
      <c r="H181" s="174" t="s">
        <v>30</v>
      </c>
      <c r="I181" s="159">
        <v>230017755</v>
      </c>
      <c r="J181" s="174" t="s">
        <v>30</v>
      </c>
      <c r="K181" s="174" t="s">
        <v>30</v>
      </c>
      <c r="L181" s="174" t="s">
        <v>30</v>
      </c>
      <c r="M181" s="159">
        <v>207644168</v>
      </c>
      <c r="N181" s="20">
        <v>201589442</v>
      </c>
      <c r="O181" s="20">
        <v>189489680</v>
      </c>
      <c r="P181" s="106">
        <v>183094892</v>
      </c>
      <c r="Q181" s="160" t="s">
        <v>72</v>
      </c>
      <c r="R181" s="159">
        <v>171277961</v>
      </c>
      <c r="S181" s="159">
        <v>164396969</v>
      </c>
      <c r="T181" s="159">
        <v>154977357</v>
      </c>
      <c r="U181" s="159">
        <v>145691791</v>
      </c>
      <c r="V181" s="159">
        <v>138798122</v>
      </c>
      <c r="W181" s="159">
        <v>129354706</v>
      </c>
      <c r="X181" s="249">
        <v>110622835</v>
      </c>
    </row>
    <row r="182" spans="2:24" ht="12.5" customHeight="1">
      <c r="B182" s="8"/>
      <c r="C182" s="9" t="str">
        <f>VLOOKUP(137,Textbausteine_102[],Hilfsgrössen!$D$2,FALSE)</f>
        <v>Totale</v>
      </c>
      <c r="D182" s="18" t="str">
        <f>VLOOKUP(28,Textbausteine_102[],Hilfsgrössen!$D$2,FALSE)</f>
        <v>Numero</v>
      </c>
      <c r="E182" s="287"/>
      <c r="F182" s="11" t="s">
        <v>37</v>
      </c>
      <c r="H182" s="174" t="s">
        <v>30</v>
      </c>
      <c r="I182" s="99">
        <v>705775312</v>
      </c>
      <c r="J182" s="174" t="s">
        <v>30</v>
      </c>
      <c r="K182" s="174" t="s">
        <v>30</v>
      </c>
      <c r="L182" s="174" t="s">
        <v>30</v>
      </c>
      <c r="M182" s="99">
        <v>741935416.29999995</v>
      </c>
      <c r="N182" s="99">
        <v>766460556</v>
      </c>
      <c r="O182" s="99">
        <v>775138709</v>
      </c>
      <c r="P182" s="99">
        <v>795678846</v>
      </c>
      <c r="Q182" s="99" t="s">
        <v>73</v>
      </c>
      <c r="R182" s="99">
        <v>830254956</v>
      </c>
      <c r="S182" s="99">
        <v>773244944</v>
      </c>
      <c r="T182" s="99">
        <v>794637728</v>
      </c>
      <c r="U182" s="99">
        <v>759158484</v>
      </c>
      <c r="V182" s="99">
        <v>724034992</v>
      </c>
      <c r="W182" s="99">
        <v>744989415</v>
      </c>
      <c r="X182" s="249">
        <v>771706140</v>
      </c>
    </row>
    <row r="183" spans="2:24" ht="12.5" customHeight="1">
      <c r="B183" s="8"/>
      <c r="C183" s="67"/>
      <c r="D183" s="18"/>
      <c r="E183" s="287"/>
      <c r="F183" s="11"/>
      <c r="H183" s="172"/>
      <c r="I183" s="20"/>
      <c r="J183" s="20"/>
      <c r="K183" s="20"/>
      <c r="L183" s="172"/>
      <c r="M183" s="20"/>
      <c r="N183" s="20"/>
      <c r="T183" s="118"/>
      <c r="U183" s="118"/>
      <c r="V183" s="118"/>
      <c r="W183" s="118"/>
      <c r="X183" s="248"/>
    </row>
    <row r="184" spans="2:24" ht="12.5" customHeight="1">
      <c r="B184" s="8" t="str">
        <f>VLOOKUP(138,Textbausteine_102[],Hilfsgrössen!$D$2,FALSE)</f>
        <v>Volume di pagamenti</v>
      </c>
      <c r="C184" s="72"/>
      <c r="D184" s="18"/>
      <c r="E184" s="287"/>
      <c r="F184" s="11"/>
      <c r="H184" s="20"/>
      <c r="I184" s="20"/>
      <c r="J184" s="20"/>
      <c r="K184" s="20"/>
      <c r="L184" s="20"/>
      <c r="M184" s="20"/>
      <c r="N184" s="20"/>
      <c r="T184" s="118"/>
      <c r="U184" s="118"/>
      <c r="V184" s="118"/>
      <c r="W184" s="118"/>
      <c r="X184" s="248"/>
    </row>
    <row r="185" spans="2:24" ht="12.5" customHeight="1">
      <c r="B185" s="8"/>
      <c r="C185" s="10" t="str">
        <f>VLOOKUP(139,Textbausteine_102[],Hilfsgrössen!$D$2,FALSE)</f>
        <v>Prelievi al Postomat (Bancomat escluso)</v>
      </c>
      <c r="D185" s="18" t="str">
        <f>VLOOKUP(28,Textbausteine_102[],Hilfsgrössen!$D$2,FALSE)</f>
        <v>Numero</v>
      </c>
      <c r="E185" s="288"/>
      <c r="F185" s="11" t="s">
        <v>37</v>
      </c>
      <c r="H185" s="174" t="s">
        <v>30</v>
      </c>
      <c r="I185" s="159">
        <v>49854497</v>
      </c>
      <c r="J185" s="174" t="s">
        <v>30</v>
      </c>
      <c r="K185" s="174" t="s">
        <v>30</v>
      </c>
      <c r="L185" s="174" t="s">
        <v>30</v>
      </c>
      <c r="M185" s="159">
        <v>54496751</v>
      </c>
      <c r="N185" s="20">
        <v>56279926</v>
      </c>
      <c r="O185" s="20">
        <v>58650440</v>
      </c>
      <c r="P185" s="106">
        <v>60453795</v>
      </c>
      <c r="Q185" s="160" t="s">
        <v>74</v>
      </c>
      <c r="R185" s="159">
        <v>62148786</v>
      </c>
      <c r="S185" s="159">
        <v>60920074</v>
      </c>
      <c r="T185" s="20">
        <v>60039247</v>
      </c>
      <c r="U185" s="20">
        <v>56915120</v>
      </c>
      <c r="V185" s="20">
        <v>54880987</v>
      </c>
      <c r="W185" s="20">
        <v>49756688</v>
      </c>
      <c r="X185" s="249">
        <v>33609369</v>
      </c>
    </row>
    <row r="186" spans="2:24" ht="12.5" customHeight="1">
      <c r="C186" s="10" t="str">
        <f>VLOOKUP(140,Textbausteine_102[],Hilfsgrössen!$D$2,FALSE)</f>
        <v>Pagamenti presso uffici postali / agenzie</v>
      </c>
      <c r="D186" s="18" t="str">
        <f>VLOOKUP(28,Textbausteine_102[],Hilfsgrössen!$D$2,FALSE)</f>
        <v>Numero</v>
      </c>
      <c r="F186" s="11" t="s">
        <v>37</v>
      </c>
      <c r="H186" s="174" t="s">
        <v>30</v>
      </c>
      <c r="I186" s="159">
        <v>17181487</v>
      </c>
      <c r="J186" s="174" t="s">
        <v>30</v>
      </c>
      <c r="K186" s="174" t="s">
        <v>30</v>
      </c>
      <c r="L186" s="174" t="s">
        <v>30</v>
      </c>
      <c r="M186" s="159">
        <v>19582002</v>
      </c>
      <c r="N186" s="20">
        <v>19807049</v>
      </c>
      <c r="O186" s="20">
        <v>20189405</v>
      </c>
      <c r="P186" s="106">
        <v>20474785</v>
      </c>
      <c r="Q186" s="160" t="s">
        <v>75</v>
      </c>
      <c r="R186" s="159">
        <v>20778850</v>
      </c>
      <c r="S186" s="159">
        <v>20789393</v>
      </c>
      <c r="T186" s="20">
        <v>20323381</v>
      </c>
      <c r="U186" s="20">
        <v>19206313</v>
      </c>
      <c r="V186" s="20">
        <v>14035227</v>
      </c>
      <c r="W186" s="20">
        <v>11882248</v>
      </c>
      <c r="X186" s="249">
        <v>10026680</v>
      </c>
    </row>
    <row r="187" spans="2:24" ht="12.5" customHeight="1">
      <c r="C187" s="10" t="str">
        <f>VLOOKUP(141,Textbausteine_102[],Hilfsgrössen!$D$2,FALSE)</f>
        <v>PPR, PPR+, PP</v>
      </c>
      <c r="D187" s="18" t="str">
        <f>VLOOKUP(28,Textbausteine_102[],Hilfsgrössen!$D$2,FALSE)</f>
        <v>Numero</v>
      </c>
      <c r="F187" s="11" t="s">
        <v>37</v>
      </c>
      <c r="H187" s="174" t="s">
        <v>30</v>
      </c>
      <c r="I187" s="159">
        <v>2758535</v>
      </c>
      <c r="J187" s="174" t="s">
        <v>30</v>
      </c>
      <c r="K187" s="174" t="s">
        <v>30</v>
      </c>
      <c r="L187" s="174" t="s">
        <v>30</v>
      </c>
      <c r="M187" s="159">
        <v>1507563</v>
      </c>
      <c r="N187" s="20">
        <v>1446210</v>
      </c>
      <c r="O187" s="20">
        <v>1345082</v>
      </c>
      <c r="P187" s="106">
        <v>1229361</v>
      </c>
      <c r="Q187" s="160" t="s">
        <v>76</v>
      </c>
      <c r="R187" s="159">
        <v>810380</v>
      </c>
      <c r="S187" s="159">
        <v>788918</v>
      </c>
      <c r="T187" s="20">
        <v>748768</v>
      </c>
      <c r="U187" s="20">
        <v>746482</v>
      </c>
      <c r="V187" s="20">
        <v>578458</v>
      </c>
      <c r="W187" s="20">
        <v>533353</v>
      </c>
      <c r="X187" s="249">
        <v>421405</v>
      </c>
    </row>
    <row r="188" spans="2:24" ht="12.5" customHeight="1">
      <c r="C188" s="10" t="str">
        <f>VLOOKUP(142,Textbausteine_102[],Hilfsgrössen!$D$2,FALSE)</f>
        <v>Vaglia di pagamento</v>
      </c>
      <c r="D188" s="18" t="str">
        <f>VLOOKUP(28,Textbausteine_102[],Hilfsgrössen!$D$2,FALSE)</f>
        <v>Numero</v>
      </c>
      <c r="F188" s="11" t="s">
        <v>37</v>
      </c>
      <c r="H188" s="174" t="s">
        <v>30</v>
      </c>
      <c r="I188" s="159">
        <v>1941018</v>
      </c>
      <c r="J188" s="174" t="s">
        <v>30</v>
      </c>
      <c r="K188" s="174" t="s">
        <v>30</v>
      </c>
      <c r="L188" s="174" t="s">
        <v>30</v>
      </c>
      <c r="M188" s="159">
        <v>1182791</v>
      </c>
      <c r="N188" s="20">
        <v>1057857</v>
      </c>
      <c r="O188" s="20">
        <v>923573</v>
      </c>
      <c r="P188" s="106">
        <v>822417</v>
      </c>
      <c r="Q188" s="160" t="s">
        <v>77</v>
      </c>
      <c r="R188" s="159">
        <v>635391</v>
      </c>
      <c r="S188" s="159">
        <v>474757</v>
      </c>
      <c r="T188" s="20">
        <v>238435</v>
      </c>
      <c r="U188" s="20">
        <v>11004</v>
      </c>
      <c r="V188" s="20">
        <v>0</v>
      </c>
      <c r="W188" s="20">
        <v>0</v>
      </c>
      <c r="X188" s="249">
        <v>0</v>
      </c>
    </row>
    <row r="189" spans="2:24" ht="12.5" customHeight="1">
      <c r="C189" s="10" t="str">
        <f>VLOOKUP(143,Textbausteine_102[],Hilfsgrössen!$D$2,FALSE)</f>
        <v>Assegni</v>
      </c>
      <c r="D189" s="18" t="str">
        <f>VLOOKUP(28,Textbausteine_102[],Hilfsgrössen!$D$2,FALSE)</f>
        <v>Numero</v>
      </c>
      <c r="F189" s="11" t="s">
        <v>37</v>
      </c>
      <c r="H189" s="174" t="s">
        <v>30</v>
      </c>
      <c r="I189" s="159">
        <v>869211</v>
      </c>
      <c r="J189" s="174" t="s">
        <v>30</v>
      </c>
      <c r="K189" s="174" t="s">
        <v>30</v>
      </c>
      <c r="L189" s="174" t="s">
        <v>30</v>
      </c>
      <c r="M189" s="159">
        <v>416872</v>
      </c>
      <c r="N189" s="20">
        <v>322228</v>
      </c>
      <c r="O189" s="20">
        <v>269651</v>
      </c>
      <c r="P189" s="106">
        <v>232385</v>
      </c>
      <c r="Q189" s="160" t="s">
        <v>78</v>
      </c>
      <c r="R189" s="159">
        <v>142095</v>
      </c>
      <c r="S189" s="159">
        <v>116628</v>
      </c>
      <c r="T189" s="20">
        <v>78845</v>
      </c>
      <c r="U189" s="20">
        <v>63230</v>
      </c>
      <c r="V189" s="20">
        <v>50785</v>
      </c>
      <c r="W189" s="20" t="s">
        <v>30</v>
      </c>
      <c r="X189" s="452" t="s">
        <v>30</v>
      </c>
    </row>
    <row r="190" spans="2:24" ht="12.5" customHeight="1">
      <c r="C190" s="10" t="str">
        <f>VLOOKUP(144,Textbausteine_102[],Hilfsgrössen!$D$2,FALSE)</f>
        <v>Vaglia postale</v>
      </c>
      <c r="D190" s="18" t="str">
        <f>VLOOKUP(28,Textbausteine_102[],Hilfsgrössen!$D$2,FALSE)</f>
        <v>Numero</v>
      </c>
      <c r="F190" s="11" t="s">
        <v>37</v>
      </c>
      <c r="H190" s="174" t="s">
        <v>30</v>
      </c>
      <c r="I190" s="159">
        <v>102860</v>
      </c>
      <c r="J190" s="174" t="s">
        <v>30</v>
      </c>
      <c r="K190" s="174" t="s">
        <v>30</v>
      </c>
      <c r="L190" s="174" t="s">
        <v>30</v>
      </c>
      <c r="M190" s="159">
        <v>33531</v>
      </c>
      <c r="N190" s="20">
        <v>21686</v>
      </c>
      <c r="O190" s="20">
        <v>17929</v>
      </c>
      <c r="P190" s="106">
        <v>16430</v>
      </c>
      <c r="Q190" s="160" t="s">
        <v>79</v>
      </c>
      <c r="R190" s="164" t="s">
        <v>30</v>
      </c>
      <c r="S190" s="164" t="s">
        <v>30</v>
      </c>
      <c r="T190" s="137" t="s">
        <v>30</v>
      </c>
      <c r="U190" s="137" t="s">
        <v>30</v>
      </c>
      <c r="V190" s="137" t="s">
        <v>30</v>
      </c>
      <c r="W190" s="137" t="s">
        <v>30</v>
      </c>
      <c r="X190" s="452" t="s">
        <v>30</v>
      </c>
    </row>
    <row r="191" spans="2:24" ht="12.5" customHeight="1">
      <c r="C191" s="10" t="str">
        <f>VLOOKUP(145,Textbausteine_102[],Hilfsgrössen!$D$2,FALSE)</f>
        <v>Totale</v>
      </c>
      <c r="D191" s="18" t="str">
        <f>VLOOKUP(28,Textbausteine_102[],Hilfsgrössen!$D$2,FALSE)</f>
        <v>Numero</v>
      </c>
      <c r="F191" s="11" t="s">
        <v>37</v>
      </c>
      <c r="H191" s="174" t="s">
        <v>30</v>
      </c>
      <c r="I191" s="159">
        <v>72709613</v>
      </c>
      <c r="J191" s="174" t="s">
        <v>30</v>
      </c>
      <c r="K191" s="174" t="s">
        <v>30</v>
      </c>
      <c r="L191" s="174" t="s">
        <v>30</v>
      </c>
      <c r="M191" s="159">
        <v>77221519</v>
      </c>
      <c r="N191" s="20">
        <v>78934956</v>
      </c>
      <c r="O191" s="20">
        <v>81396080</v>
      </c>
      <c r="P191" s="106">
        <v>83229173</v>
      </c>
      <c r="Q191" s="160" t="s">
        <v>80</v>
      </c>
      <c r="R191" s="159">
        <v>84515502</v>
      </c>
      <c r="S191" s="159">
        <v>83089770</v>
      </c>
      <c r="T191" s="20">
        <v>81428676</v>
      </c>
      <c r="U191" s="20">
        <v>76942149</v>
      </c>
      <c r="V191" s="20">
        <v>69545457</v>
      </c>
      <c r="W191" s="20">
        <v>62172289</v>
      </c>
      <c r="X191" s="249">
        <v>44057454</v>
      </c>
    </row>
    <row r="192" spans="2:24" ht="12.5" customHeight="1">
      <c r="C192" s="15"/>
      <c r="H192" s="159"/>
      <c r="I192" s="100"/>
      <c r="J192" s="159"/>
      <c r="K192" s="159"/>
      <c r="L192" s="159"/>
      <c r="M192" s="159"/>
      <c r="N192" s="20"/>
      <c r="O192" s="20"/>
      <c r="P192" s="106"/>
      <c r="Q192" s="160"/>
      <c r="R192" s="159"/>
      <c r="S192" s="159"/>
      <c r="T192" s="160"/>
      <c r="U192" s="160"/>
      <c r="V192" s="160"/>
      <c r="W192" s="160"/>
      <c r="X192" s="160"/>
    </row>
    <row r="193" spans="1:88" ht="12.5" customHeight="1">
      <c r="C193" s="15"/>
      <c r="H193" s="159"/>
      <c r="I193" s="159"/>
      <c r="J193" s="159"/>
      <c r="K193" s="159"/>
      <c r="L193" s="159"/>
      <c r="M193" s="159"/>
      <c r="N193" s="20"/>
      <c r="O193" s="20"/>
      <c r="P193" s="106"/>
      <c r="Q193" s="160"/>
      <c r="R193" s="159"/>
      <c r="S193" s="159"/>
      <c r="T193" s="160"/>
      <c r="U193" s="160"/>
      <c r="V193" s="160"/>
      <c r="W193" s="160"/>
      <c r="X193" s="160"/>
    </row>
    <row r="194" spans="1:88" s="151" customFormat="1" ht="12.5" customHeight="1">
      <c r="A194" s="61" t="s">
        <v>27</v>
      </c>
      <c r="B194" s="495" t="str">
        <f>$C$12</f>
        <v>Organico</v>
      </c>
      <c r="C194" s="495" t="str">
        <f>VLOOKUP(36,Textbausteine_Menu[],Hilfsgrössen!$D$2,FALSE)</f>
        <v>Gruppo</v>
      </c>
      <c r="D194" s="479" t="str">
        <f>VLOOKUP(32,Textbausteine_Menu[],Hilfsgrössen!$D$2,FALSE)</f>
        <v>Unità</v>
      </c>
      <c r="E194" s="284" t="str">
        <f>VLOOKUP(33,Textbausteine_Menu[],Hilfsgrössen!$D$2,FALSE)</f>
        <v>Note</v>
      </c>
      <c r="F194" s="40" t="str">
        <f>VLOOKUP(34,Textbausteine_Menu[],Hilfsgrössen!$D$2,FALSE)</f>
        <v>GRI</v>
      </c>
      <c r="G194" s="49"/>
      <c r="H194" s="157">
        <v>2004</v>
      </c>
      <c r="I194" s="157">
        <v>2005</v>
      </c>
      <c r="J194" s="157">
        <v>2006</v>
      </c>
      <c r="K194" s="157">
        <v>2007</v>
      </c>
      <c r="L194" s="157">
        <v>2008</v>
      </c>
      <c r="M194" s="157">
        <v>2009</v>
      </c>
      <c r="N194" s="157">
        <v>2010</v>
      </c>
      <c r="O194" s="157">
        <v>2011</v>
      </c>
      <c r="P194" s="157">
        <v>2012</v>
      </c>
      <c r="Q194" s="157">
        <v>2013</v>
      </c>
      <c r="R194" s="157">
        <v>2014</v>
      </c>
      <c r="S194" s="157">
        <v>2015</v>
      </c>
      <c r="T194" s="119">
        <v>2016</v>
      </c>
      <c r="U194" s="119">
        <v>2017</v>
      </c>
      <c r="V194" s="119">
        <v>2018</v>
      </c>
      <c r="W194" s="119">
        <v>2019</v>
      </c>
      <c r="X194" s="247">
        <v>2020</v>
      </c>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row>
    <row r="195" spans="1:88" s="60" customFormat="1" ht="12.5" customHeight="1">
      <c r="A195" s="81"/>
      <c r="B195" s="495" t="str">
        <f>VLOOKUP(36,Textbausteine_Menu[],Hilfsgrössen!$D$2,FALSE)</f>
        <v>Gruppo</v>
      </c>
      <c r="C195" s="495" t="str">
        <f>VLOOKUP(36,Textbausteine_Menu[],Hilfsgrössen!$D$2,FALSE)</f>
        <v>Gruppo</v>
      </c>
      <c r="D195" s="59"/>
      <c r="E195" s="285"/>
      <c r="F195" s="11"/>
      <c r="G195" s="49"/>
      <c r="H195" s="158"/>
      <c r="I195" s="158"/>
      <c r="J195" s="158"/>
      <c r="K195" s="158"/>
      <c r="L195" s="158"/>
      <c r="M195" s="158"/>
      <c r="N195" s="158"/>
      <c r="O195" s="158"/>
      <c r="P195" s="158"/>
      <c r="Q195" s="158"/>
      <c r="R195" s="158"/>
      <c r="S195" s="158"/>
      <c r="T195" s="118"/>
      <c r="U195" s="118"/>
      <c r="V195" s="118"/>
      <c r="W195" s="118"/>
      <c r="X195" s="248"/>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row>
    <row r="196" spans="1:88" ht="12.5" customHeight="1">
      <c r="B196" s="8"/>
      <c r="D196" s="9"/>
      <c r="E196" s="285"/>
      <c r="F196" s="11"/>
      <c r="G196" s="49"/>
      <c r="X196" s="249"/>
    </row>
    <row r="197" spans="1:88" ht="12.5" customHeight="1">
      <c r="B197" s="8" t="str">
        <f>VLOOKUP(36,Textbausteine_Menu[],Hilfsgrössen!$D$2,FALSE)</f>
        <v>Gruppo</v>
      </c>
      <c r="C197" s="8"/>
      <c r="D197" s="66"/>
      <c r="E197" s="285"/>
      <c r="F197" s="11"/>
      <c r="G197" s="49"/>
      <c r="T197" s="106"/>
      <c r="U197" s="106"/>
      <c r="V197" s="106"/>
      <c r="W197" s="106"/>
      <c r="X197" s="250"/>
    </row>
    <row r="198" spans="1:88" ht="12.5" customHeight="1">
      <c r="C198" s="67" t="str">
        <f>VLOOKUP(151,Textbausteine_102[],Hilfsgrössen!$D$2,FALSE)</f>
        <v>Organico</v>
      </c>
      <c r="D198" s="18" t="str">
        <f>VLOOKUP(34,Textbausteine_102[],Hilfsgrössen!$D$2,FALSE)</f>
        <v>Unità di personale</v>
      </c>
      <c r="E198" s="290" t="s">
        <v>81</v>
      </c>
      <c r="F198" s="11" t="s">
        <v>82</v>
      </c>
      <c r="G198" s="49"/>
      <c r="H198" s="20">
        <v>42284</v>
      </c>
      <c r="I198" s="20">
        <v>41073</v>
      </c>
      <c r="J198" s="20">
        <v>42178</v>
      </c>
      <c r="K198" s="20">
        <v>43447</v>
      </c>
      <c r="L198" s="20">
        <v>44178</v>
      </c>
      <c r="M198" s="20">
        <v>44803</v>
      </c>
      <c r="N198" s="20">
        <v>45129</v>
      </c>
      <c r="O198" s="20">
        <v>44348</v>
      </c>
      <c r="P198" s="106">
        <v>44605</v>
      </c>
      <c r="Q198" s="106">
        <v>44105</v>
      </c>
      <c r="R198" s="159">
        <v>44681</v>
      </c>
      <c r="S198" s="159">
        <v>44131</v>
      </c>
      <c r="T198" s="160">
        <v>43485</v>
      </c>
      <c r="U198" s="160">
        <v>42316</v>
      </c>
      <c r="V198" s="160">
        <v>39932</v>
      </c>
      <c r="W198" s="160">
        <v>39670</v>
      </c>
      <c r="X198" s="252">
        <v>39089</v>
      </c>
    </row>
    <row r="199" spans="1:88" ht="12.5" customHeight="1">
      <c r="C199" s="69" t="str">
        <f>VLOOKUP(154,Textbausteine_102[],Hilfsgrössen!$D$2,FALSE)</f>
        <v>Estero</v>
      </c>
      <c r="D199" s="18" t="str">
        <f>VLOOKUP(34,Textbausteine_102[],Hilfsgrössen!$D$2,FALSE)</f>
        <v>Unità di personale</v>
      </c>
      <c r="E199" s="290" t="s">
        <v>81</v>
      </c>
      <c r="F199" s="11" t="s">
        <v>82</v>
      </c>
      <c r="G199" s="49"/>
      <c r="H199" s="20">
        <v>1158</v>
      </c>
      <c r="I199" s="20">
        <v>1347</v>
      </c>
      <c r="J199" s="20">
        <v>3379</v>
      </c>
      <c r="K199" s="20">
        <v>5513</v>
      </c>
      <c r="L199" s="20">
        <v>6276</v>
      </c>
      <c r="M199" s="20">
        <v>6986</v>
      </c>
      <c r="N199" s="20">
        <v>7255</v>
      </c>
      <c r="O199" s="20">
        <v>6645</v>
      </c>
      <c r="P199" s="106">
        <v>6621</v>
      </c>
      <c r="Q199" s="106">
        <v>6779</v>
      </c>
      <c r="R199" s="159">
        <v>7627</v>
      </c>
      <c r="S199" s="159">
        <v>7449</v>
      </c>
      <c r="T199" s="160">
        <v>7195</v>
      </c>
      <c r="U199" s="160">
        <v>6971</v>
      </c>
      <c r="V199" s="160">
        <v>6123</v>
      </c>
      <c r="W199" s="160">
        <v>6272</v>
      </c>
      <c r="X199" s="252">
        <v>5788</v>
      </c>
    </row>
    <row r="200" spans="1:88" ht="12.5" customHeight="1">
      <c r="C200" s="15" t="str">
        <f>VLOOKUP(155,Textbausteine_102[],Hilfsgrössen!$D$2,FALSE)</f>
        <v>Quota all' estero</v>
      </c>
      <c r="D200" s="18" t="str">
        <f>VLOOKUP(21,Textbausteine_102[],Hilfsgrössen!$D$2,FALSE)</f>
        <v>%</v>
      </c>
      <c r="E200" s="290" t="s">
        <v>81</v>
      </c>
      <c r="F200" s="11" t="s">
        <v>82</v>
      </c>
      <c r="G200" s="49"/>
      <c r="H200" s="385">
        <v>2.7</v>
      </c>
      <c r="I200" s="385">
        <v>3.3</v>
      </c>
      <c r="J200" s="385">
        <v>8</v>
      </c>
      <c r="K200" s="20">
        <v>12.7</v>
      </c>
      <c r="L200" s="20">
        <v>14.2</v>
      </c>
      <c r="M200" s="20">
        <v>15.6</v>
      </c>
      <c r="N200" s="20">
        <v>16.100000000000001</v>
      </c>
      <c r="O200" s="20">
        <v>15</v>
      </c>
      <c r="P200" s="106">
        <v>14.8</v>
      </c>
      <c r="Q200" s="160">
        <v>15.4</v>
      </c>
      <c r="R200" s="159">
        <v>17.100000000000001</v>
      </c>
      <c r="S200" s="159">
        <v>16.879673691366399</v>
      </c>
      <c r="T200" s="160">
        <v>16.5</v>
      </c>
      <c r="U200" s="160">
        <v>16.5</v>
      </c>
      <c r="V200" s="160">
        <v>15.3</v>
      </c>
      <c r="W200" s="160">
        <v>15.8</v>
      </c>
      <c r="X200" s="252">
        <v>14.8</v>
      </c>
    </row>
    <row r="201" spans="1:88" s="32" customFormat="1" ht="12.5" customHeight="1">
      <c r="A201" s="80"/>
      <c r="B201" s="1"/>
      <c r="C201" s="9"/>
      <c r="D201" s="1"/>
      <c r="E201" s="290"/>
      <c r="F201" s="11"/>
      <c r="G201" s="49"/>
      <c r="H201" s="20"/>
      <c r="I201" s="20"/>
      <c r="J201" s="20"/>
      <c r="K201" s="20"/>
      <c r="L201" s="20"/>
      <c r="M201" s="20"/>
      <c r="N201" s="20"/>
      <c r="O201" s="20"/>
      <c r="P201" s="106"/>
      <c r="Q201" s="160"/>
      <c r="R201" s="159"/>
      <c r="S201" s="159"/>
      <c r="T201" s="160"/>
      <c r="U201" s="160"/>
      <c r="V201" s="160"/>
      <c r="W201" s="160"/>
      <c r="X201" s="252"/>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row>
    <row r="202" spans="1:88" s="32" customFormat="1" ht="12.5" customHeight="1">
      <c r="A202" s="80"/>
      <c r="B202" s="1"/>
      <c r="C202" s="67" t="str">
        <f>VLOOKUP(151,Textbausteine_102[],Hilfsgrössen!$D$2,FALSE)</f>
        <v>Organico</v>
      </c>
      <c r="D202" s="18" t="str">
        <f>VLOOKUP(35,Textbausteine_102[],Hilfsgrössen!$D$2,FALSE)</f>
        <v>Persone</v>
      </c>
      <c r="E202" s="290" t="s">
        <v>83</v>
      </c>
      <c r="F202" s="11" t="s">
        <v>82</v>
      </c>
      <c r="G202" s="49"/>
      <c r="H202" s="173" t="s">
        <v>30</v>
      </c>
      <c r="I202" s="173" t="s">
        <v>30</v>
      </c>
      <c r="J202" s="173" t="s">
        <v>30</v>
      </c>
      <c r="K202" s="173" t="s">
        <v>30</v>
      </c>
      <c r="L202" s="173" t="s">
        <v>30</v>
      </c>
      <c r="M202" s="139">
        <v>62090</v>
      </c>
      <c r="N202" s="139">
        <v>61428</v>
      </c>
      <c r="O202" s="139">
        <v>59612</v>
      </c>
      <c r="P202" s="159">
        <v>62058</v>
      </c>
      <c r="Q202" s="159">
        <v>61593</v>
      </c>
      <c r="R202" s="159">
        <v>62983</v>
      </c>
      <c r="S202" s="159">
        <v>62341</v>
      </c>
      <c r="T202" s="160">
        <v>61265</v>
      </c>
      <c r="U202" s="160">
        <v>59369</v>
      </c>
      <c r="V202" s="160">
        <v>58180</v>
      </c>
      <c r="W202" s="160">
        <v>55915</v>
      </c>
      <c r="X202" s="252">
        <v>54364</v>
      </c>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row>
    <row r="203" spans="1:88" s="32" customFormat="1" ht="12.5" customHeight="1">
      <c r="A203" s="80"/>
      <c r="B203" s="1"/>
      <c r="C203" s="69" t="str">
        <f>VLOOKUP(154,Textbausteine_102[],Hilfsgrössen!$D$2,FALSE)</f>
        <v>Estero</v>
      </c>
      <c r="D203" s="18" t="str">
        <f>VLOOKUP(35,Textbausteine_102[],Hilfsgrössen!$D$2,FALSE)</f>
        <v>Persone</v>
      </c>
      <c r="E203" s="290" t="s">
        <v>83</v>
      </c>
      <c r="F203" s="11" t="s">
        <v>82</v>
      </c>
      <c r="G203" s="49"/>
      <c r="H203" s="173" t="s">
        <v>30</v>
      </c>
      <c r="I203" s="173" t="s">
        <v>30</v>
      </c>
      <c r="J203" s="173" t="s">
        <v>30</v>
      </c>
      <c r="K203" s="173" t="s">
        <v>30</v>
      </c>
      <c r="L203" s="173" t="s">
        <v>30</v>
      </c>
      <c r="M203" s="139">
        <v>8841</v>
      </c>
      <c r="N203" s="139">
        <v>7760</v>
      </c>
      <c r="O203" s="139">
        <v>7054</v>
      </c>
      <c r="P203" s="159">
        <v>7100</v>
      </c>
      <c r="Q203" s="159">
        <v>7182</v>
      </c>
      <c r="R203" s="159">
        <v>8008</v>
      </c>
      <c r="S203" s="159">
        <v>7921</v>
      </c>
      <c r="T203" s="160">
        <v>7720</v>
      </c>
      <c r="U203" s="160">
        <v>7467</v>
      </c>
      <c r="V203" s="160">
        <v>7897</v>
      </c>
      <c r="W203" s="160">
        <v>6816</v>
      </c>
      <c r="X203" s="252">
        <v>6368</v>
      </c>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row>
    <row r="204" spans="1:88" s="32" customFormat="1" ht="12.5" customHeight="1">
      <c r="A204" s="80"/>
      <c r="B204" s="1"/>
      <c r="C204" s="15" t="str">
        <f>VLOOKUP(155,Textbausteine_102[],Hilfsgrössen!$D$2,FALSE)</f>
        <v>Quota all' estero</v>
      </c>
      <c r="D204" s="18" t="str">
        <f>VLOOKUP(21,Textbausteine_102[],Hilfsgrössen!$D$2,FALSE)</f>
        <v>%</v>
      </c>
      <c r="E204" s="290" t="s">
        <v>83</v>
      </c>
      <c r="F204" s="11" t="s">
        <v>82</v>
      </c>
      <c r="G204" s="49"/>
      <c r="H204" s="173" t="s">
        <v>30</v>
      </c>
      <c r="I204" s="173" t="s">
        <v>30</v>
      </c>
      <c r="J204" s="173" t="s">
        <v>30</v>
      </c>
      <c r="K204" s="173" t="s">
        <v>30</v>
      </c>
      <c r="L204" s="173" t="s">
        <v>30</v>
      </c>
      <c r="M204" s="139">
        <v>14.239007891770012</v>
      </c>
      <c r="N204" s="159">
        <v>12.63267565279677</v>
      </c>
      <c r="O204" s="159">
        <v>11.833187948735153</v>
      </c>
      <c r="P204" s="159">
        <v>11.440910116342776</v>
      </c>
      <c r="Q204" s="159">
        <v>11.660415956358678</v>
      </c>
      <c r="R204" s="159">
        <v>12.7</v>
      </c>
      <c r="S204" s="159">
        <v>12.705923870326099</v>
      </c>
      <c r="T204" s="160">
        <v>12.6</v>
      </c>
      <c r="U204" s="160">
        <v>12.6</v>
      </c>
      <c r="V204" s="160">
        <v>13.6</v>
      </c>
      <c r="W204" s="160">
        <v>12.2</v>
      </c>
      <c r="X204" s="252">
        <v>11.7</v>
      </c>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row>
    <row r="205" spans="1:88" s="32" customFormat="1" ht="12.5" customHeight="1">
      <c r="A205" s="80"/>
      <c r="B205" s="1"/>
      <c r="C205" s="9"/>
      <c r="D205" s="1"/>
      <c r="E205" s="285"/>
      <c r="F205" s="11"/>
      <c r="G205" s="49"/>
      <c r="H205" s="139"/>
      <c r="I205" s="139"/>
      <c r="J205" s="139"/>
      <c r="K205" s="139"/>
      <c r="L205" s="139"/>
      <c r="M205" s="139"/>
      <c r="N205" s="99"/>
      <c r="O205" s="99"/>
      <c r="P205" s="99"/>
      <c r="Q205" s="99"/>
      <c r="R205" s="99"/>
      <c r="S205" s="99"/>
      <c r="T205" s="160"/>
      <c r="U205" s="160"/>
      <c r="V205" s="160"/>
      <c r="W205" s="160"/>
      <c r="X205" s="252"/>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row>
    <row r="206" spans="1:88" s="32" customFormat="1" ht="12.5" customHeight="1">
      <c r="A206" s="57"/>
      <c r="B206" s="8" t="str">
        <f>VLOOKUP(44,Textbausteine_Menu[],Hilfsgrössen!$D$2,FALSE)</f>
        <v>Segmenti</v>
      </c>
      <c r="C206" s="10"/>
      <c r="D206" s="1"/>
      <c r="E206" s="285"/>
      <c r="F206" s="11"/>
      <c r="G206" s="49"/>
      <c r="H206" s="162"/>
      <c r="I206" s="162"/>
      <c r="J206" s="162"/>
      <c r="K206" s="162"/>
      <c r="L206" s="162"/>
      <c r="M206" s="162"/>
      <c r="N206" s="99"/>
      <c r="O206" s="99"/>
      <c r="P206" s="99"/>
      <c r="Q206" s="99"/>
      <c r="R206" s="99"/>
      <c r="S206" s="99"/>
      <c r="T206" s="160"/>
      <c r="U206" s="160"/>
      <c r="V206" s="160"/>
      <c r="W206" s="160"/>
      <c r="X206" s="252"/>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row>
    <row r="207" spans="1:88" s="32" customFormat="1" ht="12.5" customHeight="1">
      <c r="A207" s="80"/>
      <c r="B207" s="1"/>
      <c r="C207" s="67" t="str">
        <f>VLOOKUP(151,Textbausteine_102[],Hilfsgrössen!$D$2,FALSE)</f>
        <v>Organico</v>
      </c>
      <c r="D207" s="1"/>
      <c r="E207" s="290"/>
      <c r="F207" s="11"/>
      <c r="G207" s="49"/>
      <c r="H207" s="173"/>
      <c r="I207" s="173"/>
      <c r="J207" s="173"/>
      <c r="K207" s="173"/>
      <c r="L207" s="173"/>
      <c r="M207" s="139"/>
      <c r="N207" s="159"/>
      <c r="O207" s="159"/>
      <c r="P207" s="159"/>
      <c r="Q207" s="159"/>
      <c r="R207" s="159"/>
      <c r="S207" s="159"/>
      <c r="T207" s="160"/>
      <c r="U207" s="160"/>
      <c r="V207" s="160"/>
      <c r="W207" s="160"/>
      <c r="X207" s="252"/>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row>
    <row r="208" spans="1:88" s="32" customFormat="1" ht="12.5" customHeight="1">
      <c r="A208" s="80"/>
      <c r="B208" s="1"/>
      <c r="C208" s="15" t="str">
        <f>VLOOKUP(45,Textbausteine_Menu[],Hilfsgrössen!$D$2,FALSE)</f>
        <v>PostMail</v>
      </c>
      <c r="D208" s="18" t="str">
        <f>VLOOKUP(34,Textbausteine_102[],Hilfsgrössen!$D$2,FALSE)</f>
        <v>Unità di personale</v>
      </c>
      <c r="E208" s="290" t="s">
        <v>81</v>
      </c>
      <c r="F208" s="13" t="s">
        <v>82</v>
      </c>
      <c r="G208" s="50"/>
      <c r="H208" s="173" t="s">
        <v>30</v>
      </c>
      <c r="I208" s="173" t="s">
        <v>30</v>
      </c>
      <c r="J208" s="173" t="s">
        <v>30</v>
      </c>
      <c r="K208" s="173" t="s">
        <v>30</v>
      </c>
      <c r="L208" s="173" t="s">
        <v>30</v>
      </c>
      <c r="M208" s="139">
        <v>16996</v>
      </c>
      <c r="N208" s="159">
        <v>17092</v>
      </c>
      <c r="O208" s="159">
        <v>16908</v>
      </c>
      <c r="P208" s="159">
        <v>17912</v>
      </c>
      <c r="Q208" s="159">
        <v>17212</v>
      </c>
      <c r="R208" s="159">
        <v>16979</v>
      </c>
      <c r="S208" s="159">
        <v>16494</v>
      </c>
      <c r="T208" s="160">
        <v>16241</v>
      </c>
      <c r="U208" s="160">
        <v>15736</v>
      </c>
      <c r="V208" s="160">
        <v>14404</v>
      </c>
      <c r="W208" s="160">
        <v>14110</v>
      </c>
      <c r="X208" s="252">
        <v>13791</v>
      </c>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row>
    <row r="209" spans="1:88" s="32" customFormat="1" ht="12.5" customHeight="1">
      <c r="A209" s="80"/>
      <c r="B209" s="1"/>
      <c r="C209" s="15" t="str">
        <f>VLOOKUP(46,Textbausteine_Menu[],Hilfsgrössen!$D$2,FALSE)</f>
        <v>Swiss Post Solutions</v>
      </c>
      <c r="D209" s="18" t="str">
        <f>VLOOKUP(34,Textbausteine_102[],Hilfsgrössen!$D$2,FALSE)</f>
        <v>Unità di personale</v>
      </c>
      <c r="E209" s="290" t="s">
        <v>84</v>
      </c>
      <c r="F209" s="11" t="s">
        <v>82</v>
      </c>
      <c r="G209" s="49"/>
      <c r="H209" s="173" t="s">
        <v>30</v>
      </c>
      <c r="I209" s="173" t="s">
        <v>30</v>
      </c>
      <c r="J209" s="173" t="s">
        <v>30</v>
      </c>
      <c r="K209" s="173" t="s">
        <v>30</v>
      </c>
      <c r="L209" s="173" t="s">
        <v>30</v>
      </c>
      <c r="M209" s="139">
        <v>6878</v>
      </c>
      <c r="N209" s="159">
        <v>6992</v>
      </c>
      <c r="O209" s="159">
        <v>6407</v>
      </c>
      <c r="P209" s="159">
        <v>6502</v>
      </c>
      <c r="Q209" s="159">
        <v>6798</v>
      </c>
      <c r="R209" s="159">
        <v>7466</v>
      </c>
      <c r="S209" s="159">
        <v>7177</v>
      </c>
      <c r="T209" s="160">
        <v>6803</v>
      </c>
      <c r="U209" s="160">
        <v>6585</v>
      </c>
      <c r="V209" s="160">
        <v>6789</v>
      </c>
      <c r="W209" s="160">
        <v>6909</v>
      </c>
      <c r="X209" s="252">
        <v>6393</v>
      </c>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row>
    <row r="210" spans="1:88" s="32" customFormat="1" ht="12.5" customHeight="1">
      <c r="A210" s="80"/>
      <c r="B210" s="1"/>
      <c r="C210" s="15" t="str">
        <f>VLOOKUP(47,Textbausteine_Menu[],Hilfsgrössen!$D$2,FALSE)</f>
        <v>RetePostale</v>
      </c>
      <c r="D210" s="18" t="str">
        <f>VLOOKUP(34,Textbausteine_102[],Hilfsgrössen!$D$2,FALSE)</f>
        <v>Unità di personale</v>
      </c>
      <c r="E210" s="290" t="s">
        <v>84</v>
      </c>
      <c r="F210" s="11" t="s">
        <v>82</v>
      </c>
      <c r="G210" s="49"/>
      <c r="H210" s="173" t="s">
        <v>30</v>
      </c>
      <c r="I210" s="173" t="s">
        <v>30</v>
      </c>
      <c r="J210" s="173" t="s">
        <v>30</v>
      </c>
      <c r="K210" s="173" t="s">
        <v>30</v>
      </c>
      <c r="L210" s="173" t="s">
        <v>30</v>
      </c>
      <c r="M210" s="139">
        <v>7091</v>
      </c>
      <c r="N210" s="159">
        <v>6928</v>
      </c>
      <c r="O210" s="159">
        <v>6827</v>
      </c>
      <c r="P210" s="159">
        <v>6724</v>
      </c>
      <c r="Q210" s="159">
        <v>6591</v>
      </c>
      <c r="R210" s="159">
        <v>6508</v>
      </c>
      <c r="S210" s="159">
        <v>6299</v>
      </c>
      <c r="T210" s="160">
        <v>6006</v>
      </c>
      <c r="U210" s="160">
        <v>5435</v>
      </c>
      <c r="V210" s="160">
        <v>4753</v>
      </c>
      <c r="W210" s="160">
        <v>4298</v>
      </c>
      <c r="X210" s="252">
        <v>3911</v>
      </c>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row>
    <row r="211" spans="1:88" s="32" customFormat="1" ht="12.5" customHeight="1">
      <c r="A211" s="80"/>
      <c r="B211" s="1"/>
      <c r="C211" s="15" t="str">
        <f>VLOOKUP(48,Textbausteine_Menu[],Hilfsgrössen!$D$2,FALSE)</f>
        <v>PostLogistics</v>
      </c>
      <c r="D211" s="18" t="str">
        <f>VLOOKUP(34,Textbausteine_102[],Hilfsgrössen!$D$2,FALSE)</f>
        <v>Unità di personale</v>
      </c>
      <c r="E211" s="290" t="s">
        <v>84</v>
      </c>
      <c r="F211" s="11" t="s">
        <v>82</v>
      </c>
      <c r="G211" s="49"/>
      <c r="H211" s="173" t="s">
        <v>30</v>
      </c>
      <c r="I211" s="173" t="s">
        <v>30</v>
      </c>
      <c r="J211" s="173" t="s">
        <v>30</v>
      </c>
      <c r="K211" s="173" t="s">
        <v>30</v>
      </c>
      <c r="L211" s="173" t="s">
        <v>30</v>
      </c>
      <c r="M211" s="139">
        <v>5489</v>
      </c>
      <c r="N211" s="159">
        <v>5319</v>
      </c>
      <c r="O211" s="159">
        <v>5345</v>
      </c>
      <c r="P211" s="159">
        <v>5520</v>
      </c>
      <c r="Q211" s="159">
        <v>5426</v>
      </c>
      <c r="R211" s="159">
        <v>5304</v>
      </c>
      <c r="S211" s="159">
        <v>5219</v>
      </c>
      <c r="T211" s="160">
        <v>5151</v>
      </c>
      <c r="U211" s="160">
        <v>5281</v>
      </c>
      <c r="V211" s="160">
        <v>5400</v>
      </c>
      <c r="W211" s="160">
        <v>5620</v>
      </c>
      <c r="X211" s="252">
        <v>5931</v>
      </c>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row>
    <row r="212" spans="1:88" s="32" customFormat="1" ht="12.5" customHeight="1">
      <c r="A212" s="80"/>
      <c r="B212" s="1"/>
      <c r="C212" s="15" t="str">
        <f>VLOOKUP(49,Textbausteine_Menu[],Hilfsgrössen!$D$2,FALSE)</f>
        <v>PostFinance</v>
      </c>
      <c r="D212" s="18" t="str">
        <f>VLOOKUP(34,Textbausteine_102[],Hilfsgrössen!$D$2,FALSE)</f>
        <v>Unità di personale</v>
      </c>
      <c r="E212" s="290" t="s">
        <v>84</v>
      </c>
      <c r="F212" s="13" t="s">
        <v>82</v>
      </c>
      <c r="G212" s="50"/>
      <c r="H212" s="173" t="s">
        <v>30</v>
      </c>
      <c r="I212" s="173" t="s">
        <v>30</v>
      </c>
      <c r="J212" s="173" t="s">
        <v>30</v>
      </c>
      <c r="K212" s="173" t="s">
        <v>30</v>
      </c>
      <c r="L212" s="173" t="s">
        <v>30</v>
      </c>
      <c r="M212" s="139">
        <v>3042</v>
      </c>
      <c r="N212" s="159">
        <v>3265</v>
      </c>
      <c r="O212" s="159">
        <v>3425</v>
      </c>
      <c r="P212" s="159">
        <v>3479</v>
      </c>
      <c r="Q212" s="159">
        <v>3439</v>
      </c>
      <c r="R212" s="159">
        <v>3466</v>
      </c>
      <c r="S212" s="159">
        <v>3594</v>
      </c>
      <c r="T212" s="160">
        <v>3614</v>
      </c>
      <c r="U212" s="160">
        <v>3475</v>
      </c>
      <c r="V212" s="160">
        <v>3333</v>
      </c>
      <c r="W212" s="160">
        <v>3248</v>
      </c>
      <c r="X212" s="252">
        <v>3260</v>
      </c>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row>
    <row r="213" spans="1:88" s="32" customFormat="1" ht="12.5" customHeight="1">
      <c r="A213" s="80"/>
      <c r="B213" s="1"/>
      <c r="C213" s="15" t="str">
        <f>VLOOKUP(50,Textbausteine_Menu[],Hilfsgrössen!$D$2,FALSE)</f>
        <v>AutoPostale</v>
      </c>
      <c r="D213" s="18" t="str">
        <f>VLOOKUP(34,Textbausteine_102[],Hilfsgrössen!$D$2,FALSE)</f>
        <v>Unità di personale</v>
      </c>
      <c r="E213" s="290" t="s">
        <v>81</v>
      </c>
      <c r="F213" s="13" t="s">
        <v>82</v>
      </c>
      <c r="G213" s="50"/>
      <c r="H213" s="173" t="s">
        <v>30</v>
      </c>
      <c r="I213" s="173" t="s">
        <v>30</v>
      </c>
      <c r="J213" s="173" t="s">
        <v>30</v>
      </c>
      <c r="K213" s="173" t="s">
        <v>30</v>
      </c>
      <c r="L213" s="173" t="s">
        <v>30</v>
      </c>
      <c r="M213" s="139">
        <v>1736</v>
      </c>
      <c r="N213" s="159">
        <v>2012</v>
      </c>
      <c r="O213" s="159">
        <v>2067</v>
      </c>
      <c r="P213" s="159">
        <v>2305</v>
      </c>
      <c r="Q213" s="159">
        <v>2487</v>
      </c>
      <c r="R213" s="159">
        <v>2789</v>
      </c>
      <c r="S213" s="159">
        <v>2939</v>
      </c>
      <c r="T213" s="160">
        <v>3210</v>
      </c>
      <c r="U213" s="160">
        <v>3261</v>
      </c>
      <c r="V213" s="160">
        <v>2229</v>
      </c>
      <c r="W213" s="160">
        <v>2339</v>
      </c>
      <c r="X213" s="252">
        <v>2528</v>
      </c>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row>
    <row r="214" spans="1:88" s="32" customFormat="1" ht="12.5" customHeight="1">
      <c r="A214" s="80"/>
      <c r="B214" s="1"/>
      <c r="C214" s="15" t="str">
        <f>VLOOKUP(51,Textbausteine_Menu[],Hilfsgrössen!$D$2,FALSE)</f>
        <v>Altri</v>
      </c>
      <c r="D214" s="18" t="str">
        <f>VLOOKUP(34,Textbausteine_102[],Hilfsgrössen!$D$2,FALSE)</f>
        <v>Unità di personale</v>
      </c>
      <c r="E214" s="290" t="s">
        <v>84</v>
      </c>
      <c r="F214" s="11" t="s">
        <v>82</v>
      </c>
      <c r="G214" s="49"/>
      <c r="H214" s="173" t="s">
        <v>30</v>
      </c>
      <c r="I214" s="173" t="s">
        <v>30</v>
      </c>
      <c r="J214" s="173" t="s">
        <v>30</v>
      </c>
      <c r="K214" s="173" t="s">
        <v>30</v>
      </c>
      <c r="L214" s="173" t="s">
        <v>30</v>
      </c>
      <c r="M214" s="139">
        <v>3571</v>
      </c>
      <c r="N214" s="159">
        <v>3521</v>
      </c>
      <c r="O214" s="159">
        <v>3369</v>
      </c>
      <c r="P214" s="159">
        <v>2163</v>
      </c>
      <c r="Q214" s="159">
        <v>2152</v>
      </c>
      <c r="R214" s="159">
        <v>2169</v>
      </c>
      <c r="S214" s="159">
        <v>2409</v>
      </c>
      <c r="T214" s="160">
        <v>2460</v>
      </c>
      <c r="U214" s="160">
        <v>2543</v>
      </c>
      <c r="V214" s="160">
        <v>3024</v>
      </c>
      <c r="W214" s="160">
        <v>3146</v>
      </c>
      <c r="X214" s="252">
        <v>3275</v>
      </c>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row>
    <row r="215" spans="1:88" s="32" customFormat="1" ht="12.5" customHeight="1">
      <c r="A215" s="80"/>
      <c r="B215" s="1"/>
      <c r="C215" s="9"/>
      <c r="D215" s="1"/>
      <c r="E215" s="287"/>
      <c r="F215" s="11"/>
      <c r="G215" s="49"/>
      <c r="H215" s="139"/>
      <c r="I215" s="139"/>
      <c r="J215" s="139"/>
      <c r="K215" s="139"/>
      <c r="L215" s="139"/>
      <c r="M215" s="139"/>
      <c r="N215" s="159"/>
      <c r="O215" s="159"/>
      <c r="P215" s="159"/>
      <c r="Q215" s="159"/>
      <c r="R215" s="159"/>
      <c r="S215" s="159"/>
      <c r="T215" s="160"/>
      <c r="U215" s="160"/>
      <c r="V215" s="160"/>
      <c r="W215" s="160"/>
      <c r="X215" s="252"/>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row>
    <row r="216" spans="1:88" s="32" customFormat="1" ht="12.5" customHeight="1">
      <c r="A216" s="80"/>
      <c r="B216" s="1"/>
      <c r="C216" s="67" t="str">
        <f>VLOOKUP(151,Textbausteine_102[],Hilfsgrössen!$D$2,FALSE)</f>
        <v>Organico</v>
      </c>
      <c r="D216" s="1"/>
      <c r="E216" s="285"/>
      <c r="F216" s="13"/>
      <c r="G216" s="50"/>
      <c r="H216" s="173"/>
      <c r="I216" s="173"/>
      <c r="J216" s="173"/>
      <c r="K216" s="173"/>
      <c r="L216" s="173"/>
      <c r="M216" s="139"/>
      <c r="N216" s="159"/>
      <c r="O216" s="159"/>
      <c r="P216" s="159"/>
      <c r="Q216" s="159"/>
      <c r="R216" s="159"/>
      <c r="S216" s="159"/>
      <c r="T216" s="160"/>
      <c r="U216" s="160"/>
      <c r="V216" s="160"/>
      <c r="W216" s="160"/>
      <c r="X216" s="252"/>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row>
    <row r="217" spans="1:88" s="32" customFormat="1" ht="12.5" customHeight="1">
      <c r="A217" s="80"/>
      <c r="B217" s="1"/>
      <c r="C217" s="15" t="str">
        <f>VLOOKUP(45,Textbausteine_Menu[],Hilfsgrössen!$D$2,FALSE)</f>
        <v>PostMail</v>
      </c>
      <c r="D217" s="18" t="str">
        <f>VLOOKUP(35,Textbausteine_102[],Hilfsgrössen!$D$2,FALSE)</f>
        <v>Persone</v>
      </c>
      <c r="E217" s="287" t="s">
        <v>83</v>
      </c>
      <c r="F217" s="13" t="s">
        <v>82</v>
      </c>
      <c r="G217" s="50"/>
      <c r="H217" s="173" t="s">
        <v>30</v>
      </c>
      <c r="I217" s="173" t="s">
        <v>30</v>
      </c>
      <c r="J217" s="173" t="s">
        <v>30</v>
      </c>
      <c r="K217" s="173" t="s">
        <v>30</v>
      </c>
      <c r="L217" s="173" t="s">
        <v>30</v>
      </c>
      <c r="M217" s="139">
        <v>25645</v>
      </c>
      <c r="N217" s="159">
        <v>27039</v>
      </c>
      <c r="O217" s="159">
        <v>26177</v>
      </c>
      <c r="P217" s="159">
        <v>29492</v>
      </c>
      <c r="Q217" s="159">
        <v>29036</v>
      </c>
      <c r="R217" s="159">
        <v>29803</v>
      </c>
      <c r="S217" s="159">
        <v>29257</v>
      </c>
      <c r="T217" s="160">
        <v>28730</v>
      </c>
      <c r="U217" s="160">
        <v>27824</v>
      </c>
      <c r="V217" s="160">
        <v>26489</v>
      </c>
      <c r="W217" s="160">
        <v>25462</v>
      </c>
      <c r="X217" s="252">
        <v>24388</v>
      </c>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row>
    <row r="218" spans="1:88" s="32" customFormat="1" ht="12.5" customHeight="1">
      <c r="A218" s="80"/>
      <c r="B218" s="1"/>
      <c r="C218" s="15" t="str">
        <f>VLOOKUP(46,Textbausteine_Menu[],Hilfsgrössen!$D$2,FALSE)</f>
        <v>Swiss Post Solutions</v>
      </c>
      <c r="D218" s="18" t="str">
        <f>VLOOKUP(35,Textbausteine_102[],Hilfsgrössen!$D$2,FALSE)</f>
        <v>Persone</v>
      </c>
      <c r="E218" s="287" t="s">
        <v>83</v>
      </c>
      <c r="F218" s="11" t="s">
        <v>82</v>
      </c>
      <c r="G218" s="49"/>
      <c r="H218" s="173" t="s">
        <v>30</v>
      </c>
      <c r="I218" s="173" t="s">
        <v>30</v>
      </c>
      <c r="J218" s="173" t="s">
        <v>30</v>
      </c>
      <c r="K218" s="173" t="s">
        <v>30</v>
      </c>
      <c r="L218" s="173" t="s">
        <v>30</v>
      </c>
      <c r="M218" s="139">
        <v>7623</v>
      </c>
      <c r="N218" s="159">
        <v>7534</v>
      </c>
      <c r="O218" s="159">
        <v>6861</v>
      </c>
      <c r="P218" s="159">
        <v>7014</v>
      </c>
      <c r="Q218" s="159">
        <v>7252</v>
      </c>
      <c r="R218" s="159">
        <v>7893</v>
      </c>
      <c r="S218" s="159">
        <v>7685</v>
      </c>
      <c r="T218" s="160">
        <v>7298</v>
      </c>
      <c r="U218" s="160">
        <v>7053</v>
      </c>
      <c r="V218" s="160">
        <v>7402</v>
      </c>
      <c r="W218" s="160">
        <v>7537</v>
      </c>
      <c r="X218" s="252">
        <v>7110</v>
      </c>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row>
    <row r="219" spans="1:88" s="32" customFormat="1" ht="12.5" customHeight="1">
      <c r="A219" s="80"/>
      <c r="B219" s="1"/>
      <c r="C219" s="15" t="str">
        <f>VLOOKUP(47,Textbausteine_Menu[],Hilfsgrössen!$D$2,FALSE)</f>
        <v>RetePostale</v>
      </c>
      <c r="D219" s="18" t="str">
        <f>VLOOKUP(35,Textbausteine_102[],Hilfsgrössen!$D$2,FALSE)</f>
        <v>Persone</v>
      </c>
      <c r="E219" s="287" t="s">
        <v>83</v>
      </c>
      <c r="F219" s="11" t="s">
        <v>82</v>
      </c>
      <c r="G219" s="49"/>
      <c r="H219" s="173" t="s">
        <v>30</v>
      </c>
      <c r="I219" s="173" t="s">
        <v>30</v>
      </c>
      <c r="J219" s="173" t="s">
        <v>30</v>
      </c>
      <c r="K219" s="173" t="s">
        <v>30</v>
      </c>
      <c r="L219" s="173" t="s">
        <v>30</v>
      </c>
      <c r="M219" s="139">
        <v>10770</v>
      </c>
      <c r="N219" s="159">
        <v>10177</v>
      </c>
      <c r="O219" s="159">
        <v>9960</v>
      </c>
      <c r="P219" s="159">
        <v>9726</v>
      </c>
      <c r="Q219" s="159">
        <v>9433</v>
      </c>
      <c r="R219" s="159">
        <v>9207</v>
      </c>
      <c r="S219" s="159">
        <v>8838</v>
      </c>
      <c r="T219" s="160">
        <v>8415</v>
      </c>
      <c r="U219" s="160">
        <v>7618</v>
      </c>
      <c r="V219" s="160">
        <v>6652</v>
      </c>
      <c r="W219" s="160">
        <v>5972</v>
      </c>
      <c r="X219" s="252">
        <v>5399</v>
      </c>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row>
    <row r="220" spans="1:88" s="32" customFormat="1" ht="12.5" customHeight="1">
      <c r="A220" s="80"/>
      <c r="B220" s="1"/>
      <c r="C220" s="15" t="str">
        <f>VLOOKUP(48,Textbausteine_Menu[],Hilfsgrössen!$D$2,FALSE)</f>
        <v>PostLogistics</v>
      </c>
      <c r="D220" s="18" t="str">
        <f>VLOOKUP(35,Textbausteine_102[],Hilfsgrössen!$D$2,FALSE)</f>
        <v>Persone</v>
      </c>
      <c r="E220" s="287" t="s">
        <v>83</v>
      </c>
      <c r="F220" s="11" t="s">
        <v>82</v>
      </c>
      <c r="G220" s="49"/>
      <c r="H220" s="173" t="s">
        <v>30</v>
      </c>
      <c r="I220" s="173" t="s">
        <v>30</v>
      </c>
      <c r="J220" s="173" t="s">
        <v>30</v>
      </c>
      <c r="K220" s="173" t="s">
        <v>30</v>
      </c>
      <c r="L220" s="173" t="s">
        <v>30</v>
      </c>
      <c r="M220" s="139">
        <v>6162</v>
      </c>
      <c r="N220" s="159">
        <v>5890</v>
      </c>
      <c r="O220" s="159">
        <v>5938</v>
      </c>
      <c r="P220" s="159">
        <v>6146</v>
      </c>
      <c r="Q220" s="159">
        <v>6058</v>
      </c>
      <c r="R220" s="159">
        <v>5928</v>
      </c>
      <c r="S220" s="159">
        <v>5839</v>
      </c>
      <c r="T220" s="160">
        <v>5772</v>
      </c>
      <c r="U220" s="160">
        <v>5875</v>
      </c>
      <c r="V220" s="160">
        <v>6237</v>
      </c>
      <c r="W220" s="160">
        <v>6674</v>
      </c>
      <c r="X220" s="252">
        <v>6926</v>
      </c>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row>
    <row r="221" spans="1:88" s="32" customFormat="1" ht="12.5" customHeight="1">
      <c r="A221" s="80"/>
      <c r="B221" s="1"/>
      <c r="C221" s="15" t="str">
        <f>VLOOKUP(49,Textbausteine_Menu[],Hilfsgrössen!$D$2,FALSE)</f>
        <v>PostFinance</v>
      </c>
      <c r="D221" s="18" t="str">
        <f>VLOOKUP(35,Textbausteine_102[],Hilfsgrössen!$D$2,FALSE)</f>
        <v>Persone</v>
      </c>
      <c r="E221" s="287" t="s">
        <v>83</v>
      </c>
      <c r="F221" s="11" t="s">
        <v>82</v>
      </c>
      <c r="G221" s="49"/>
      <c r="H221" s="173" t="s">
        <v>30</v>
      </c>
      <c r="I221" s="173" t="s">
        <v>30</v>
      </c>
      <c r="J221" s="173" t="s">
        <v>30</v>
      </c>
      <c r="K221" s="173" t="s">
        <v>30</v>
      </c>
      <c r="L221" s="173" t="s">
        <v>30</v>
      </c>
      <c r="M221" s="139">
        <v>3478</v>
      </c>
      <c r="N221" s="159">
        <v>3732</v>
      </c>
      <c r="O221" s="159">
        <v>3920</v>
      </c>
      <c r="P221" s="159">
        <v>3983</v>
      </c>
      <c r="Q221" s="159">
        <v>3938</v>
      </c>
      <c r="R221" s="159">
        <v>3967</v>
      </c>
      <c r="S221" s="159">
        <v>4111</v>
      </c>
      <c r="T221" s="160">
        <v>4116</v>
      </c>
      <c r="U221" s="160">
        <v>3951</v>
      </c>
      <c r="V221" s="160">
        <v>3754</v>
      </c>
      <c r="W221" s="160">
        <v>3648</v>
      </c>
      <c r="X221" s="252">
        <v>3660</v>
      </c>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row>
    <row r="222" spans="1:88" s="32" customFormat="1" ht="12.5" customHeight="1">
      <c r="A222" s="80"/>
      <c r="B222" s="1"/>
      <c r="C222" s="15" t="str">
        <f>VLOOKUP(50,Textbausteine_Menu[],Hilfsgrössen!$D$2,FALSE)</f>
        <v>AutoPostale</v>
      </c>
      <c r="D222" s="18" t="str">
        <f>VLOOKUP(35,Textbausteine_102[],Hilfsgrössen!$D$2,FALSE)</f>
        <v>Persone</v>
      </c>
      <c r="E222" s="287" t="s">
        <v>83</v>
      </c>
      <c r="F222" s="11" t="s">
        <v>82</v>
      </c>
      <c r="G222" s="49"/>
      <c r="H222" s="173" t="s">
        <v>30</v>
      </c>
      <c r="I222" s="173" t="s">
        <v>30</v>
      </c>
      <c r="J222" s="173" t="s">
        <v>30</v>
      </c>
      <c r="K222" s="173" t="s">
        <v>30</v>
      </c>
      <c r="L222" s="173" t="s">
        <v>30</v>
      </c>
      <c r="M222" s="139">
        <v>2079</v>
      </c>
      <c r="N222" s="159">
        <v>2353</v>
      </c>
      <c r="O222" s="159">
        <v>2408</v>
      </c>
      <c r="P222" s="159">
        <v>2710</v>
      </c>
      <c r="Q222" s="159">
        <v>2914</v>
      </c>
      <c r="R222" s="159">
        <v>3242</v>
      </c>
      <c r="S222" s="159">
        <v>3444</v>
      </c>
      <c r="T222" s="160">
        <v>3748</v>
      </c>
      <c r="U222" s="160">
        <v>3823</v>
      </c>
      <c r="V222" s="160">
        <v>3949</v>
      </c>
      <c r="W222" s="160">
        <v>2833</v>
      </c>
      <c r="X222" s="252">
        <v>2994</v>
      </c>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row>
    <row r="223" spans="1:88" s="32" customFormat="1" ht="12.5" customHeight="1">
      <c r="A223" s="80"/>
      <c r="B223" s="1"/>
      <c r="C223" s="15" t="str">
        <f>VLOOKUP(51,Textbausteine_Menu[],Hilfsgrössen!$D$2,FALSE)</f>
        <v>Altri</v>
      </c>
      <c r="D223" s="18" t="str">
        <f>VLOOKUP(35,Textbausteine_102[],Hilfsgrössen!$D$2,FALSE)</f>
        <v>Persone</v>
      </c>
      <c r="E223" s="287" t="s">
        <v>83</v>
      </c>
      <c r="F223" s="13" t="s">
        <v>82</v>
      </c>
      <c r="G223" s="50"/>
      <c r="H223" s="173" t="s">
        <v>30</v>
      </c>
      <c r="I223" s="173" t="s">
        <v>30</v>
      </c>
      <c r="J223" s="173" t="s">
        <v>30</v>
      </c>
      <c r="K223" s="173" t="s">
        <v>30</v>
      </c>
      <c r="L223" s="173" t="s">
        <v>30</v>
      </c>
      <c r="M223" s="139">
        <v>6333</v>
      </c>
      <c r="N223" s="159">
        <v>4703</v>
      </c>
      <c r="O223" s="159">
        <v>4348</v>
      </c>
      <c r="P223" s="159">
        <v>2987</v>
      </c>
      <c r="Q223" s="159">
        <v>2962</v>
      </c>
      <c r="R223" s="159">
        <v>2943</v>
      </c>
      <c r="S223" s="159">
        <v>3167</v>
      </c>
      <c r="T223" s="160">
        <v>3186</v>
      </c>
      <c r="U223" s="160">
        <v>3225</v>
      </c>
      <c r="V223" s="160">
        <v>3697</v>
      </c>
      <c r="W223" s="160">
        <v>3789</v>
      </c>
      <c r="X223" s="252">
        <v>3887</v>
      </c>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row>
    <row r="224" spans="1:88" s="32" customFormat="1" ht="12.5" customHeight="1">
      <c r="A224" s="80"/>
      <c r="B224" s="1"/>
      <c r="C224" s="9"/>
      <c r="D224" s="1"/>
      <c r="E224" s="285"/>
      <c r="F224" s="11"/>
      <c r="G224" s="49"/>
      <c r="H224" s="20"/>
      <c r="I224" s="20"/>
      <c r="J224" s="20"/>
      <c r="K224" s="20"/>
      <c r="L224" s="20"/>
      <c r="M224" s="20"/>
      <c r="N224" s="99"/>
      <c r="O224" s="99"/>
      <c r="P224" s="99"/>
      <c r="Q224" s="99"/>
      <c r="R224" s="99"/>
      <c r="S224" s="99"/>
      <c r="T224" s="160"/>
      <c r="U224" s="160"/>
      <c r="V224" s="160"/>
      <c r="W224" s="160"/>
      <c r="X224" s="252"/>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row>
    <row r="225" spans="1:88" s="32" customFormat="1" ht="12.5" customHeight="1">
      <c r="A225" s="57"/>
      <c r="B225" s="8" t="str">
        <f>VLOOKUP(37,Textbausteine_Menu[],Hilfsgrössen!$D$2,FALSE)</f>
        <v>Gruppo Svizzera</v>
      </c>
      <c r="C225" s="10"/>
      <c r="D225" s="1"/>
      <c r="E225" s="290"/>
      <c r="F225" s="13"/>
      <c r="G225" s="49"/>
      <c r="H225" s="20"/>
      <c r="I225" s="20"/>
      <c r="J225" s="20"/>
      <c r="K225" s="20"/>
      <c r="L225" s="20"/>
      <c r="M225" s="20"/>
      <c r="N225" s="99"/>
      <c r="O225" s="99"/>
      <c r="P225" s="99"/>
      <c r="Q225" s="99"/>
      <c r="R225" s="99"/>
      <c r="S225" s="99"/>
      <c r="T225" s="160"/>
      <c r="U225" s="160"/>
      <c r="V225" s="160"/>
      <c r="W225" s="160"/>
      <c r="X225" s="252"/>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row>
    <row r="226" spans="1:88" s="32" customFormat="1" ht="12.5" customHeight="1">
      <c r="A226" s="80"/>
      <c r="B226" s="1"/>
      <c r="C226" s="9" t="str">
        <f>VLOOKUP(156,Textbausteine_102[],Hilfsgrössen!$D$2,FALSE)</f>
        <v>Logistica e produzione</v>
      </c>
      <c r="D226" s="18" t="str">
        <f>VLOOKUP(35,Textbausteine_102[],Hilfsgrössen!$D$2,FALSE)</f>
        <v>Persone</v>
      </c>
      <c r="E226" s="290" t="s">
        <v>85</v>
      </c>
      <c r="F226" s="11" t="s">
        <v>82</v>
      </c>
      <c r="G226" s="50"/>
      <c r="H226" s="174" t="s">
        <v>30</v>
      </c>
      <c r="I226" s="174" t="s">
        <v>30</v>
      </c>
      <c r="J226" s="174" t="s">
        <v>30</v>
      </c>
      <c r="K226" s="174" t="s">
        <v>30</v>
      </c>
      <c r="L226" s="174" t="s">
        <v>30</v>
      </c>
      <c r="M226" s="174" t="s">
        <v>30</v>
      </c>
      <c r="N226" s="159">
        <v>32837.25</v>
      </c>
      <c r="O226" s="159">
        <v>33363.916666666664</v>
      </c>
      <c r="P226" s="159">
        <v>32821</v>
      </c>
      <c r="Q226" s="159">
        <v>32280.416666666668</v>
      </c>
      <c r="R226" s="159">
        <v>31602</v>
      </c>
      <c r="S226" s="159">
        <v>30986</v>
      </c>
      <c r="T226" s="160">
        <v>30386</v>
      </c>
      <c r="U226" s="160">
        <v>29841</v>
      </c>
      <c r="V226" s="160">
        <v>28979</v>
      </c>
      <c r="W226" s="160">
        <v>28345</v>
      </c>
      <c r="X226" s="452" t="s">
        <v>86</v>
      </c>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row>
    <row r="227" spans="1:88" s="32" customFormat="1" ht="12.5" customHeight="1">
      <c r="A227" s="80"/>
      <c r="B227" s="1"/>
      <c r="C227" s="15" t="str">
        <f>VLOOKUP(157,Textbausteine_102[],Hilfsgrössen!$D$2,FALSE)</f>
        <v>Recapito</v>
      </c>
      <c r="D227" s="18" t="str">
        <f>VLOOKUP(35,Textbausteine_102[],Hilfsgrössen!$D$2,FALSE)</f>
        <v>Persone</v>
      </c>
      <c r="E227" s="290" t="s">
        <v>85</v>
      </c>
      <c r="F227" s="11" t="s">
        <v>82</v>
      </c>
      <c r="G227" s="49"/>
      <c r="H227" s="174" t="s">
        <v>30</v>
      </c>
      <c r="I227" s="174" t="s">
        <v>30</v>
      </c>
      <c r="J227" s="174" t="s">
        <v>30</v>
      </c>
      <c r="K227" s="174" t="s">
        <v>30</v>
      </c>
      <c r="L227" s="174" t="s">
        <v>30</v>
      </c>
      <c r="M227" s="174" t="s">
        <v>30</v>
      </c>
      <c r="N227" s="159">
        <v>23500.416666666668</v>
      </c>
      <c r="O227" s="159">
        <v>24204.75</v>
      </c>
      <c r="P227" s="159">
        <v>23707</v>
      </c>
      <c r="Q227" s="159">
        <v>23518.666666666668</v>
      </c>
      <c r="R227" s="159">
        <v>22926</v>
      </c>
      <c r="S227" s="159">
        <v>22296</v>
      </c>
      <c r="T227" s="160">
        <v>21843</v>
      </c>
      <c r="U227" s="160">
        <v>21280</v>
      </c>
      <c r="V227" s="160">
        <v>20537</v>
      </c>
      <c r="W227" s="160">
        <v>19857</v>
      </c>
      <c r="X227" s="452" t="s">
        <v>86</v>
      </c>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row>
    <row r="228" spans="1:88" s="32" customFormat="1" ht="12.5" customHeight="1">
      <c r="A228" s="80"/>
      <c r="B228" s="1"/>
      <c r="C228" s="15" t="str">
        <f>VLOOKUP(158,Textbausteine_102[],Hilfsgrössen!$D$2,FALSE)</f>
        <v>Spartizione</v>
      </c>
      <c r="D228" s="18" t="str">
        <f>VLOOKUP(35,Textbausteine_102[],Hilfsgrössen!$D$2,FALSE)</f>
        <v>Persone</v>
      </c>
      <c r="E228" s="290" t="s">
        <v>85</v>
      </c>
      <c r="F228" s="11" t="s">
        <v>82</v>
      </c>
      <c r="G228" s="49"/>
      <c r="H228" s="174" t="s">
        <v>30</v>
      </c>
      <c r="I228" s="174" t="s">
        <v>30</v>
      </c>
      <c r="J228" s="174" t="s">
        <v>30</v>
      </c>
      <c r="K228" s="174" t="s">
        <v>30</v>
      </c>
      <c r="L228" s="174" t="s">
        <v>30</v>
      </c>
      <c r="M228" s="174" t="s">
        <v>30</v>
      </c>
      <c r="N228" s="159">
        <v>3850</v>
      </c>
      <c r="O228" s="159">
        <v>3720.6666666666665</v>
      </c>
      <c r="P228" s="159">
        <v>3656</v>
      </c>
      <c r="Q228" s="159">
        <v>3551.1666666666665</v>
      </c>
      <c r="R228" s="159">
        <v>3375</v>
      </c>
      <c r="S228" s="159">
        <v>3284.6666666666665</v>
      </c>
      <c r="T228" s="160">
        <v>3120</v>
      </c>
      <c r="U228" s="160">
        <v>3057</v>
      </c>
      <c r="V228" s="160">
        <v>2959</v>
      </c>
      <c r="W228" s="160">
        <v>2995</v>
      </c>
      <c r="X228" s="452" t="s">
        <v>86</v>
      </c>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row>
    <row r="229" spans="1:88" s="32" customFormat="1" ht="12.5" customHeight="1">
      <c r="A229" s="80"/>
      <c r="B229" s="1"/>
      <c r="C229" s="15" t="str">
        <f>VLOOKUP(159,Textbausteine_102[],Hilfsgrössen!$D$2,FALSE)</f>
        <v>Esecuzione servizi finanziari</v>
      </c>
      <c r="D229" s="18" t="str">
        <f>VLOOKUP(35,Textbausteine_102[],Hilfsgrössen!$D$2,FALSE)</f>
        <v>Persone</v>
      </c>
      <c r="E229" s="290" t="s">
        <v>85</v>
      </c>
      <c r="F229" s="11" t="s">
        <v>82</v>
      </c>
      <c r="G229" s="49"/>
      <c r="H229" s="174" t="s">
        <v>30</v>
      </c>
      <c r="I229" s="174" t="s">
        <v>30</v>
      </c>
      <c r="J229" s="174" t="s">
        <v>30</v>
      </c>
      <c r="K229" s="174" t="s">
        <v>30</v>
      </c>
      <c r="L229" s="174" t="s">
        <v>30</v>
      </c>
      <c r="M229" s="174" t="s">
        <v>30</v>
      </c>
      <c r="N229" s="159">
        <v>1021.0833333333334</v>
      </c>
      <c r="O229" s="159">
        <v>1034.3333333333333</v>
      </c>
      <c r="P229" s="159">
        <v>998</v>
      </c>
      <c r="Q229" s="159">
        <v>961</v>
      </c>
      <c r="R229" s="159">
        <v>963</v>
      </c>
      <c r="S229" s="159">
        <v>987.5</v>
      </c>
      <c r="T229" s="160">
        <v>972</v>
      </c>
      <c r="U229" s="160">
        <v>1030</v>
      </c>
      <c r="V229" s="160">
        <v>935</v>
      </c>
      <c r="W229" s="160">
        <v>868</v>
      </c>
      <c r="X229" s="452" t="s">
        <v>86</v>
      </c>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row>
    <row r="230" spans="1:88" s="32" customFormat="1" ht="12.5" customHeight="1">
      <c r="A230" s="80"/>
      <c r="B230" s="1"/>
      <c r="C230" s="15" t="str">
        <f>VLOOKUP(160,Textbausteine_102[],Hilfsgrössen!$D$2,FALSE)</f>
        <v>Trasporto persone</v>
      </c>
      <c r="D230" s="18" t="str">
        <f>VLOOKUP(35,Textbausteine_102[],Hilfsgrössen!$D$2,FALSE)</f>
        <v>Persone</v>
      </c>
      <c r="E230" s="290" t="s">
        <v>85</v>
      </c>
      <c r="F230" s="11" t="s">
        <v>82</v>
      </c>
      <c r="G230" s="49"/>
      <c r="H230" s="174" t="s">
        <v>30</v>
      </c>
      <c r="I230" s="174" t="s">
        <v>30</v>
      </c>
      <c r="J230" s="174" t="s">
        <v>30</v>
      </c>
      <c r="K230" s="174" t="s">
        <v>30</v>
      </c>
      <c r="L230" s="174" t="s">
        <v>30</v>
      </c>
      <c r="M230" s="174" t="s">
        <v>30</v>
      </c>
      <c r="N230" s="159">
        <v>1379.1666666666667</v>
      </c>
      <c r="O230" s="159">
        <v>1423.75</v>
      </c>
      <c r="P230" s="159">
        <v>1549</v>
      </c>
      <c r="Q230" s="159">
        <v>1517.75</v>
      </c>
      <c r="R230" s="159">
        <v>1722</v>
      </c>
      <c r="S230" s="159">
        <v>1819.5833333333333</v>
      </c>
      <c r="T230" s="160">
        <v>1885</v>
      </c>
      <c r="U230" s="160">
        <v>1947</v>
      </c>
      <c r="V230" s="160">
        <v>2060</v>
      </c>
      <c r="W230" s="160">
        <v>2178</v>
      </c>
      <c r="X230" s="452" t="s">
        <v>86</v>
      </c>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row>
    <row r="231" spans="1:88" ht="12.5" customHeight="1">
      <c r="C231" s="15" t="str">
        <f>VLOOKUP(161,Textbausteine_102[],Hilfsgrössen!$D$2,FALSE)</f>
        <v>Trasporto merci</v>
      </c>
      <c r="D231" s="18" t="str">
        <f>VLOOKUP(35,Textbausteine_102[],Hilfsgrössen!$D$2,FALSE)</f>
        <v>Persone</v>
      </c>
      <c r="E231" s="290" t="s">
        <v>85</v>
      </c>
      <c r="F231" s="11" t="s">
        <v>82</v>
      </c>
      <c r="G231" s="49"/>
      <c r="H231" s="174" t="s">
        <v>30</v>
      </c>
      <c r="I231" s="174" t="s">
        <v>30</v>
      </c>
      <c r="J231" s="174" t="s">
        <v>30</v>
      </c>
      <c r="K231" s="174" t="s">
        <v>30</v>
      </c>
      <c r="L231" s="174" t="s">
        <v>30</v>
      </c>
      <c r="M231" s="174" t="s">
        <v>30</v>
      </c>
      <c r="N231" s="159">
        <v>1108.4166666666667</v>
      </c>
      <c r="O231" s="159">
        <v>1049.1666666666667</v>
      </c>
      <c r="P231" s="159">
        <v>963</v>
      </c>
      <c r="Q231" s="159">
        <v>836</v>
      </c>
      <c r="R231" s="159">
        <v>781</v>
      </c>
      <c r="S231" s="159">
        <v>777.66666666666674</v>
      </c>
      <c r="T231" s="160">
        <v>768</v>
      </c>
      <c r="U231" s="160">
        <v>743</v>
      </c>
      <c r="V231" s="160">
        <v>730</v>
      </c>
      <c r="W231" s="160">
        <v>718</v>
      </c>
      <c r="X231" s="452" t="s">
        <v>86</v>
      </c>
    </row>
    <row r="232" spans="1:88" ht="12.5" customHeight="1">
      <c r="C232" s="15" t="str">
        <f>VLOOKUP(162,Textbausteine_102[],Hilfsgrössen!$D$2,FALSE)</f>
        <v>altri</v>
      </c>
      <c r="D232" s="18" t="str">
        <f>VLOOKUP(35,Textbausteine_102[],Hilfsgrössen!$D$2,FALSE)</f>
        <v>Persone</v>
      </c>
      <c r="E232" s="290" t="s">
        <v>85</v>
      </c>
      <c r="F232" s="11" t="s">
        <v>82</v>
      </c>
      <c r="G232" s="49"/>
      <c r="H232" s="174" t="s">
        <v>30</v>
      </c>
      <c r="I232" s="174" t="s">
        <v>30</v>
      </c>
      <c r="J232" s="174" t="s">
        <v>30</v>
      </c>
      <c r="K232" s="174" t="s">
        <v>30</v>
      </c>
      <c r="L232" s="174" t="s">
        <v>30</v>
      </c>
      <c r="M232" s="174" t="s">
        <v>30</v>
      </c>
      <c r="N232" s="159">
        <v>1978.1666666666642</v>
      </c>
      <c r="O232" s="159">
        <v>1931.2499999999964</v>
      </c>
      <c r="P232" s="159">
        <v>1949</v>
      </c>
      <c r="Q232" s="159">
        <v>1895.8333333333335</v>
      </c>
      <c r="R232" s="159">
        <v>1835</v>
      </c>
      <c r="S232" s="159">
        <v>1820.5833333333333</v>
      </c>
      <c r="T232" s="160">
        <v>1799</v>
      </c>
      <c r="U232" s="160">
        <v>1784</v>
      </c>
      <c r="V232" s="160">
        <v>1758</v>
      </c>
      <c r="W232" s="160">
        <v>1729</v>
      </c>
      <c r="X232" s="452" t="s">
        <v>86</v>
      </c>
    </row>
    <row r="233" spans="1:88" ht="12.5" customHeight="1">
      <c r="C233" s="9" t="str">
        <f>VLOOKUP(163,Textbausteine_102[],Hilfsgrössen!$D$2,FALSE)</f>
        <v>Vendita</v>
      </c>
      <c r="D233" s="18" t="str">
        <f>VLOOKUP(35,Textbausteine_102[],Hilfsgrössen!$D$2,FALSE)</f>
        <v>Persone</v>
      </c>
      <c r="E233" s="290" t="s">
        <v>85</v>
      </c>
      <c r="F233" s="11" t="s">
        <v>82</v>
      </c>
      <c r="G233" s="49"/>
      <c r="H233" s="174" t="s">
        <v>30</v>
      </c>
      <c r="I233" s="174" t="s">
        <v>30</v>
      </c>
      <c r="J233" s="174" t="s">
        <v>30</v>
      </c>
      <c r="K233" s="174" t="s">
        <v>30</v>
      </c>
      <c r="L233" s="174" t="s">
        <v>30</v>
      </c>
      <c r="M233" s="174" t="s">
        <v>30</v>
      </c>
      <c r="N233" s="159">
        <v>10629</v>
      </c>
      <c r="O233" s="159">
        <v>10546.583333333334</v>
      </c>
      <c r="P233" s="159">
        <v>10345</v>
      </c>
      <c r="Q233" s="159">
        <v>10018.25</v>
      </c>
      <c r="R233" s="159">
        <v>9685</v>
      </c>
      <c r="S233" s="159">
        <v>9358.3333333333339</v>
      </c>
      <c r="T233" s="160">
        <v>8828</v>
      </c>
      <c r="U233" s="160">
        <v>8037</v>
      </c>
      <c r="V233" s="160">
        <v>7175</v>
      </c>
      <c r="W233" s="160">
        <v>6570</v>
      </c>
      <c r="X233" s="452" t="s">
        <v>86</v>
      </c>
    </row>
    <row r="234" spans="1:88" ht="12.5" customHeight="1">
      <c r="C234" s="15" t="str">
        <f>VLOOKUP(164,Textbausteine_102[],Hilfsgrössen!$D$2,FALSE)</f>
        <v>Vendite (livello operativo)</v>
      </c>
      <c r="D234" s="18" t="str">
        <f>VLOOKUP(35,Textbausteine_102[],Hilfsgrössen!$D$2,FALSE)</f>
        <v>Persone</v>
      </c>
      <c r="E234" s="290" t="s">
        <v>85</v>
      </c>
      <c r="F234" s="11" t="s">
        <v>82</v>
      </c>
      <c r="G234" s="49"/>
      <c r="H234" s="174" t="s">
        <v>30</v>
      </c>
      <c r="I234" s="174" t="s">
        <v>30</v>
      </c>
      <c r="J234" s="174" t="s">
        <v>30</v>
      </c>
      <c r="K234" s="174" t="s">
        <v>30</v>
      </c>
      <c r="L234" s="174" t="s">
        <v>30</v>
      </c>
      <c r="M234" s="174" t="s">
        <v>30</v>
      </c>
      <c r="N234" s="159">
        <v>9459</v>
      </c>
      <c r="O234" s="159">
        <v>9320.1666666666661</v>
      </c>
      <c r="P234" s="159">
        <v>9119</v>
      </c>
      <c r="Q234" s="159">
        <v>8818.6666666666661</v>
      </c>
      <c r="R234" s="159">
        <v>8576</v>
      </c>
      <c r="S234" s="159">
        <v>8335.3333333333339</v>
      </c>
      <c r="T234" s="160">
        <v>7899</v>
      </c>
      <c r="U234" s="160">
        <v>7194</v>
      </c>
      <c r="V234" s="160">
        <v>6405</v>
      </c>
      <c r="W234" s="160">
        <v>5812</v>
      </c>
      <c r="X234" s="452" t="s">
        <v>86</v>
      </c>
    </row>
    <row r="235" spans="1:88" ht="12.5" customHeight="1">
      <c r="C235" s="15" t="str">
        <f>VLOOKUP(165,Textbausteine_102[],Hilfsgrössen!$D$2,FALSE)</f>
        <v>altri</v>
      </c>
      <c r="D235" s="18" t="str">
        <f>VLOOKUP(35,Textbausteine_102[],Hilfsgrössen!$D$2,FALSE)</f>
        <v>Persone</v>
      </c>
      <c r="E235" s="290" t="s">
        <v>85</v>
      </c>
      <c r="F235" s="11" t="s">
        <v>82</v>
      </c>
      <c r="G235" s="49"/>
      <c r="H235" s="174" t="s">
        <v>30</v>
      </c>
      <c r="I235" s="174" t="s">
        <v>30</v>
      </c>
      <c r="J235" s="174" t="s">
        <v>30</v>
      </c>
      <c r="K235" s="174" t="s">
        <v>30</v>
      </c>
      <c r="L235" s="174" t="s">
        <v>30</v>
      </c>
      <c r="M235" s="174" t="s">
        <v>30</v>
      </c>
      <c r="N235" s="159">
        <v>1170</v>
      </c>
      <c r="O235" s="159">
        <v>1226.4166666666667</v>
      </c>
      <c r="P235" s="159">
        <v>1226</v>
      </c>
      <c r="Q235" s="159">
        <v>1199.5833333333335</v>
      </c>
      <c r="R235" s="159">
        <v>1109</v>
      </c>
      <c r="S235" s="159">
        <v>1023</v>
      </c>
      <c r="T235" s="160">
        <v>929</v>
      </c>
      <c r="U235" s="160">
        <v>843</v>
      </c>
      <c r="V235" s="160">
        <v>770</v>
      </c>
      <c r="W235" s="160">
        <v>758</v>
      </c>
      <c r="X235" s="452" t="s">
        <v>86</v>
      </c>
    </row>
    <row r="236" spans="1:88" ht="12.5" customHeight="1">
      <c r="C236" s="9" t="str">
        <f>VLOOKUP(166,Textbausteine_102[],Hilfsgrössen!$D$2,FALSE)</f>
        <v>Marketing</v>
      </c>
      <c r="D236" s="18" t="str">
        <f>VLOOKUP(35,Textbausteine_102[],Hilfsgrössen!$D$2,FALSE)</f>
        <v>Persone</v>
      </c>
      <c r="E236" s="290" t="s">
        <v>85</v>
      </c>
      <c r="F236" s="11" t="s">
        <v>82</v>
      </c>
      <c r="G236" s="49"/>
      <c r="H236" s="174" t="s">
        <v>30</v>
      </c>
      <c r="I236" s="174" t="s">
        <v>30</v>
      </c>
      <c r="J236" s="174" t="s">
        <v>30</v>
      </c>
      <c r="K236" s="174" t="s">
        <v>30</v>
      </c>
      <c r="L236" s="174" t="s">
        <v>30</v>
      </c>
      <c r="M236" s="174" t="s">
        <v>30</v>
      </c>
      <c r="N236" s="159">
        <v>1114.5833333333333</v>
      </c>
      <c r="O236" s="159">
        <v>1203.8333333333333</v>
      </c>
      <c r="P236" s="159">
        <v>1255</v>
      </c>
      <c r="Q236" s="159">
        <v>1262.0833333333333</v>
      </c>
      <c r="R236" s="159">
        <v>1344</v>
      </c>
      <c r="S236" s="159">
        <v>1457.1666666666667</v>
      </c>
      <c r="T236" s="160">
        <v>1570</v>
      </c>
      <c r="U236" s="160">
        <v>1618</v>
      </c>
      <c r="V236" s="160">
        <v>1608</v>
      </c>
      <c r="W236" s="160">
        <v>1561</v>
      </c>
      <c r="X236" s="452" t="s">
        <v>86</v>
      </c>
    </row>
    <row r="237" spans="1:88" ht="12.5" customHeight="1">
      <c r="C237" s="9" t="str">
        <f>VLOOKUP(167,Textbausteine_102[],Hilfsgrössen!$D$2,FALSE)</f>
        <v>Informatica</v>
      </c>
      <c r="D237" s="18" t="str">
        <f>VLOOKUP(35,Textbausteine_102[],Hilfsgrössen!$D$2,FALSE)</f>
        <v>Persone</v>
      </c>
      <c r="E237" s="290" t="s">
        <v>85</v>
      </c>
      <c r="F237" s="11" t="s">
        <v>82</v>
      </c>
      <c r="G237" s="49"/>
      <c r="H237" s="174" t="s">
        <v>30</v>
      </c>
      <c r="I237" s="174" t="s">
        <v>30</v>
      </c>
      <c r="J237" s="174" t="s">
        <v>30</v>
      </c>
      <c r="K237" s="174" t="s">
        <v>30</v>
      </c>
      <c r="L237" s="174" t="s">
        <v>30</v>
      </c>
      <c r="M237" s="174" t="s">
        <v>30</v>
      </c>
      <c r="N237" s="159">
        <v>1467.9166666666667</v>
      </c>
      <c r="O237" s="159">
        <v>1476.5</v>
      </c>
      <c r="P237" s="159">
        <v>1486</v>
      </c>
      <c r="Q237" s="159">
        <v>1515.9166666666667</v>
      </c>
      <c r="R237" s="159">
        <v>1553</v>
      </c>
      <c r="S237" s="159">
        <v>1596.25</v>
      </c>
      <c r="T237" s="160">
        <v>1596</v>
      </c>
      <c r="U237" s="160">
        <v>1618</v>
      </c>
      <c r="V237" s="160">
        <v>1647</v>
      </c>
      <c r="W237" s="160">
        <v>1724</v>
      </c>
      <c r="X237" s="452" t="s">
        <v>86</v>
      </c>
    </row>
    <row r="238" spans="1:88" ht="12.5" customHeight="1">
      <c r="C238" s="9" t="str">
        <f>VLOOKUP(168,Textbausteine_102[],Hilfsgrössen!$D$2,FALSE)</f>
        <v>Infrastruttura e sicurezza</v>
      </c>
      <c r="D238" s="18" t="str">
        <f>VLOOKUP(35,Textbausteine_102[],Hilfsgrössen!$D$2,FALSE)</f>
        <v>Persone</v>
      </c>
      <c r="E238" s="290" t="s">
        <v>85</v>
      </c>
      <c r="F238" s="11" t="s">
        <v>82</v>
      </c>
      <c r="G238" s="49"/>
      <c r="H238" s="174" t="s">
        <v>30</v>
      </c>
      <c r="I238" s="174" t="s">
        <v>30</v>
      </c>
      <c r="J238" s="174" t="s">
        <v>30</v>
      </c>
      <c r="K238" s="174" t="s">
        <v>30</v>
      </c>
      <c r="L238" s="174" t="s">
        <v>30</v>
      </c>
      <c r="M238" s="174" t="s">
        <v>30</v>
      </c>
      <c r="N238" s="159">
        <v>2356.75</v>
      </c>
      <c r="O238" s="159">
        <v>2080.9166666666665</v>
      </c>
      <c r="P238" s="159">
        <v>2031</v>
      </c>
      <c r="Q238" s="159">
        <v>1999.5803030303059</v>
      </c>
      <c r="R238" s="159">
        <v>1949</v>
      </c>
      <c r="S238" s="159">
        <v>1914.6666666666665</v>
      </c>
      <c r="T238" s="160">
        <v>1845</v>
      </c>
      <c r="U238" s="160">
        <v>1735</v>
      </c>
      <c r="V238" s="160">
        <v>1652</v>
      </c>
      <c r="W238" s="160">
        <v>1630</v>
      </c>
      <c r="X238" s="452" t="s">
        <v>86</v>
      </c>
    </row>
    <row r="239" spans="1:88" ht="12.5" customHeight="1">
      <c r="C239" s="15" t="str">
        <f>VLOOKUP(169,Textbausteine_102[],Hilfsgrössen!$D$2,FALSE)</f>
        <v>Esercizio e manutenzione, servizio di manutenzione</v>
      </c>
      <c r="D239" s="18" t="str">
        <f>VLOOKUP(35,Textbausteine_102[],Hilfsgrössen!$D$2,FALSE)</f>
        <v>Persone</v>
      </c>
      <c r="E239" s="290" t="s">
        <v>85</v>
      </c>
      <c r="F239" s="11" t="s">
        <v>82</v>
      </c>
      <c r="G239" s="49"/>
      <c r="H239" s="174" t="s">
        <v>30</v>
      </c>
      <c r="I239" s="174" t="s">
        <v>30</v>
      </c>
      <c r="J239" s="174" t="s">
        <v>30</v>
      </c>
      <c r="K239" s="174" t="s">
        <v>30</v>
      </c>
      <c r="L239" s="174" t="s">
        <v>30</v>
      </c>
      <c r="M239" s="174" t="s">
        <v>30</v>
      </c>
      <c r="N239" s="159">
        <v>1917.9166666666667</v>
      </c>
      <c r="O239" s="159">
        <v>1655.0833333333335</v>
      </c>
      <c r="P239" s="159">
        <v>1613</v>
      </c>
      <c r="Q239" s="159">
        <v>1597.4666666666701</v>
      </c>
      <c r="R239" s="159">
        <v>1588</v>
      </c>
      <c r="S239" s="159">
        <v>1537.75</v>
      </c>
      <c r="T239" s="160">
        <v>1481</v>
      </c>
      <c r="U239" s="160">
        <v>1392</v>
      </c>
      <c r="V239" s="160">
        <v>1315</v>
      </c>
      <c r="W239" s="160">
        <v>1286</v>
      </c>
      <c r="X239" s="452" t="s">
        <v>86</v>
      </c>
    </row>
    <row r="240" spans="1:88" ht="12.5" customHeight="1">
      <c r="C240" s="15" t="str">
        <f>VLOOKUP(170,Textbausteine_102[],Hilfsgrössen!$D$2,FALSE)</f>
        <v>Altri</v>
      </c>
      <c r="D240" s="18" t="str">
        <f>VLOOKUP(35,Textbausteine_102[],Hilfsgrössen!$D$2,FALSE)</f>
        <v>Persone</v>
      </c>
      <c r="E240" s="290" t="s">
        <v>85</v>
      </c>
      <c r="F240" s="308" t="s">
        <v>82</v>
      </c>
      <c r="G240" s="49"/>
      <c r="H240" s="174" t="s">
        <v>30</v>
      </c>
      <c r="I240" s="174" t="s">
        <v>30</v>
      </c>
      <c r="J240" s="174" t="s">
        <v>30</v>
      </c>
      <c r="K240" s="174" t="s">
        <v>30</v>
      </c>
      <c r="L240" s="174" t="s">
        <v>30</v>
      </c>
      <c r="M240" s="174" t="s">
        <v>30</v>
      </c>
      <c r="N240" s="159">
        <v>438.83333333333337</v>
      </c>
      <c r="O240" s="159">
        <v>425.83333333333337</v>
      </c>
      <c r="P240" s="159">
        <v>418</v>
      </c>
      <c r="Q240" s="159">
        <v>403</v>
      </c>
      <c r="R240" s="159">
        <v>361</v>
      </c>
      <c r="S240" s="159">
        <v>376.91666666666663</v>
      </c>
      <c r="T240" s="160">
        <v>363</v>
      </c>
      <c r="U240" s="160">
        <v>343</v>
      </c>
      <c r="V240" s="160">
        <v>337</v>
      </c>
      <c r="W240" s="160">
        <v>344</v>
      </c>
      <c r="X240" s="452" t="s">
        <v>86</v>
      </c>
    </row>
    <row r="241" spans="1:88" ht="12.5" customHeight="1">
      <c r="C241" s="9" t="str">
        <f>VLOOKUP(171,Textbausteine_102[],Hilfsgrössen!$D$2,FALSE)</f>
        <v>Funzioni direttive e Funzioni Gruppo</v>
      </c>
      <c r="D241" s="18" t="str">
        <f>VLOOKUP(35,Textbausteine_102[],Hilfsgrössen!$D$2,FALSE)</f>
        <v>Persone</v>
      </c>
      <c r="E241" s="290" t="s">
        <v>85</v>
      </c>
      <c r="F241" s="308" t="s">
        <v>82</v>
      </c>
      <c r="G241" s="51"/>
      <c r="H241" s="174" t="s">
        <v>30</v>
      </c>
      <c r="I241" s="174" t="s">
        <v>30</v>
      </c>
      <c r="J241" s="174" t="s">
        <v>30</v>
      </c>
      <c r="K241" s="174" t="s">
        <v>30</v>
      </c>
      <c r="L241" s="174" t="s">
        <v>30</v>
      </c>
      <c r="M241" s="174" t="s">
        <v>30</v>
      </c>
      <c r="N241" s="159">
        <v>2563</v>
      </c>
      <c r="O241" s="159">
        <v>2560</v>
      </c>
      <c r="P241" s="159">
        <v>2606</v>
      </c>
      <c r="Q241" s="159">
        <v>2581.3333333333335</v>
      </c>
      <c r="R241" s="159">
        <v>2623</v>
      </c>
      <c r="S241" s="159">
        <v>2757.8333333333335</v>
      </c>
      <c r="T241" s="160">
        <v>2974</v>
      </c>
      <c r="U241" s="160">
        <v>2803</v>
      </c>
      <c r="V241" s="160">
        <v>2750</v>
      </c>
      <c r="W241" s="160">
        <v>559</v>
      </c>
      <c r="X241" s="452" t="s">
        <v>86</v>
      </c>
    </row>
    <row r="242" spans="1:88" ht="12.5" customHeight="1">
      <c r="C242" s="9" t="str">
        <f>VLOOKUP(172,Textbausteine_102[],Hilfsgrössen!$D$2,FALSE)</f>
        <v>Varie funzioni</v>
      </c>
      <c r="D242" s="18" t="str">
        <f>VLOOKUP(35,Textbausteine_102[],Hilfsgrössen!$D$2,FALSE)</f>
        <v>Persone</v>
      </c>
      <c r="E242" s="290" t="s">
        <v>85</v>
      </c>
      <c r="F242" s="308" t="s">
        <v>82</v>
      </c>
      <c r="G242" s="51"/>
      <c r="H242" s="174" t="s">
        <v>30</v>
      </c>
      <c r="I242" s="174" t="s">
        <v>30</v>
      </c>
      <c r="J242" s="174" t="s">
        <v>30</v>
      </c>
      <c r="K242" s="174" t="s">
        <v>30</v>
      </c>
      <c r="L242" s="174" t="s">
        <v>30</v>
      </c>
      <c r="M242" s="174" t="s">
        <v>30</v>
      </c>
      <c r="N242" s="159">
        <v>402</v>
      </c>
      <c r="O242" s="159">
        <v>488</v>
      </c>
      <c r="P242" s="159">
        <v>463</v>
      </c>
      <c r="Q242" s="159">
        <v>299.41666666666669</v>
      </c>
      <c r="R242" s="159">
        <v>250</v>
      </c>
      <c r="S242" s="159">
        <v>256.83333333333331</v>
      </c>
      <c r="T242" s="160">
        <v>286</v>
      </c>
      <c r="U242" s="160">
        <v>312</v>
      </c>
      <c r="V242" s="160">
        <v>362</v>
      </c>
      <c r="W242" s="160">
        <v>387</v>
      </c>
      <c r="X242" s="452" t="s">
        <v>86</v>
      </c>
    </row>
    <row r="243" spans="1:88" ht="12.5" customHeight="1">
      <c r="E243" s="291"/>
      <c r="F243" s="42"/>
      <c r="G243" s="51"/>
    </row>
    <row r="244" spans="1:88" ht="12.5" customHeight="1">
      <c r="B244" s="26" t="str">
        <f>VLOOKUP(288,Textbausteine_102[],Hilfsgrössen!$D$2,FALSE)</f>
        <v>1) Escluso il personale in formazione.</v>
      </c>
      <c r="E244" s="291"/>
      <c r="F244" s="42"/>
      <c r="G244" s="52"/>
    </row>
    <row r="245" spans="1:88" ht="12.5" customHeight="1">
      <c r="B245" s="26" t="str">
        <f>VLOOKUP(289,Textbausteine_102[],Hilfsgrössen!$D$2,FALSE)</f>
        <v>2) Un'unità di personale corrisponde a un impiego a tempo pieno.</v>
      </c>
      <c r="E245" s="292"/>
      <c r="F245" s="43"/>
      <c r="G245" s="52"/>
    </row>
    <row r="246" spans="1:88" s="9" customFormat="1" ht="12.5" customHeight="1">
      <c r="A246" s="448"/>
      <c r="B246" s="26" t="str">
        <f>VLOOKUP(290,Textbausteine_102[],Hilfsgrössen!$D$2,FALSE)</f>
        <v>3) Valori medi annuali</v>
      </c>
      <c r="E246" s="285"/>
      <c r="F246" s="11"/>
      <c r="G246" s="53"/>
      <c r="H246" s="106"/>
      <c r="I246" s="106"/>
      <c r="J246" s="106"/>
      <c r="K246" s="106"/>
      <c r="L246" s="106"/>
      <c r="M246" s="106"/>
      <c r="N246" s="106"/>
      <c r="O246" s="106"/>
      <c r="P246" s="106"/>
      <c r="Q246" s="106"/>
      <c r="R246" s="106"/>
      <c r="S246" s="106"/>
      <c r="T246" s="20"/>
      <c r="U246" s="20"/>
      <c r="V246" s="20"/>
      <c r="W246" s="20"/>
      <c r="X246" s="20"/>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row>
    <row r="247" spans="1:88" ht="12.5" customHeight="1">
      <c r="B247" s="26" t="str">
        <f>VLOOKUP(291,Textbausteine_102[],Hilfsgrössen!$D$2,FALSE)</f>
        <v>4)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v>
      </c>
    </row>
    <row r="248" spans="1:88" ht="12.5" customHeight="1">
      <c r="B248" s="26" t="str">
        <f>VLOOKUP(292,Textbausteine_102[],Hilfsgrössen!$D$2,FALSE)</f>
        <v>5)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v>
      </c>
    </row>
    <row r="249" spans="1:88" ht="12.5" customHeight="1">
      <c r="B249" s="26" t="str">
        <f>VLOOKUP(293,Textbausteine_102[],Hilfsgrössen!$D$2,FALSE)</f>
        <v>6) Dati valutabili a partire dal 2010</v>
      </c>
    </row>
    <row r="250" spans="1:88" ht="12.5" customHeight="1">
      <c r="B250" s="26" t="str">
        <f>VLOOKUP(294,Textbausteine_102[],Hilfsgrössen!$D$2,FALSE)</f>
        <v>7) Dati non più valutabili a causa dell’introduzione di una nuova architettura delle funzioni a partire dal 2020</v>
      </c>
    </row>
    <row r="251" spans="1:88" ht="12.5" customHeight="1">
      <c r="C251" s="15"/>
      <c r="E251" s="288"/>
      <c r="F251" s="44"/>
      <c r="H251" s="159"/>
      <c r="I251" s="159"/>
      <c r="J251" s="159"/>
      <c r="K251" s="159"/>
      <c r="L251" s="159"/>
      <c r="M251" s="159"/>
      <c r="N251" s="20"/>
      <c r="O251" s="20"/>
      <c r="P251" s="106"/>
      <c r="Q251" s="160"/>
      <c r="R251" s="159"/>
      <c r="S251" s="159"/>
      <c r="T251" s="160"/>
      <c r="U251" s="160"/>
      <c r="V251" s="160"/>
      <c r="W251" s="160"/>
      <c r="X251" s="160"/>
    </row>
    <row r="252" spans="1:88" ht="12.5" customHeight="1">
      <c r="C252" s="15"/>
      <c r="H252" s="159"/>
      <c r="I252" s="159"/>
      <c r="J252" s="159"/>
      <c r="K252" s="159"/>
      <c r="L252" s="159"/>
      <c r="M252" s="159"/>
      <c r="N252" s="20"/>
      <c r="O252" s="20"/>
      <c r="P252" s="106"/>
      <c r="Q252" s="160"/>
      <c r="R252" s="159"/>
      <c r="S252" s="159"/>
      <c r="T252" s="160"/>
      <c r="U252" s="160"/>
      <c r="V252" s="160"/>
      <c r="W252" s="160"/>
      <c r="X252" s="160"/>
    </row>
    <row r="253" spans="1:88" s="151" customFormat="1" ht="12.5" customHeight="1">
      <c r="A253" s="61" t="s">
        <v>27</v>
      </c>
      <c r="B253" s="495" t="str">
        <f>$C$13</f>
        <v>Distribuzione per genere</v>
      </c>
      <c r="C253" s="495"/>
      <c r="D253" s="479" t="str">
        <f>VLOOKUP(32,Textbausteine_Menu[],Hilfsgrössen!$D$2,FALSE)</f>
        <v>Unità</v>
      </c>
      <c r="E253" s="286" t="str">
        <f>VLOOKUP(33,Textbausteine_Menu[],Hilfsgrössen!$D$2,FALSE)</f>
        <v>Note</v>
      </c>
      <c r="F253" s="40" t="str">
        <f>VLOOKUP(34,Textbausteine_Menu[],Hilfsgrössen!$D$2,FALSE)</f>
        <v>GRI</v>
      </c>
      <c r="G253" s="48"/>
      <c r="H253" s="157">
        <v>2004</v>
      </c>
      <c r="I253" s="157">
        <v>2005</v>
      </c>
      <c r="J253" s="157">
        <v>2006</v>
      </c>
      <c r="K253" s="157">
        <v>2007</v>
      </c>
      <c r="L253" s="157">
        <v>2008</v>
      </c>
      <c r="M253" s="157">
        <v>2009</v>
      </c>
      <c r="N253" s="157">
        <v>2010</v>
      </c>
      <c r="O253" s="157">
        <v>2011</v>
      </c>
      <c r="P253" s="157">
        <v>2012</v>
      </c>
      <c r="Q253" s="157">
        <v>2013</v>
      </c>
      <c r="R253" s="157">
        <v>2014</v>
      </c>
      <c r="S253" s="157">
        <v>2015</v>
      </c>
      <c r="T253" s="119">
        <v>2016</v>
      </c>
      <c r="U253" s="119">
        <v>2017</v>
      </c>
      <c r="V253" s="119">
        <v>2018</v>
      </c>
      <c r="W253" s="119">
        <v>2019</v>
      </c>
      <c r="X253" s="247">
        <v>2020</v>
      </c>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c r="CI253" s="112"/>
      <c r="CJ253" s="112"/>
    </row>
    <row r="254" spans="1:88" s="60" customFormat="1" ht="12.5" customHeight="1">
      <c r="A254" s="81"/>
      <c r="B254" s="495"/>
      <c r="C254" s="495"/>
      <c r="D254" s="59"/>
      <c r="E254" s="282"/>
      <c r="F254" s="39"/>
      <c r="G254" s="49"/>
      <c r="H254" s="158"/>
      <c r="I254" s="158"/>
      <c r="J254" s="158"/>
      <c r="K254" s="158"/>
      <c r="L254" s="158"/>
      <c r="M254" s="158"/>
      <c r="N254" s="158"/>
      <c r="O254" s="158"/>
      <c r="P254" s="158"/>
      <c r="Q254" s="158"/>
      <c r="R254" s="158"/>
      <c r="S254" s="158"/>
      <c r="T254" s="118"/>
      <c r="U254" s="118"/>
      <c r="V254" s="118"/>
      <c r="W254" s="118"/>
      <c r="X254" s="248"/>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c r="BE254" s="113"/>
      <c r="BF254" s="113"/>
      <c r="BG254" s="113"/>
      <c r="BH254" s="113"/>
      <c r="BI254" s="113"/>
      <c r="BJ254" s="113"/>
      <c r="BK254" s="113"/>
      <c r="BL254" s="113"/>
      <c r="BM254" s="113"/>
      <c r="BN254" s="113"/>
      <c r="BO254" s="113"/>
      <c r="BP254" s="113"/>
      <c r="BQ254" s="113"/>
      <c r="BR254" s="113"/>
      <c r="BS254" s="113"/>
      <c r="BT254" s="113"/>
      <c r="BU254" s="113"/>
      <c r="BV254" s="113"/>
      <c r="BW254" s="113"/>
      <c r="BX254" s="113"/>
      <c r="BY254" s="113"/>
      <c r="BZ254" s="113"/>
      <c r="CA254" s="113"/>
      <c r="CB254" s="113"/>
      <c r="CC254" s="113"/>
      <c r="CD254" s="113"/>
      <c r="CE254" s="113"/>
      <c r="CF254" s="113"/>
      <c r="CG254" s="113"/>
      <c r="CH254" s="113"/>
      <c r="CI254" s="113"/>
      <c r="CJ254" s="113"/>
    </row>
    <row r="255" spans="1:88" ht="12.5" customHeight="1">
      <c r="B255" s="8"/>
      <c r="D255" s="9"/>
      <c r="E255" s="287"/>
      <c r="F255" s="11"/>
      <c r="G255" s="46"/>
      <c r="X255" s="249"/>
    </row>
    <row r="256" spans="1:88" ht="12.5" customHeight="1">
      <c r="B256" s="8" t="str">
        <f>VLOOKUP(37,Textbausteine_Menu[],Hilfsgrössen!$D$2,FALSE)</f>
        <v>Gruppo Svizzera</v>
      </c>
      <c r="C256" s="8"/>
      <c r="D256" s="66"/>
      <c r="E256" s="287"/>
      <c r="F256" s="11"/>
      <c r="T256" s="106"/>
      <c r="U256" s="106"/>
      <c r="V256" s="106"/>
      <c r="W256" s="106"/>
      <c r="X256" s="250"/>
    </row>
    <row r="257" spans="1:88" ht="12.5" customHeight="1">
      <c r="C257" s="67" t="str">
        <f>VLOOKUP(181,Textbausteine_102[],Hilfsgrössen!$D$2,FALSE)</f>
        <v>Uomini</v>
      </c>
      <c r="D257" s="18" t="str">
        <f>VLOOKUP(37,Textbausteine_102[],Hilfsgrössen!$D$2,FALSE)</f>
        <v>% delle persone</v>
      </c>
      <c r="E257" s="287" t="s">
        <v>87</v>
      </c>
      <c r="F257" s="11" t="s">
        <v>82</v>
      </c>
      <c r="H257" s="20">
        <v>51.7</v>
      </c>
      <c r="I257" s="20">
        <v>51.4</v>
      </c>
      <c r="J257" s="20">
        <v>51.3</v>
      </c>
      <c r="K257" s="20">
        <v>51.1</v>
      </c>
      <c r="L257" s="20">
        <v>51.5</v>
      </c>
      <c r="M257" s="20">
        <v>51.5</v>
      </c>
      <c r="N257" s="20">
        <v>52.1</v>
      </c>
      <c r="O257" s="99">
        <v>52.3</v>
      </c>
      <c r="P257" s="99">
        <v>51.6</v>
      </c>
      <c r="Q257" s="99">
        <v>51.5</v>
      </c>
      <c r="R257" s="99">
        <v>51.3</v>
      </c>
      <c r="S257" s="99">
        <v>51.551615634518697</v>
      </c>
      <c r="T257" s="106">
        <v>51.9</v>
      </c>
      <c r="U257" s="106">
        <v>52.5</v>
      </c>
      <c r="V257" s="106">
        <v>53.74</v>
      </c>
      <c r="W257" s="106">
        <v>55</v>
      </c>
      <c r="X257" s="250">
        <v>55.911088597341099</v>
      </c>
    </row>
    <row r="258" spans="1:88" ht="12.5" customHeight="1">
      <c r="C258" s="72" t="str">
        <f>VLOOKUP(182,Textbausteine_102[],Hilfsgrössen!$D$2,FALSE)</f>
        <v>Donne</v>
      </c>
      <c r="D258" s="18" t="str">
        <f>VLOOKUP(37,Textbausteine_102[],Hilfsgrössen!$D$2,FALSE)</f>
        <v>% delle persone</v>
      </c>
      <c r="E258" s="287" t="s">
        <v>87</v>
      </c>
      <c r="F258" s="11" t="s">
        <v>82</v>
      </c>
      <c r="H258" s="20">
        <v>48.3</v>
      </c>
      <c r="I258" s="20">
        <v>48.6</v>
      </c>
      <c r="J258" s="20">
        <v>48.7</v>
      </c>
      <c r="K258" s="20">
        <v>48.9</v>
      </c>
      <c r="L258" s="20">
        <v>48.5</v>
      </c>
      <c r="M258" s="20">
        <v>48.5</v>
      </c>
      <c r="N258" s="20">
        <v>47.9</v>
      </c>
      <c r="O258" s="99">
        <v>47.7</v>
      </c>
      <c r="P258" s="99">
        <v>48.4</v>
      </c>
      <c r="Q258" s="99">
        <v>48.5</v>
      </c>
      <c r="R258" s="99">
        <v>48.7</v>
      </c>
      <c r="S258" s="99">
        <v>48.448384365481303</v>
      </c>
      <c r="T258" s="106">
        <v>48.1</v>
      </c>
      <c r="U258" s="106">
        <v>47.5</v>
      </c>
      <c r="V258" s="106">
        <v>46.26</v>
      </c>
      <c r="W258" s="106">
        <v>45</v>
      </c>
      <c r="X258" s="250">
        <v>44.088911402658873</v>
      </c>
    </row>
    <row r="259" spans="1:88" ht="12.5" customHeight="1">
      <c r="C259" s="67" t="str">
        <f>VLOOKUP(181,Textbausteine_102[],Hilfsgrössen!$D$2,FALSE)</f>
        <v>Uomini</v>
      </c>
      <c r="D259" s="18" t="str">
        <f>VLOOKUP(36,Textbausteine_102[],Hilfsgrössen!$D$2,FALSE)</f>
        <v>% dell'unità di personale</v>
      </c>
      <c r="E259" s="288" t="s">
        <v>84</v>
      </c>
      <c r="F259" s="11" t="s">
        <v>82</v>
      </c>
      <c r="H259" s="20">
        <v>63.3</v>
      </c>
      <c r="I259" s="20">
        <v>63.1</v>
      </c>
      <c r="J259" s="20">
        <v>62.9</v>
      </c>
      <c r="K259" s="20">
        <v>62.6</v>
      </c>
      <c r="L259" s="20">
        <v>62.2</v>
      </c>
      <c r="M259" s="20">
        <v>61.7</v>
      </c>
      <c r="N259" s="20">
        <v>61.2</v>
      </c>
      <c r="O259" s="99">
        <v>60.8</v>
      </c>
      <c r="P259" s="99">
        <v>60.1</v>
      </c>
      <c r="Q259" s="99">
        <v>59.9</v>
      </c>
      <c r="R259" s="99">
        <v>59.8</v>
      </c>
      <c r="S259" s="99">
        <v>59.819801842260503</v>
      </c>
      <c r="T259" s="106">
        <v>60.1</v>
      </c>
      <c r="U259" s="106">
        <v>60.7</v>
      </c>
      <c r="V259" s="106">
        <v>61.54</v>
      </c>
      <c r="W259" s="106">
        <v>62.6</v>
      </c>
      <c r="X259" s="250">
        <v>63.460750610605679</v>
      </c>
    </row>
    <row r="260" spans="1:88" ht="12.5" customHeight="1">
      <c r="C260" s="72" t="str">
        <f>VLOOKUP(182,Textbausteine_102[],Hilfsgrössen!$D$2,FALSE)</f>
        <v>Donne</v>
      </c>
      <c r="D260" s="18" t="str">
        <f>VLOOKUP(36,Textbausteine_102[],Hilfsgrössen!$D$2,FALSE)</f>
        <v>% dell'unità di personale</v>
      </c>
      <c r="E260" s="288" t="s">
        <v>84</v>
      </c>
      <c r="F260" s="11" t="s">
        <v>82</v>
      </c>
      <c r="H260" s="20">
        <v>36.700000000000003</v>
      </c>
      <c r="I260" s="20">
        <v>36.9</v>
      </c>
      <c r="J260" s="20">
        <v>37.1</v>
      </c>
      <c r="K260" s="20">
        <v>37.4</v>
      </c>
      <c r="L260" s="20">
        <v>37.799999999999997</v>
      </c>
      <c r="M260" s="20">
        <v>38.299999999999997</v>
      </c>
      <c r="N260" s="20">
        <v>38.799999999999997</v>
      </c>
      <c r="O260" s="99">
        <v>39.200000000000003</v>
      </c>
      <c r="P260" s="99">
        <v>39.9</v>
      </c>
      <c r="Q260" s="99">
        <v>40.1</v>
      </c>
      <c r="R260" s="99">
        <v>40.200000000000003</v>
      </c>
      <c r="S260" s="99">
        <v>40.180198157739603</v>
      </c>
      <c r="T260" s="106">
        <v>39.9</v>
      </c>
      <c r="U260" s="106">
        <v>39.299999999999997</v>
      </c>
      <c r="V260" s="106">
        <v>38.46</v>
      </c>
      <c r="W260" s="106">
        <v>37.4</v>
      </c>
      <c r="X260" s="250">
        <v>36.539249389394321</v>
      </c>
    </row>
    <row r="261" spans="1:88" ht="12.5" customHeight="1">
      <c r="C261" s="15"/>
      <c r="E261" s="288"/>
      <c r="F261" s="44"/>
      <c r="H261" s="159"/>
      <c r="I261" s="159"/>
      <c r="J261" s="159"/>
      <c r="K261" s="159"/>
      <c r="L261" s="159"/>
      <c r="M261" s="159"/>
      <c r="N261" s="20"/>
      <c r="O261" s="20"/>
      <c r="P261" s="106"/>
      <c r="Q261" s="160"/>
      <c r="R261" s="159"/>
      <c r="S261" s="159"/>
      <c r="T261" s="160"/>
      <c r="U261" s="160"/>
      <c r="V261" s="160"/>
      <c r="W261" s="160"/>
      <c r="X261" s="160"/>
    </row>
    <row r="262" spans="1:88" ht="12.5" customHeight="1">
      <c r="B262" s="1" t="str">
        <f>VLOOKUP(298,Textbausteine_102[],Hilfsgrössen!$D$2,FALSE)</f>
        <v>1) Escluso il personale in formazione.</v>
      </c>
      <c r="C262" s="15"/>
      <c r="E262" s="288"/>
      <c r="F262" s="44"/>
      <c r="H262" s="159"/>
      <c r="I262" s="159"/>
      <c r="J262" s="159"/>
      <c r="K262" s="159"/>
      <c r="L262" s="159"/>
      <c r="M262" s="159"/>
      <c r="N262" s="20"/>
      <c r="O262" s="20"/>
      <c r="P262" s="106"/>
      <c r="Q262" s="160"/>
      <c r="R262" s="159"/>
      <c r="S262" s="159"/>
      <c r="T262" s="160"/>
      <c r="U262" s="160"/>
      <c r="V262" s="160"/>
      <c r="W262" s="160"/>
      <c r="X262" s="160"/>
    </row>
    <row r="263" spans="1:88" ht="12.5" customHeight="1">
      <c r="B263" s="1" t="str">
        <f>VLOOKUP(299,Textbausteine_102[],Hilfsgrössen!$D$2,FALSE)</f>
        <v>2) Valori medi annuali</v>
      </c>
      <c r="C263" s="15"/>
      <c r="E263" s="288"/>
      <c r="F263" s="44"/>
      <c r="H263" s="159"/>
      <c r="I263" s="159"/>
      <c r="J263" s="159"/>
      <c r="K263" s="159"/>
      <c r="L263" s="159"/>
      <c r="M263" s="159"/>
      <c r="N263" s="20"/>
      <c r="O263" s="20"/>
      <c r="P263" s="106"/>
      <c r="Q263" s="160"/>
      <c r="R263" s="159"/>
      <c r="S263" s="159"/>
      <c r="T263" s="160"/>
      <c r="U263" s="160"/>
      <c r="V263" s="160"/>
      <c r="W263" s="160"/>
      <c r="X263" s="160"/>
    </row>
    <row r="264" spans="1:88" ht="12.5" customHeight="1">
      <c r="B264" s="1" t="str">
        <f>VLOOKUP(300,Textbausteine_102[],Hilfsgrössen!$D$2,FALSE)</f>
        <v>3) Un'unità di personale corrisponde a un impiego a tempo pieno.</v>
      </c>
      <c r="C264" s="15"/>
      <c r="E264" s="288"/>
      <c r="F264" s="44"/>
      <c r="H264" s="159"/>
      <c r="I264" s="159"/>
      <c r="J264" s="159"/>
      <c r="K264" s="159"/>
      <c r="L264" s="159"/>
      <c r="M264" s="159"/>
      <c r="N264" s="20"/>
      <c r="O264" s="20"/>
      <c r="P264" s="106"/>
      <c r="Q264" s="160"/>
      <c r="R264" s="159"/>
      <c r="S264" s="159"/>
      <c r="T264" s="160"/>
      <c r="U264" s="160"/>
      <c r="V264" s="160"/>
      <c r="W264" s="160"/>
      <c r="X264" s="160"/>
    </row>
    <row r="265" spans="1:88" ht="12.5" customHeight="1">
      <c r="C265" s="15"/>
      <c r="H265" s="159"/>
      <c r="I265" s="159"/>
      <c r="J265" s="159"/>
      <c r="K265" s="159"/>
      <c r="L265" s="159"/>
      <c r="M265" s="159"/>
      <c r="N265" s="20"/>
      <c r="O265" s="20"/>
      <c r="P265" s="106"/>
      <c r="Q265" s="160"/>
      <c r="R265" s="159"/>
      <c r="S265" s="159"/>
      <c r="T265" s="160"/>
      <c r="U265" s="160"/>
      <c r="V265" s="160"/>
      <c r="W265" s="160"/>
      <c r="X265" s="160"/>
    </row>
    <row r="266" spans="1:88" ht="12.5" customHeight="1">
      <c r="C266" s="15"/>
      <c r="H266" s="159"/>
      <c r="I266" s="159"/>
      <c r="J266" s="159"/>
      <c r="K266" s="159"/>
      <c r="L266" s="159"/>
      <c r="M266" s="159"/>
      <c r="N266" s="20"/>
      <c r="O266" s="20"/>
      <c r="P266" s="106"/>
      <c r="Q266" s="160"/>
      <c r="R266" s="159"/>
      <c r="S266" s="159"/>
      <c r="T266" s="160"/>
      <c r="U266" s="160"/>
      <c r="V266" s="160"/>
      <c r="W266" s="160"/>
      <c r="X266" s="160"/>
    </row>
    <row r="267" spans="1:88" s="60" customFormat="1" ht="12.5" customHeight="1">
      <c r="A267" s="61" t="s">
        <v>27</v>
      </c>
      <c r="B267" s="491" t="str">
        <f>$C$14</f>
        <v>Tempo parziale</v>
      </c>
      <c r="C267" s="491" t="str">
        <f>VLOOKUP(53,Textbausteine_102[],Hilfsgrössen!$D$2,FALSE)</f>
        <v>percentuale del totale di bilancio</v>
      </c>
      <c r="D267" s="479" t="str">
        <f>VLOOKUP(32,Textbausteine_Menu[],Hilfsgrössen!$D$2,FALSE)</f>
        <v>Unità</v>
      </c>
      <c r="E267" s="286" t="str">
        <f>VLOOKUP(33,Textbausteine_Menu[],Hilfsgrössen!$D$2,FALSE)</f>
        <v>Note</v>
      </c>
      <c r="F267" s="40" t="str">
        <f>VLOOKUP(34,Textbausteine_Menu[],Hilfsgrössen!$D$2,FALSE)</f>
        <v>GRI</v>
      </c>
      <c r="G267" s="47"/>
      <c r="H267" s="157">
        <v>2004</v>
      </c>
      <c r="I267" s="157">
        <v>2005</v>
      </c>
      <c r="J267" s="157">
        <v>2006</v>
      </c>
      <c r="K267" s="157">
        <v>2007</v>
      </c>
      <c r="L267" s="157">
        <v>2008</v>
      </c>
      <c r="M267" s="157">
        <v>2009</v>
      </c>
      <c r="N267" s="157">
        <v>2010</v>
      </c>
      <c r="O267" s="157">
        <v>2011</v>
      </c>
      <c r="P267" s="157">
        <v>2012</v>
      </c>
      <c r="Q267" s="157">
        <v>2013</v>
      </c>
      <c r="R267" s="157">
        <v>2014</v>
      </c>
      <c r="S267" s="157">
        <v>2015</v>
      </c>
      <c r="T267" s="119">
        <v>2016</v>
      </c>
      <c r="U267" s="119">
        <v>2017</v>
      </c>
      <c r="V267" s="119">
        <v>2018</v>
      </c>
      <c r="W267" s="119">
        <v>2019</v>
      </c>
      <c r="X267" s="247">
        <v>2020</v>
      </c>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c r="BL267" s="113"/>
      <c r="BM267" s="113"/>
      <c r="BN267" s="113"/>
      <c r="BO267" s="113"/>
      <c r="BP267" s="113"/>
      <c r="BQ267" s="113"/>
      <c r="BR267" s="113"/>
      <c r="BS267" s="113"/>
      <c r="BT267" s="113"/>
      <c r="BU267" s="113"/>
      <c r="BV267" s="113"/>
      <c r="BW267" s="113"/>
      <c r="BX267" s="113"/>
      <c r="BY267" s="113"/>
      <c r="BZ267" s="113"/>
      <c r="CA267" s="113"/>
      <c r="CB267" s="113"/>
      <c r="CC267" s="113"/>
      <c r="CD267" s="113"/>
      <c r="CE267" s="113"/>
      <c r="CF267" s="113"/>
      <c r="CG267" s="113"/>
      <c r="CH267" s="113"/>
      <c r="CI267" s="113"/>
      <c r="CJ267" s="113"/>
    </row>
    <row r="268" spans="1:88" s="60" customFormat="1" ht="12.5" customHeight="1">
      <c r="A268" s="81"/>
      <c r="B268" s="491" t="str">
        <f>VLOOKUP(53,Textbausteine_102[],Hilfsgrössen!$D$2,FALSE)</f>
        <v>percentuale del totale di bilancio</v>
      </c>
      <c r="C268" s="491" t="str">
        <f>VLOOKUP(53,Textbausteine_102[],Hilfsgrössen!$D$2,FALSE)</f>
        <v>percentuale del totale di bilancio</v>
      </c>
      <c r="D268" s="479"/>
      <c r="E268" s="283"/>
      <c r="F268" s="37"/>
      <c r="G268" s="47"/>
      <c r="H268" s="157"/>
      <c r="I268" s="157"/>
      <c r="J268" s="157"/>
      <c r="K268" s="157"/>
      <c r="L268" s="157"/>
      <c r="M268" s="157"/>
      <c r="N268" s="157"/>
      <c r="O268" s="157"/>
      <c r="P268" s="157"/>
      <c r="Q268" s="157"/>
      <c r="R268" s="157"/>
      <c r="S268" s="157"/>
      <c r="T268" s="119"/>
      <c r="U268" s="119"/>
      <c r="V268" s="119"/>
      <c r="W268" s="119"/>
      <c r="X268" s="247"/>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c r="BL268" s="113"/>
      <c r="BM268" s="113"/>
      <c r="BN268" s="113"/>
      <c r="BO268" s="113"/>
      <c r="BP268" s="113"/>
      <c r="BQ268" s="113"/>
      <c r="BR268" s="113"/>
      <c r="BS268" s="113"/>
      <c r="BT268" s="113"/>
      <c r="BU268" s="113"/>
      <c r="BV268" s="113"/>
      <c r="BW268" s="113"/>
      <c r="BX268" s="113"/>
      <c r="BY268" s="113"/>
      <c r="BZ268" s="113"/>
      <c r="CA268" s="113"/>
      <c r="CB268" s="113"/>
      <c r="CC268" s="113"/>
      <c r="CD268" s="113"/>
      <c r="CE268" s="113"/>
      <c r="CF268" s="113"/>
      <c r="CG268" s="113"/>
      <c r="CH268" s="113"/>
      <c r="CI268" s="113"/>
      <c r="CJ268" s="113"/>
    </row>
    <row r="269" spans="1:88" ht="12.5" customHeight="1">
      <c r="C269" s="8"/>
      <c r="D269" s="8"/>
      <c r="X269" s="249"/>
    </row>
    <row r="270" spans="1:88" ht="12.5" customHeight="1">
      <c r="B270" s="8" t="str">
        <f>VLOOKUP(37,Textbausteine_Menu[],Hilfsgrössen!$D$2,FALSE)</f>
        <v>Gruppo Svizzera</v>
      </c>
      <c r="C270" s="8"/>
      <c r="D270" s="8"/>
      <c r="X270" s="249"/>
    </row>
    <row r="271" spans="1:88" ht="12.5" customHeight="1">
      <c r="C271" s="8" t="str">
        <f>VLOOKUP(191,Textbausteine_102[],Hilfsgrössen!$D$2,FALSE)</f>
        <v>Grado di occupazione</v>
      </c>
      <c r="D271" s="66"/>
      <c r="X271" s="249"/>
    </row>
    <row r="272" spans="1:88" ht="12.5" customHeight="1">
      <c r="C272" s="76" t="str">
        <f>VLOOKUP(192,Textbausteine_102[],Hilfsgrössen!$D$2,FALSE)</f>
        <v>Grado di occupazione inferiore al 50%, complessivo</v>
      </c>
      <c r="D272" s="66" t="str">
        <f>VLOOKUP(21,Textbausteine_102[],Hilfsgrössen!$D$2,FALSE)</f>
        <v>%</v>
      </c>
      <c r="E272" s="283" t="s">
        <v>84</v>
      </c>
      <c r="F272" s="37" t="s">
        <v>82</v>
      </c>
      <c r="H272" s="172">
        <v>23.5</v>
      </c>
      <c r="I272" s="177">
        <v>23.8</v>
      </c>
      <c r="J272" s="177">
        <v>23.4</v>
      </c>
      <c r="K272" s="177">
        <v>23.3</v>
      </c>
      <c r="L272" s="172">
        <v>22.8</v>
      </c>
      <c r="M272" s="172">
        <v>20.9</v>
      </c>
      <c r="N272" s="99">
        <v>26.4</v>
      </c>
      <c r="O272" s="99">
        <v>26.2</v>
      </c>
      <c r="P272" s="99">
        <v>25.4</v>
      </c>
      <c r="Q272" s="99">
        <v>25.2</v>
      </c>
      <c r="R272" s="99">
        <v>24.5</v>
      </c>
      <c r="S272" s="99">
        <v>24</v>
      </c>
      <c r="T272" s="106">
        <v>23.4</v>
      </c>
      <c r="U272" s="106">
        <v>23</v>
      </c>
      <c r="V272" s="106">
        <v>22</v>
      </c>
      <c r="W272" s="106">
        <v>20.7</v>
      </c>
      <c r="X272" s="250">
        <v>19.208270067920832</v>
      </c>
    </row>
    <row r="273" spans="3:24" ht="12.5" customHeight="1">
      <c r="C273" s="76" t="str">
        <f>VLOOKUP(193,Textbausteine_102[],Hilfsgrössen!$D$2,FALSE)</f>
        <v>Grado di occupazione dal 50% all'89%, complessivo</v>
      </c>
      <c r="D273" s="66" t="str">
        <f>VLOOKUP(21,Textbausteine_102[],Hilfsgrössen!$D$2,FALSE)</f>
        <v>%</v>
      </c>
      <c r="E273" s="283" t="s">
        <v>84</v>
      </c>
      <c r="F273" s="37" t="s">
        <v>82</v>
      </c>
      <c r="H273" s="172">
        <v>18.100000000000001</v>
      </c>
      <c r="I273" s="177">
        <v>18.899999999999999</v>
      </c>
      <c r="J273" s="177">
        <v>19.899999999999999</v>
      </c>
      <c r="K273" s="177">
        <v>20.6</v>
      </c>
      <c r="L273" s="172">
        <v>21.5</v>
      </c>
      <c r="M273" s="172">
        <v>22.9</v>
      </c>
      <c r="N273" s="99">
        <v>21.6</v>
      </c>
      <c r="O273" s="99">
        <v>22.4</v>
      </c>
      <c r="P273" s="99">
        <v>23.2</v>
      </c>
      <c r="Q273" s="99">
        <v>23.9</v>
      </c>
      <c r="R273" s="99">
        <v>24.5</v>
      </c>
      <c r="S273" s="99">
        <v>24.8</v>
      </c>
      <c r="T273" s="106">
        <v>25.3</v>
      </c>
      <c r="U273" s="106">
        <v>25.6</v>
      </c>
      <c r="V273" s="106">
        <v>25.6</v>
      </c>
      <c r="W273" s="106">
        <v>26</v>
      </c>
      <c r="X273" s="250">
        <v>26.128631863596151</v>
      </c>
    </row>
    <row r="274" spans="3:24" ht="12.5" customHeight="1">
      <c r="C274" s="76" t="str">
        <f>VLOOKUP(194,Textbausteine_102[],Hilfsgrössen!$D$2,FALSE)</f>
        <v>Grado di occupazione dal 90% (tempo pieno), complessivo</v>
      </c>
      <c r="D274" s="66" t="str">
        <f>VLOOKUP(21,Textbausteine_102[],Hilfsgrössen!$D$2,FALSE)</f>
        <v>%</v>
      </c>
      <c r="E274" s="283" t="s">
        <v>84</v>
      </c>
      <c r="F274" s="37" t="s">
        <v>82</v>
      </c>
      <c r="H274" s="172">
        <v>58.4</v>
      </c>
      <c r="I274" s="172">
        <v>57.3</v>
      </c>
      <c r="J274" s="172">
        <v>56.7</v>
      </c>
      <c r="K274" s="172">
        <v>56.099999999999994</v>
      </c>
      <c r="L274" s="172">
        <v>55.7</v>
      </c>
      <c r="M274" s="172">
        <v>56.2</v>
      </c>
      <c r="N274" s="99">
        <v>52</v>
      </c>
      <c r="O274" s="99">
        <v>51.4</v>
      </c>
      <c r="P274" s="99">
        <v>51.4</v>
      </c>
      <c r="Q274" s="99">
        <v>50.9</v>
      </c>
      <c r="R274" s="99">
        <v>50.9</v>
      </c>
      <c r="S274" s="99">
        <v>51.2</v>
      </c>
      <c r="T274" s="106">
        <v>51.2</v>
      </c>
      <c r="U274" s="106">
        <v>51.4</v>
      </c>
      <c r="V274" s="106">
        <v>52.4</v>
      </c>
      <c r="W274" s="106">
        <v>53.3</v>
      </c>
      <c r="X274" s="250">
        <v>54.663098068483073</v>
      </c>
    </row>
    <row r="275" spans="3:24" ht="12.5" customHeight="1">
      <c r="C275" s="66"/>
      <c r="D275" s="66"/>
      <c r="H275" s="177"/>
      <c r="I275" s="177"/>
      <c r="J275" s="177"/>
      <c r="K275" s="177"/>
      <c r="L275" s="172"/>
      <c r="M275" s="172"/>
      <c r="T275" s="106"/>
      <c r="U275" s="106"/>
      <c r="V275" s="106"/>
      <c r="W275" s="106"/>
      <c r="X275" s="250"/>
    </row>
    <row r="276" spans="3:24" ht="12.5" customHeight="1">
      <c r="C276" s="8" t="str">
        <f>VLOOKUP(195,Textbausteine_102[],Hilfsgrössen!$D$2,FALSE)</f>
        <v>Grado di occupazione, uomini</v>
      </c>
      <c r="D276" s="66"/>
      <c r="F276" s="37" t="s">
        <v>82</v>
      </c>
      <c r="H276" s="177"/>
      <c r="I276" s="177"/>
      <c r="J276" s="177"/>
      <c r="K276" s="177"/>
      <c r="L276" s="172"/>
      <c r="M276" s="172"/>
      <c r="T276" s="106"/>
      <c r="U276" s="106"/>
      <c r="V276" s="106"/>
      <c r="W276" s="106"/>
      <c r="X276" s="250"/>
    </row>
    <row r="277" spans="3:24" ht="12.5" customHeight="1">
      <c r="C277" s="76" t="str">
        <f>VLOOKUP(196,Textbausteine_102[],Hilfsgrössen!$D$2,FALSE)</f>
        <v>Grado di occupazione inferiore al 50%, uomini</v>
      </c>
      <c r="D277" s="66" t="str">
        <f>VLOOKUP(21,Textbausteine_102[],Hilfsgrössen!$D$2,FALSE)</f>
        <v>%</v>
      </c>
      <c r="E277" s="283" t="s">
        <v>84</v>
      </c>
      <c r="F277" s="37" t="s">
        <v>82</v>
      </c>
      <c r="H277" s="219">
        <v>6.6</v>
      </c>
      <c r="I277" s="238">
        <v>6.9</v>
      </c>
      <c r="J277" s="238">
        <v>6.6</v>
      </c>
      <c r="K277" s="238">
        <v>6.8</v>
      </c>
      <c r="L277" s="219">
        <v>7.7</v>
      </c>
      <c r="M277" s="219">
        <v>7.2</v>
      </c>
      <c r="N277" s="99">
        <v>15.2</v>
      </c>
      <c r="O277" s="99">
        <v>16.3</v>
      </c>
      <c r="P277" s="99">
        <v>16.3</v>
      </c>
      <c r="Q277" s="99">
        <v>16.7</v>
      </c>
      <c r="R277" s="99">
        <v>16.5</v>
      </c>
      <c r="S277" s="99">
        <v>16.5</v>
      </c>
      <c r="T277" s="106">
        <v>16.3</v>
      </c>
      <c r="U277" s="106">
        <v>15.9</v>
      </c>
      <c r="V277" s="106">
        <v>15.4</v>
      </c>
      <c r="W277" s="106">
        <v>14.5</v>
      </c>
      <c r="X277" s="250">
        <v>13.547124725112953</v>
      </c>
    </row>
    <row r="278" spans="3:24" ht="12.5" customHeight="1">
      <c r="C278" s="76" t="str">
        <f>VLOOKUP(197,Textbausteine_102[],Hilfsgrössen!$D$2,FALSE)</f>
        <v>Grado di occupazione dal 50% all'89%, uomini</v>
      </c>
      <c r="D278" s="66" t="str">
        <f>VLOOKUP(21,Textbausteine_102[],Hilfsgrössen!$D$2,FALSE)</f>
        <v>%</v>
      </c>
      <c r="E278" s="283" t="s">
        <v>84</v>
      </c>
      <c r="F278" s="37" t="s">
        <v>82</v>
      </c>
      <c r="H278" s="219">
        <v>7.1</v>
      </c>
      <c r="I278" s="238">
        <v>7.6</v>
      </c>
      <c r="J278" s="238">
        <v>8.1999999999999993</v>
      </c>
      <c r="K278" s="238">
        <v>9</v>
      </c>
      <c r="L278" s="219">
        <v>9.8000000000000007</v>
      </c>
      <c r="M278" s="219">
        <v>10.1</v>
      </c>
      <c r="N278" s="114">
        <v>9.3000000000000007</v>
      </c>
      <c r="O278" s="114">
        <v>9.8000000000000007</v>
      </c>
      <c r="P278" s="99">
        <v>10.3</v>
      </c>
      <c r="Q278" s="99">
        <v>10.8</v>
      </c>
      <c r="R278" s="99">
        <v>11.4</v>
      </c>
      <c r="S278" s="99">
        <v>11.3</v>
      </c>
      <c r="T278" s="106">
        <v>11.7</v>
      </c>
      <c r="U278" s="106">
        <v>12</v>
      </c>
      <c r="V278" s="106">
        <v>12.2</v>
      </c>
      <c r="W278" s="106">
        <v>12.7</v>
      </c>
      <c r="X278" s="250">
        <v>12.973974476632421</v>
      </c>
    </row>
    <row r="279" spans="3:24" ht="12.5" customHeight="1">
      <c r="C279" s="76" t="str">
        <f>VLOOKUP(198,Textbausteine_102[],Hilfsgrössen!$D$2,FALSE)</f>
        <v>Grado di occupazione dal 90% (tempo pieno), uomini</v>
      </c>
      <c r="D279" s="66" t="str">
        <f>VLOOKUP(21,Textbausteine_102[],Hilfsgrössen!$D$2,FALSE)</f>
        <v>%</v>
      </c>
      <c r="E279" s="283" t="s">
        <v>84</v>
      </c>
      <c r="F279" s="37" t="s">
        <v>82</v>
      </c>
      <c r="H279" s="172">
        <v>86.3</v>
      </c>
      <c r="I279" s="172">
        <v>85.5</v>
      </c>
      <c r="J279" s="172">
        <v>85.2</v>
      </c>
      <c r="K279" s="172">
        <v>84.2</v>
      </c>
      <c r="L279" s="172">
        <v>82.5</v>
      </c>
      <c r="M279" s="172">
        <v>82.7</v>
      </c>
      <c r="N279" s="99">
        <v>75.5</v>
      </c>
      <c r="O279" s="99">
        <v>73.900000000000006</v>
      </c>
      <c r="P279" s="99">
        <v>73.400000000000006</v>
      </c>
      <c r="Q279" s="99">
        <v>72.5</v>
      </c>
      <c r="R279" s="99">
        <v>72.099999999999994</v>
      </c>
      <c r="S279" s="99">
        <v>72.2</v>
      </c>
      <c r="T279" s="106">
        <v>72</v>
      </c>
      <c r="U279" s="106">
        <v>72</v>
      </c>
      <c r="V279" s="106">
        <v>72.400000000000006</v>
      </c>
      <c r="W279" s="106">
        <v>72.8</v>
      </c>
      <c r="X279" s="250">
        <v>73.478900798254472</v>
      </c>
    </row>
    <row r="280" spans="3:24" ht="12.5" customHeight="1">
      <c r="C280" s="66"/>
      <c r="D280" s="66"/>
      <c r="H280" s="177"/>
      <c r="I280" s="177"/>
      <c r="J280" s="177"/>
      <c r="K280" s="177"/>
      <c r="L280" s="172"/>
      <c r="M280" s="172"/>
      <c r="T280" s="106"/>
      <c r="U280" s="106"/>
      <c r="V280" s="106"/>
      <c r="W280" s="106"/>
      <c r="X280" s="250"/>
    </row>
    <row r="281" spans="3:24" ht="12.5" customHeight="1">
      <c r="C281" s="8" t="str">
        <f>VLOOKUP(199,Textbausteine_102[],Hilfsgrössen!$D$2,FALSE)</f>
        <v>Grado di occupazione, donne</v>
      </c>
      <c r="D281" s="66"/>
      <c r="F281" s="37" t="s">
        <v>82</v>
      </c>
      <c r="G281" s="49"/>
      <c r="H281" s="177"/>
      <c r="I281" s="177"/>
      <c r="J281" s="177"/>
      <c r="K281" s="177"/>
      <c r="L281" s="172"/>
      <c r="M281" s="172"/>
      <c r="T281" s="106"/>
      <c r="U281" s="106"/>
      <c r="V281" s="106"/>
      <c r="W281" s="106"/>
      <c r="X281" s="250"/>
    </row>
    <row r="282" spans="3:24" ht="12.5" customHeight="1">
      <c r="C282" s="76" t="str">
        <f>VLOOKUP(200,Textbausteine_102[],Hilfsgrössen!$D$2,FALSE)</f>
        <v>Grado di occupazione inferiore al 50%, donne</v>
      </c>
      <c r="D282" s="66" t="str">
        <f>VLOOKUP(21,Textbausteine_102[],Hilfsgrössen!$D$2,FALSE)</f>
        <v>%</v>
      </c>
      <c r="E282" s="283" t="s">
        <v>84</v>
      </c>
      <c r="F282" s="37" t="s">
        <v>82</v>
      </c>
      <c r="G282" s="49"/>
      <c r="H282" s="172">
        <v>41.6</v>
      </c>
      <c r="I282" s="177">
        <v>41.7</v>
      </c>
      <c r="J282" s="177">
        <v>41.1</v>
      </c>
      <c r="K282" s="177">
        <v>40.6</v>
      </c>
      <c r="L282" s="172">
        <v>38.700000000000003</v>
      </c>
      <c r="M282" s="172">
        <v>35.5</v>
      </c>
      <c r="N282" s="99">
        <v>38.4</v>
      </c>
      <c r="O282" s="99">
        <v>37.1</v>
      </c>
      <c r="P282" s="99">
        <v>35.6</v>
      </c>
      <c r="Q282" s="99">
        <v>34.6</v>
      </c>
      <c r="R282" s="99">
        <v>33.5</v>
      </c>
      <c r="S282" s="99">
        <v>32.4</v>
      </c>
      <c r="T282" s="106">
        <v>31.6</v>
      </c>
      <c r="U282" s="106">
        <v>31.3</v>
      </c>
      <c r="V282" s="106">
        <v>30.2</v>
      </c>
      <c r="W282" s="106">
        <v>28.6</v>
      </c>
      <c r="X282" s="250">
        <v>26.762542053310607</v>
      </c>
    </row>
    <row r="283" spans="3:24" ht="12.5" customHeight="1">
      <c r="C283" s="76" t="str">
        <f>VLOOKUP(201,Textbausteine_102[],Hilfsgrössen!$D$2,FALSE)</f>
        <v>Grado di occupazione dal 50% all'89%, donne</v>
      </c>
      <c r="D283" s="66" t="str">
        <f>VLOOKUP(21,Textbausteine_102[],Hilfsgrössen!$D$2,FALSE)</f>
        <v>%</v>
      </c>
      <c r="E283" s="283" t="s">
        <v>84</v>
      </c>
      <c r="F283" s="37" t="s">
        <v>82</v>
      </c>
      <c r="G283" s="49"/>
      <c r="H283" s="172">
        <v>30</v>
      </c>
      <c r="I283" s="177">
        <v>30.8</v>
      </c>
      <c r="J283" s="177">
        <v>32.1</v>
      </c>
      <c r="K283" s="177">
        <v>32.700000000000003</v>
      </c>
      <c r="L283" s="172">
        <v>33.9</v>
      </c>
      <c r="M283" s="172">
        <v>36.5</v>
      </c>
      <c r="N283" s="99">
        <v>35.1</v>
      </c>
      <c r="O283" s="99">
        <v>36.1</v>
      </c>
      <c r="P283" s="99">
        <v>37.4</v>
      </c>
      <c r="Q283" s="99">
        <v>38.4</v>
      </c>
      <c r="R283" s="99">
        <v>39.299999999999997</v>
      </c>
      <c r="S283" s="99">
        <v>40</v>
      </c>
      <c r="T283" s="106">
        <v>41</v>
      </c>
      <c r="U283" s="106">
        <v>41.6</v>
      </c>
      <c r="V283" s="106">
        <v>42.1</v>
      </c>
      <c r="W283" s="106">
        <v>42.94</v>
      </c>
      <c r="X283" s="250">
        <v>43.682298791082751</v>
      </c>
    </row>
    <row r="284" spans="3:24" ht="12.5" customHeight="1">
      <c r="C284" s="76" t="str">
        <f>VLOOKUP(202,Textbausteine_102[],Hilfsgrössen!$D$2,FALSE)</f>
        <v>Grado di occupazione dal 90% (tempo pieno), donne</v>
      </c>
      <c r="D284" s="66" t="str">
        <f>VLOOKUP(21,Textbausteine_102[],Hilfsgrössen!$D$2,FALSE)</f>
        <v>%</v>
      </c>
      <c r="E284" s="283" t="s">
        <v>84</v>
      </c>
      <c r="F284" s="37" t="s">
        <v>82</v>
      </c>
      <c r="G284" s="49"/>
      <c r="H284" s="172">
        <v>28.400000000000006</v>
      </c>
      <c r="I284" s="172">
        <v>27.5</v>
      </c>
      <c r="J284" s="172">
        <v>26.799999999999997</v>
      </c>
      <c r="K284" s="172">
        <v>26.699999999999989</v>
      </c>
      <c r="L284" s="172">
        <v>27.400000000000006</v>
      </c>
      <c r="M284" s="172">
        <v>28</v>
      </c>
      <c r="N284" s="99">
        <v>26.5</v>
      </c>
      <c r="O284" s="99">
        <v>26.8</v>
      </c>
      <c r="P284" s="99">
        <v>27</v>
      </c>
      <c r="Q284" s="99">
        <v>27</v>
      </c>
      <c r="R284" s="99">
        <v>27.2</v>
      </c>
      <c r="S284" s="99">
        <v>27.6</v>
      </c>
      <c r="T284" s="106">
        <v>27.4</v>
      </c>
      <c r="U284" s="106">
        <v>27.1</v>
      </c>
      <c r="V284" s="106">
        <v>27.7</v>
      </c>
      <c r="W284" s="106">
        <v>28.4</v>
      </c>
      <c r="X284" s="250">
        <v>29.555159155606418</v>
      </c>
    </row>
    <row r="285" spans="3:24" ht="12.5" customHeight="1">
      <c r="C285" s="66"/>
      <c r="D285" s="66"/>
      <c r="G285" s="49"/>
      <c r="H285" s="177"/>
      <c r="I285" s="177"/>
      <c r="J285" s="177"/>
      <c r="K285" s="177"/>
      <c r="L285" s="172"/>
      <c r="M285" s="172"/>
      <c r="T285" s="106"/>
      <c r="U285" s="106"/>
      <c r="V285" s="106"/>
      <c r="W285" s="106"/>
      <c r="X285" s="250"/>
    </row>
    <row r="286" spans="3:24" ht="12.5" customHeight="1">
      <c r="C286" s="8" t="str">
        <f>VLOOKUP(203,Textbausteine_102[],Hilfsgrössen!$D$2,FALSE)</f>
        <v>Grado di occupazione, quadri</v>
      </c>
      <c r="D286" s="66"/>
      <c r="E286" s="99"/>
      <c r="F286" s="37" t="s">
        <v>82</v>
      </c>
      <c r="G286" s="49"/>
      <c r="H286" s="177"/>
      <c r="I286" s="177"/>
      <c r="J286" s="177"/>
      <c r="K286" s="177"/>
      <c r="L286" s="172"/>
      <c r="M286" s="177"/>
      <c r="T286" s="106"/>
      <c r="U286" s="106"/>
      <c r="V286" s="106"/>
      <c r="W286" s="106"/>
      <c r="X286" s="250"/>
    </row>
    <row r="287" spans="3:24" ht="12.5" customHeight="1">
      <c r="C287" s="76" t="str">
        <f>VLOOKUP(204,Textbausteine_102[],Hilfsgrössen!$D$2,FALSE)</f>
        <v>Grado di occupazione inferiore al 90% (tempo parziale), quadri</v>
      </c>
      <c r="D287" s="66" t="str">
        <f>VLOOKUP(21,Textbausteine_102[],Hilfsgrössen!$D$2,FALSE)</f>
        <v>%</v>
      </c>
      <c r="E287" s="99" t="s">
        <v>88</v>
      </c>
      <c r="F287" s="37" t="s">
        <v>82</v>
      </c>
      <c r="G287" s="49"/>
      <c r="H287" s="178" t="s">
        <v>30</v>
      </c>
      <c r="I287" s="178" t="s">
        <v>30</v>
      </c>
      <c r="J287" s="178" t="s">
        <v>30</v>
      </c>
      <c r="K287" s="178" t="s">
        <v>30</v>
      </c>
      <c r="L287" s="388">
        <v>7.4321837240937825</v>
      </c>
      <c r="M287" s="388">
        <v>7.9040128065017621</v>
      </c>
      <c r="N287" s="386">
        <v>7.5500428422476169</v>
      </c>
      <c r="O287" s="386">
        <v>7.8</v>
      </c>
      <c r="P287" s="386">
        <v>7.6</v>
      </c>
      <c r="Q287" s="386">
        <v>7.8</v>
      </c>
      <c r="R287" s="386">
        <v>8.4</v>
      </c>
      <c r="S287" s="386">
        <v>8.6999999999999993</v>
      </c>
      <c r="T287" s="106">
        <v>11.9</v>
      </c>
      <c r="U287" s="106">
        <v>12.4</v>
      </c>
      <c r="V287" s="106">
        <v>12.2</v>
      </c>
      <c r="W287" s="106">
        <v>12.8</v>
      </c>
      <c r="X287" s="250">
        <v>12.936866672575265</v>
      </c>
    </row>
    <row r="288" spans="3:24" ht="12.5" customHeight="1">
      <c r="C288" s="76" t="str">
        <f>VLOOKUP(205,Textbausteine_102[],Hilfsgrössen!$D$2,FALSE)</f>
        <v>Grado di occupazione inferiore al 90% (tempo parziale), quadri, uomini</v>
      </c>
      <c r="D288" s="66" t="str">
        <f>VLOOKUP(21,Textbausteine_102[],Hilfsgrössen!$D$2,FALSE)</f>
        <v>%</v>
      </c>
      <c r="E288" s="99" t="s">
        <v>88</v>
      </c>
      <c r="F288" s="37" t="s">
        <v>82</v>
      </c>
      <c r="H288" s="178" t="s">
        <v>30</v>
      </c>
      <c r="I288" s="178" t="s">
        <v>30</v>
      </c>
      <c r="J288" s="178" t="s">
        <v>30</v>
      </c>
      <c r="K288" s="178" t="s">
        <v>30</v>
      </c>
      <c r="L288" s="388">
        <v>3.7338018888644844</v>
      </c>
      <c r="M288" s="388">
        <v>3.7744993505612312</v>
      </c>
      <c r="N288" s="386">
        <v>3.2079841416262682</v>
      </c>
      <c r="O288" s="386">
        <v>3.2753661087866108</v>
      </c>
      <c r="P288" s="386">
        <v>3.6</v>
      </c>
      <c r="Q288" s="386">
        <v>3.6</v>
      </c>
      <c r="R288" s="386">
        <v>3.7</v>
      </c>
      <c r="S288" s="386">
        <v>3.8</v>
      </c>
      <c r="T288" s="364">
        <v>5.8</v>
      </c>
      <c r="U288" s="364">
        <v>6.4</v>
      </c>
      <c r="V288" s="364">
        <v>6.6</v>
      </c>
      <c r="W288" s="364">
        <v>7.2</v>
      </c>
      <c r="X288" s="392">
        <v>7.5256383523211925</v>
      </c>
    </row>
    <row r="289" spans="1:88" ht="12.5" customHeight="1">
      <c r="C289" s="76" t="str">
        <f>VLOOKUP(206,Textbausteine_102[],Hilfsgrössen!$D$2,FALSE)</f>
        <v>Grado di occupazione inferiore al 90% (tempo parziale), quadri, donne</v>
      </c>
      <c r="D289" s="66" t="str">
        <f>VLOOKUP(21,Textbausteine_102[],Hilfsgrössen!$D$2,FALSE)</f>
        <v>%</v>
      </c>
      <c r="E289" s="99" t="s">
        <v>88</v>
      </c>
      <c r="F289" s="37" t="s">
        <v>82</v>
      </c>
      <c r="H289" s="178" t="s">
        <v>30</v>
      </c>
      <c r="I289" s="178" t="s">
        <v>30</v>
      </c>
      <c r="J289" s="178" t="s">
        <v>30</v>
      </c>
      <c r="K289" s="178" t="s">
        <v>30</v>
      </c>
      <c r="L289" s="172">
        <v>22.319591803677003</v>
      </c>
      <c r="M289" s="172">
        <v>23.55229687266198</v>
      </c>
      <c r="N289" s="99">
        <v>23.28856624319419</v>
      </c>
      <c r="O289" s="99">
        <v>23.5</v>
      </c>
      <c r="P289" s="99">
        <v>22.1</v>
      </c>
      <c r="Q289" s="99">
        <v>22.2</v>
      </c>
      <c r="R289" s="99">
        <v>24.6</v>
      </c>
      <c r="S289" s="99">
        <v>25.3</v>
      </c>
      <c r="T289" s="106">
        <v>31.9</v>
      </c>
      <c r="U289" s="106">
        <v>32.1</v>
      </c>
      <c r="V289" s="106">
        <v>31</v>
      </c>
      <c r="W289" s="106">
        <v>31.2</v>
      </c>
      <c r="X289" s="250">
        <v>32.037470725995334</v>
      </c>
    </row>
    <row r="291" spans="1:88" ht="12.5" customHeight="1">
      <c r="B291" s="26" t="str">
        <f>VLOOKUP(308,Textbausteine_102[],Hilfsgrössen!$D$2,FALSE)</f>
        <v>1) Escluso il personale in formazione.</v>
      </c>
    </row>
    <row r="292" spans="1:88" ht="12.5" customHeight="1">
      <c r="B292" s="26" t="str">
        <f>VLOOKUP(309,Textbausteine_102[],Hilfsgrössen!$D$2,FALSE)</f>
        <v>2)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v>
      </c>
    </row>
    <row r="293" spans="1:88" ht="12.5" customHeight="1">
      <c r="B293" s="26" t="str">
        <f>VLOOKUP(310,Textbausteine_102[],Hilfsgrössen!$D$2,FALSE)</f>
        <v>3) Valori medi annuali</v>
      </c>
    </row>
    <row r="294" spans="1:88" ht="12.5" customHeight="1">
      <c r="B294" s="26" t="str">
        <f>VLOOKUP(311,Textbausteine_102[],Hilfsgrössen!$D$2,FALSE)</f>
        <v>4) I quadri sono collaboratori con funzioni direttive, specialistiche o altamente qualificate.</v>
      </c>
      <c r="G294" s="48"/>
    </row>
    <row r="295" spans="1:88" ht="12.5" customHeight="1">
      <c r="G295" s="48"/>
    </row>
    <row r="296" spans="1:88" ht="12.5" customHeight="1">
      <c r="G296" s="49"/>
    </row>
    <row r="297" spans="1:88" s="60" customFormat="1" ht="12.5" customHeight="1">
      <c r="A297" s="61" t="s">
        <v>27</v>
      </c>
      <c r="B297" s="492" t="str">
        <f>$C$15</f>
        <v>Rapporto d'impiego</v>
      </c>
      <c r="C297" s="492"/>
      <c r="D297" s="479" t="str">
        <f>VLOOKUP(32,Textbausteine_Menu[],Hilfsgrössen!$D$2,FALSE)</f>
        <v>Unità</v>
      </c>
      <c r="E297" s="286" t="str">
        <f>VLOOKUP(33,Textbausteine_Menu[],Hilfsgrössen!$D$2,FALSE)</f>
        <v>Note</v>
      </c>
      <c r="F297" s="40" t="str">
        <f>VLOOKUP(34,Textbausteine_Menu[],Hilfsgrössen!$D$2,FALSE)</f>
        <v>GRI</v>
      </c>
      <c r="G297" s="46"/>
      <c r="H297" s="157">
        <v>2004</v>
      </c>
      <c r="I297" s="157">
        <v>2005</v>
      </c>
      <c r="J297" s="157">
        <v>2006</v>
      </c>
      <c r="K297" s="157">
        <v>2007</v>
      </c>
      <c r="L297" s="157">
        <v>2008</v>
      </c>
      <c r="M297" s="157">
        <v>2009</v>
      </c>
      <c r="N297" s="157">
        <v>2010</v>
      </c>
      <c r="O297" s="157">
        <v>2011</v>
      </c>
      <c r="P297" s="157">
        <v>2012</v>
      </c>
      <c r="Q297" s="157">
        <v>2013</v>
      </c>
      <c r="R297" s="157">
        <v>2014</v>
      </c>
      <c r="S297" s="157">
        <v>2015</v>
      </c>
      <c r="T297" s="119">
        <v>2016</v>
      </c>
      <c r="U297" s="119">
        <v>2017</v>
      </c>
      <c r="V297" s="119">
        <v>2018</v>
      </c>
      <c r="W297" s="119">
        <v>2019</v>
      </c>
      <c r="X297" s="247">
        <v>2020</v>
      </c>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c r="BL297" s="113"/>
      <c r="BM297" s="113"/>
      <c r="BN297" s="113"/>
      <c r="BO297" s="113"/>
      <c r="BP297" s="113"/>
      <c r="BQ297" s="113"/>
      <c r="BR297" s="113"/>
      <c r="BS297" s="113"/>
      <c r="BT297" s="113"/>
      <c r="BU297" s="113"/>
      <c r="BV297" s="113"/>
      <c r="BW297" s="113"/>
      <c r="BX297" s="113"/>
      <c r="BY297" s="113"/>
      <c r="BZ297" s="113"/>
      <c r="CA297" s="113"/>
      <c r="CB297" s="113"/>
      <c r="CC297" s="113"/>
      <c r="CD297" s="113"/>
      <c r="CE297" s="113"/>
      <c r="CF297" s="113"/>
      <c r="CG297" s="113"/>
      <c r="CH297" s="113"/>
      <c r="CI297" s="113"/>
      <c r="CJ297" s="113"/>
    </row>
    <row r="298" spans="1:88" s="60" customFormat="1" ht="12.5" customHeight="1">
      <c r="A298" s="81"/>
      <c r="B298" s="492"/>
      <c r="C298" s="492"/>
      <c r="D298" s="479"/>
      <c r="E298" s="283"/>
      <c r="F298" s="37"/>
      <c r="G298" s="49"/>
      <c r="H298" s="157"/>
      <c r="I298" s="157"/>
      <c r="J298" s="157"/>
      <c r="K298" s="157"/>
      <c r="L298" s="157"/>
      <c r="M298" s="157"/>
      <c r="N298" s="157"/>
      <c r="O298" s="157"/>
      <c r="P298" s="157"/>
      <c r="Q298" s="157"/>
      <c r="R298" s="157"/>
      <c r="S298" s="157"/>
      <c r="T298" s="119"/>
      <c r="U298" s="119"/>
      <c r="V298" s="119"/>
      <c r="W298" s="119"/>
      <c r="X298" s="247"/>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c r="BL298" s="113"/>
      <c r="BM298" s="113"/>
      <c r="BN298" s="113"/>
      <c r="BO298" s="113"/>
      <c r="BP298" s="113"/>
      <c r="BQ298" s="113"/>
      <c r="BR298" s="113"/>
      <c r="BS298" s="113"/>
      <c r="BT298" s="113"/>
      <c r="BU298" s="113"/>
      <c r="BV298" s="113"/>
      <c r="BW298" s="113"/>
      <c r="BX298" s="113"/>
      <c r="BY298" s="113"/>
      <c r="BZ298" s="113"/>
      <c r="CA298" s="113"/>
      <c r="CB298" s="113"/>
      <c r="CC298" s="113"/>
      <c r="CD298" s="113"/>
      <c r="CE298" s="113"/>
      <c r="CF298" s="113"/>
      <c r="CG298" s="113"/>
      <c r="CH298" s="113"/>
      <c r="CI298" s="113"/>
      <c r="CJ298" s="113"/>
    </row>
    <row r="299" spans="1:88" ht="12.5" customHeight="1">
      <c r="C299" s="8"/>
      <c r="D299" s="9"/>
      <c r="G299" s="49"/>
      <c r="X299" s="249"/>
    </row>
    <row r="300" spans="1:88" ht="12.5" customHeight="1">
      <c r="B300" s="8" t="str">
        <f>VLOOKUP(37,Textbausteine_Menu[],Hilfsgrössen!$D$2,FALSE)</f>
        <v>Gruppo Svizzera</v>
      </c>
      <c r="D300" s="8"/>
      <c r="E300" s="283" t="s">
        <v>87</v>
      </c>
      <c r="G300" s="49"/>
      <c r="H300" s="116"/>
      <c r="I300" s="116"/>
      <c r="J300" s="116"/>
      <c r="K300" s="116"/>
      <c r="L300" s="116"/>
      <c r="M300" s="116"/>
      <c r="N300" s="116"/>
      <c r="O300" s="116"/>
      <c r="P300" s="116"/>
      <c r="Q300" s="116"/>
      <c r="R300" s="116"/>
      <c r="S300" s="116"/>
      <c r="T300" s="116"/>
      <c r="U300" s="116"/>
      <c r="V300" s="116"/>
      <c r="W300" s="116"/>
      <c r="X300" s="253"/>
    </row>
    <row r="301" spans="1:88" ht="12.5" customHeight="1">
      <c r="C301" s="18" t="str">
        <f>VLOOKUP(211,Textbausteine_102[],Hilfsgrössen!$D$2,FALSE)</f>
        <v>Legge sul personale federale</v>
      </c>
      <c r="D301" s="18"/>
      <c r="G301" s="49"/>
      <c r="T301" s="116"/>
      <c r="U301" s="116"/>
      <c r="V301" s="116"/>
      <c r="W301" s="116"/>
      <c r="X301" s="253"/>
    </row>
    <row r="302" spans="1:88" ht="12.5" customHeight="1">
      <c r="C302" s="19" t="str">
        <f>VLOOKUP(212,Textbausteine_102[],Hilfsgrössen!$D$2,FALSE)</f>
        <v>CCL Posta</v>
      </c>
      <c r="D302" s="18" t="str">
        <f>VLOOKUP(36,Textbausteine_102[],Hilfsgrössen!$D$2,FALSE)</f>
        <v>% dell'unità di personale</v>
      </c>
      <c r="E302" s="283" t="s">
        <v>89</v>
      </c>
      <c r="F302" s="37" t="s">
        <v>90</v>
      </c>
      <c r="G302" s="54"/>
      <c r="H302" s="179">
        <v>88.9</v>
      </c>
      <c r="I302" s="179">
        <v>86.6</v>
      </c>
      <c r="J302" s="179">
        <v>80.599999999999994</v>
      </c>
      <c r="K302" s="179">
        <v>74.066146516605684</v>
      </c>
      <c r="L302" s="20">
        <v>71.2</v>
      </c>
      <c r="M302" s="20">
        <v>66.5</v>
      </c>
      <c r="N302" s="139">
        <v>65.400000000000006</v>
      </c>
      <c r="O302" s="99">
        <v>64.3</v>
      </c>
      <c r="P302" s="99">
        <v>62.7</v>
      </c>
      <c r="Q302" s="99">
        <v>62.8</v>
      </c>
      <c r="R302" s="99">
        <v>61.1</v>
      </c>
      <c r="S302" s="99">
        <v>61.5</v>
      </c>
      <c r="T302" s="139">
        <v>53.8</v>
      </c>
      <c r="U302" s="139">
        <v>53.2</v>
      </c>
      <c r="V302" s="139">
        <v>52.9</v>
      </c>
      <c r="W302" s="139">
        <v>53.7</v>
      </c>
      <c r="X302" s="254">
        <v>53.988992022345869</v>
      </c>
    </row>
    <row r="303" spans="1:88" ht="12.5" customHeight="1">
      <c r="C303" s="18" t="str">
        <f>VLOOKUP(213,Textbausteine_102[],Hilfsgrössen!$D$2,FALSE)</f>
        <v>Codice delle obbligazioni</v>
      </c>
      <c r="D303" s="18"/>
      <c r="G303" s="54"/>
      <c r="H303" s="179"/>
      <c r="I303" s="179"/>
      <c r="J303" s="179"/>
      <c r="K303" s="179"/>
      <c r="L303" s="20"/>
      <c r="M303" s="20"/>
      <c r="N303" s="163"/>
      <c r="T303" s="139"/>
      <c r="U303" s="139"/>
      <c r="V303" s="139"/>
      <c r="W303" s="139"/>
      <c r="X303" s="254"/>
    </row>
    <row r="304" spans="1:88" ht="12.5" customHeight="1">
      <c r="C304" s="15" t="str">
        <f>VLOOKUP(214,Textbausteine_102[],Hilfsgrössen!$D$2,FALSE)</f>
        <v>CCL per il personale ausiliario</v>
      </c>
      <c r="D304" s="18" t="str">
        <f>VLOOKUP(36,Textbausteine_102[],Hilfsgrössen!$D$2,FALSE)</f>
        <v>% dell'unità di personale</v>
      </c>
      <c r="E304" s="283" t="s">
        <v>89</v>
      </c>
      <c r="F304" s="37" t="s">
        <v>90</v>
      </c>
      <c r="G304" s="54"/>
      <c r="H304" s="393">
        <v>2.1</v>
      </c>
      <c r="I304" s="393">
        <v>2.2999999999999998</v>
      </c>
      <c r="J304" s="393">
        <v>1.9</v>
      </c>
      <c r="K304" s="393">
        <v>1.8550484476052385</v>
      </c>
      <c r="L304" s="385">
        <v>2.2000000000000002</v>
      </c>
      <c r="M304" s="385">
        <v>1.5</v>
      </c>
      <c r="N304" s="394">
        <v>1.673</v>
      </c>
      <c r="O304" s="386">
        <v>2.9</v>
      </c>
      <c r="P304" s="386">
        <v>3.04</v>
      </c>
      <c r="Q304" s="386">
        <v>2.96435438158939</v>
      </c>
      <c r="R304" s="386">
        <v>2.7</v>
      </c>
      <c r="S304" s="386">
        <v>2.2999999999999998</v>
      </c>
      <c r="T304" s="379">
        <v>0.4</v>
      </c>
      <c r="U304" s="379">
        <v>0.4</v>
      </c>
      <c r="V304" s="379">
        <v>0.39</v>
      </c>
      <c r="W304" s="379">
        <v>0.4</v>
      </c>
      <c r="X304" s="395">
        <v>0.46973765834098841</v>
      </c>
    </row>
    <row r="305" spans="2:25" ht="12.5" customHeight="1">
      <c r="C305" s="15" t="str">
        <f>VLOOKUP(215,Textbausteine_102[],Hilfsgrössen!$D$2,FALSE)</f>
        <v>CCL società del gruppo</v>
      </c>
      <c r="D305" s="18" t="str">
        <f>VLOOKUP(36,Textbausteine_102[],Hilfsgrössen!$D$2,FALSE)</f>
        <v>% dell'unità di personale</v>
      </c>
      <c r="E305" s="283" t="s">
        <v>91</v>
      </c>
      <c r="F305" s="37" t="s">
        <v>90</v>
      </c>
      <c r="H305" s="393">
        <v>0</v>
      </c>
      <c r="I305" s="393">
        <v>0.1</v>
      </c>
      <c r="J305" s="393">
        <v>1.8</v>
      </c>
      <c r="K305" s="393">
        <v>3.1715344426799232</v>
      </c>
      <c r="L305" s="385">
        <v>5.5</v>
      </c>
      <c r="M305" s="385">
        <v>7.3</v>
      </c>
      <c r="N305" s="386">
        <v>9.93</v>
      </c>
      <c r="O305" s="386">
        <v>10</v>
      </c>
      <c r="P305" s="386">
        <v>9.8569999999999993</v>
      </c>
      <c r="Q305" s="386">
        <v>9.4610747080829807</v>
      </c>
      <c r="R305" s="386">
        <v>10.7</v>
      </c>
      <c r="S305" s="386">
        <v>10.6</v>
      </c>
      <c r="T305" s="379">
        <v>17.100000000000001</v>
      </c>
      <c r="U305" s="379">
        <v>17.8</v>
      </c>
      <c r="V305" s="379">
        <v>17.899999999999999</v>
      </c>
      <c r="W305" s="379">
        <v>18.2</v>
      </c>
      <c r="X305" s="395">
        <v>18.485489176099186</v>
      </c>
    </row>
    <row r="306" spans="2:25" ht="12.5" customHeight="1">
      <c r="C306" s="15" t="str">
        <f>VLOOKUP(216,Textbausteine_102[],Hilfsgrössen!$D$2,FALSE)</f>
        <v>Posta CH SA</v>
      </c>
      <c r="D306" s="18" t="str">
        <f>VLOOKUP(36,Textbausteine_102[],Hilfsgrössen!$D$2,FALSE)</f>
        <v>% dell'unità di personale</v>
      </c>
      <c r="E306" s="283" t="s">
        <v>92</v>
      </c>
      <c r="F306" s="37" t="s">
        <v>90</v>
      </c>
      <c r="H306" s="393">
        <v>1.2</v>
      </c>
      <c r="I306" s="393">
        <v>1.3</v>
      </c>
      <c r="J306" s="396">
        <v>1.3</v>
      </c>
      <c r="K306" s="396">
        <v>0.9942691431333287</v>
      </c>
      <c r="L306" s="385">
        <v>1.1000000000000001</v>
      </c>
      <c r="M306" s="385">
        <v>0.9</v>
      </c>
      <c r="N306" s="386">
        <v>0.9</v>
      </c>
      <c r="O306" s="386">
        <v>0.9</v>
      </c>
      <c r="P306" s="386">
        <v>1</v>
      </c>
      <c r="Q306" s="386">
        <v>0.67205740089936905</v>
      </c>
      <c r="R306" s="386">
        <v>0.8</v>
      </c>
      <c r="S306" s="386">
        <v>1</v>
      </c>
      <c r="T306" s="379">
        <v>4.4000000000000004</v>
      </c>
      <c r="U306" s="379">
        <v>4.5999999999999996</v>
      </c>
      <c r="V306" s="379">
        <v>4.8</v>
      </c>
      <c r="W306" s="379">
        <v>5</v>
      </c>
      <c r="X306" s="395">
        <v>5.1744201889975203</v>
      </c>
      <c r="Y306" s="11"/>
    </row>
    <row r="307" spans="2:25" ht="12.5" customHeight="1">
      <c r="C307" s="15" t="str">
        <f>VLOOKUP(217,Textbausteine_102[],Hilfsgrössen!$D$2,FALSE)</f>
        <v>PostFinance SA</v>
      </c>
      <c r="D307" s="18" t="str">
        <f>VLOOKUP(36,Textbausteine_102[],Hilfsgrössen!$D$2,FALSE)</f>
        <v>% dell'unità di personale</v>
      </c>
      <c r="E307" s="283" t="s">
        <v>32</v>
      </c>
      <c r="F307" s="37" t="s">
        <v>90</v>
      </c>
      <c r="H307" s="397" t="s">
        <v>30</v>
      </c>
      <c r="I307" s="397" t="s">
        <v>30</v>
      </c>
      <c r="J307" s="397" t="s">
        <v>30</v>
      </c>
      <c r="K307" s="397" t="s">
        <v>30</v>
      </c>
      <c r="L307" s="397" t="s">
        <v>30</v>
      </c>
      <c r="M307" s="397" t="s">
        <v>30</v>
      </c>
      <c r="N307" s="377" t="s">
        <v>30</v>
      </c>
      <c r="O307" s="377" t="s">
        <v>30</v>
      </c>
      <c r="P307" s="398" t="s">
        <v>30</v>
      </c>
      <c r="Q307" s="386">
        <v>0.48265351623020802</v>
      </c>
      <c r="R307" s="386">
        <v>0.5</v>
      </c>
      <c r="S307" s="386">
        <v>0.5</v>
      </c>
      <c r="T307" s="379">
        <v>2.1</v>
      </c>
      <c r="U307" s="379">
        <v>2</v>
      </c>
      <c r="V307" s="379">
        <v>2.1</v>
      </c>
      <c r="W307" s="379">
        <v>2.2999999999999998</v>
      </c>
      <c r="X307" s="395">
        <v>2.5279376927761086</v>
      </c>
      <c r="Y307" s="11"/>
    </row>
    <row r="308" spans="2:25" ht="12.5" customHeight="1">
      <c r="C308" s="15" t="str">
        <f>VLOOKUP(218,Textbausteine_102[],Hilfsgrössen!$D$2,FALSE)</f>
        <v>Società del gruppo Svizzera</v>
      </c>
      <c r="D308" s="18" t="str">
        <f>VLOOKUP(36,Textbausteine_102[],Hilfsgrössen!$D$2,FALSE)</f>
        <v>% dell'unità di personale</v>
      </c>
      <c r="E308" s="283" t="s">
        <v>89</v>
      </c>
      <c r="F308" s="37" t="s">
        <v>90</v>
      </c>
      <c r="H308" s="393">
        <v>5.0999999999999996</v>
      </c>
      <c r="I308" s="393">
        <v>6.4</v>
      </c>
      <c r="J308" s="396">
        <v>6.4</v>
      </c>
      <c r="K308" s="396">
        <v>7.1</v>
      </c>
      <c r="L308" s="385">
        <v>5.8</v>
      </c>
      <c r="M308" s="385">
        <v>8.1999999999999993</v>
      </c>
      <c r="N308" s="386">
        <v>6</v>
      </c>
      <c r="O308" s="386">
        <v>6.9</v>
      </c>
      <c r="P308" s="386">
        <v>8.6</v>
      </c>
      <c r="Q308" s="386">
        <v>8.2669597173411908</v>
      </c>
      <c r="R308" s="386">
        <v>7.2</v>
      </c>
      <c r="S308" s="386">
        <v>7.2</v>
      </c>
      <c r="T308" s="379">
        <v>5.5</v>
      </c>
      <c r="U308" s="379">
        <v>5.4</v>
      </c>
      <c r="V308" s="379">
        <v>4.0999999999999996</v>
      </c>
      <c r="W308" s="379">
        <v>4.4000000000000004</v>
      </c>
      <c r="X308" s="395">
        <v>4.4132194959215729</v>
      </c>
      <c r="Y308" s="11"/>
    </row>
    <row r="309" spans="2:25" ht="12.5" customHeight="1">
      <c r="C309" s="9" t="str">
        <f>VLOOKUP(219,Textbausteine_102[],Hilfsgrössen!$D$2,FALSE)</f>
        <v>Diritto del lavoro estero</v>
      </c>
      <c r="D309" s="18" t="str">
        <f>VLOOKUP(36,Textbausteine_102[],Hilfsgrössen!$D$2,FALSE)</f>
        <v>% dell'unità di personale</v>
      </c>
      <c r="E309" s="283" t="s">
        <v>89</v>
      </c>
      <c r="F309" s="37" t="s">
        <v>90</v>
      </c>
      <c r="H309" s="393">
        <v>2.7</v>
      </c>
      <c r="I309" s="393">
        <v>3.3</v>
      </c>
      <c r="J309" s="393">
        <v>8</v>
      </c>
      <c r="K309" s="393">
        <v>12.690740868604571</v>
      </c>
      <c r="L309" s="385">
        <v>14.2</v>
      </c>
      <c r="M309" s="385">
        <v>15.6</v>
      </c>
      <c r="N309" s="386">
        <v>16.100000000000001</v>
      </c>
      <c r="O309" s="386">
        <v>15</v>
      </c>
      <c r="P309" s="386">
        <v>14.8</v>
      </c>
      <c r="Q309" s="386">
        <v>15.4</v>
      </c>
      <c r="R309" s="386">
        <v>17.100000000000001</v>
      </c>
      <c r="S309" s="386">
        <v>16.899999999999999</v>
      </c>
      <c r="T309" s="379">
        <v>16.7</v>
      </c>
      <c r="U309" s="379">
        <v>16.600000000000001</v>
      </c>
      <c r="V309" s="379">
        <v>17.8</v>
      </c>
      <c r="W309" s="379">
        <v>16</v>
      </c>
      <c r="X309" s="395">
        <v>14.940203765518767</v>
      </c>
    </row>
    <row r="310" spans="2:25" ht="12.5" customHeight="1">
      <c r="X310" s="254"/>
    </row>
    <row r="311" spans="2:25" ht="12.5" customHeight="1">
      <c r="B311" s="8" t="str">
        <f>VLOOKUP(37,Textbausteine_Menu[],Hilfsgrössen!$D$2,FALSE)</f>
        <v>Gruppo Svizzera</v>
      </c>
      <c r="D311" s="8"/>
      <c r="G311" s="49"/>
      <c r="H311" s="116"/>
      <c r="I311" s="116"/>
      <c r="J311" s="116"/>
      <c r="K311" s="116"/>
      <c r="L311" s="116"/>
      <c r="M311" s="116"/>
      <c r="N311" s="116"/>
      <c r="O311" s="116"/>
      <c r="P311" s="116"/>
      <c r="Q311" s="116"/>
      <c r="R311" s="116"/>
      <c r="S311" s="116"/>
      <c r="T311" s="116"/>
      <c r="U311" s="116"/>
      <c r="V311" s="116"/>
      <c r="W311" s="116"/>
      <c r="X311" s="253"/>
    </row>
    <row r="312" spans="2:25" ht="12.5" customHeight="1">
      <c r="C312" s="18" t="str">
        <f>VLOOKUP(209,Textbausteine_102[],Hilfsgrössen!$D$2,FALSE)</f>
        <v>Temporaneo</v>
      </c>
      <c r="D312" s="18" t="str">
        <f>VLOOKUP(37,Textbausteine_102[],Hilfsgrössen!$D$2,FALSE)</f>
        <v>% delle persone</v>
      </c>
      <c r="E312" s="283" t="s">
        <v>53</v>
      </c>
      <c r="F312" s="37" t="s">
        <v>82</v>
      </c>
      <c r="G312" s="49"/>
      <c r="H312" s="99" t="s">
        <v>30</v>
      </c>
      <c r="I312" s="99" t="s">
        <v>30</v>
      </c>
      <c r="J312" s="99" t="s">
        <v>30</v>
      </c>
      <c r="K312" s="99" t="s">
        <v>30</v>
      </c>
      <c r="L312" s="99" t="s">
        <v>30</v>
      </c>
      <c r="M312" s="99" t="s">
        <v>30</v>
      </c>
      <c r="N312" s="99" t="s">
        <v>30</v>
      </c>
      <c r="O312" s="99" t="s">
        <v>30</v>
      </c>
      <c r="P312" s="99" t="s">
        <v>30</v>
      </c>
      <c r="Q312" s="99" t="s">
        <v>30</v>
      </c>
      <c r="R312" s="114">
        <v>1.2</v>
      </c>
      <c r="S312" s="114">
        <v>1.3</v>
      </c>
      <c r="T312" s="16">
        <v>1.2</v>
      </c>
      <c r="U312" s="16">
        <v>1.3</v>
      </c>
      <c r="V312" s="16">
        <v>1.84</v>
      </c>
      <c r="W312" s="16">
        <v>2.2000000000000002</v>
      </c>
      <c r="X312" s="399">
        <v>2.2855405108119431</v>
      </c>
    </row>
    <row r="313" spans="2:25" ht="12.5" customHeight="1">
      <c r="C313" s="18" t="str">
        <f>VLOOKUP(210,Textbausteine_102[],Hilfsgrössen!$D$2,FALSE)</f>
        <v>Permanente</v>
      </c>
      <c r="D313" s="18" t="str">
        <f>VLOOKUP(37,Textbausteine_102[],Hilfsgrössen!$D$2,FALSE)</f>
        <v>% delle persone</v>
      </c>
      <c r="E313" s="283" t="s">
        <v>53</v>
      </c>
      <c r="F313" s="37" t="s">
        <v>82</v>
      </c>
      <c r="G313" s="54"/>
      <c r="H313" s="99" t="s">
        <v>30</v>
      </c>
      <c r="I313" s="99" t="s">
        <v>30</v>
      </c>
      <c r="J313" s="99" t="s">
        <v>30</v>
      </c>
      <c r="K313" s="99" t="s">
        <v>30</v>
      </c>
      <c r="L313" s="99" t="s">
        <v>30</v>
      </c>
      <c r="M313" s="99" t="s">
        <v>30</v>
      </c>
      <c r="N313" s="99" t="s">
        <v>30</v>
      </c>
      <c r="O313" s="99" t="s">
        <v>30</v>
      </c>
      <c r="P313" s="99" t="s">
        <v>30</v>
      </c>
      <c r="Q313" s="99" t="s">
        <v>30</v>
      </c>
      <c r="R313" s="114">
        <v>98.8</v>
      </c>
      <c r="S313" s="114">
        <v>98.7</v>
      </c>
      <c r="T313" s="16">
        <v>98.8</v>
      </c>
      <c r="U313" s="16">
        <v>98.7</v>
      </c>
      <c r="V313" s="16">
        <v>98.16</v>
      </c>
      <c r="W313" s="16">
        <v>97.8</v>
      </c>
      <c r="X313" s="399">
        <v>97.714459489188059</v>
      </c>
    </row>
    <row r="314" spans="2:25" ht="12.5" customHeight="1">
      <c r="C314" s="18" t="str">
        <f>VLOOKUP(209,Textbausteine_102[],Hilfsgrössen!$D$2,FALSE)</f>
        <v>Temporaneo</v>
      </c>
      <c r="D314" s="18" t="str">
        <f>VLOOKUP(36,Textbausteine_102[],Hilfsgrössen!$D$2,FALSE)</f>
        <v>% dell'unità di personale</v>
      </c>
      <c r="E314" s="283" t="s">
        <v>93</v>
      </c>
      <c r="F314" s="11" t="s">
        <v>82</v>
      </c>
      <c r="H314" s="99" t="s">
        <v>30</v>
      </c>
      <c r="I314" s="99" t="s">
        <v>30</v>
      </c>
      <c r="J314" s="99" t="s">
        <v>30</v>
      </c>
      <c r="K314" s="99" t="s">
        <v>30</v>
      </c>
      <c r="L314" s="99" t="s">
        <v>30</v>
      </c>
      <c r="M314" s="99" t="s">
        <v>30</v>
      </c>
      <c r="N314" s="99" t="s">
        <v>30</v>
      </c>
      <c r="O314" s="99" t="s">
        <v>30</v>
      </c>
      <c r="P314" s="99" t="s">
        <v>30</v>
      </c>
      <c r="Q314" s="99" t="s">
        <v>30</v>
      </c>
      <c r="R314" s="114">
        <v>1.3</v>
      </c>
      <c r="S314" s="114">
        <v>1.4</v>
      </c>
      <c r="T314" s="16">
        <v>1.3</v>
      </c>
      <c r="U314" s="16">
        <v>1.4</v>
      </c>
      <c r="V314" s="16">
        <v>2.0299999999999998</v>
      </c>
      <c r="W314" s="16">
        <v>2.2999999999999998</v>
      </c>
      <c r="X314" s="399">
        <v>2.3400080062285</v>
      </c>
    </row>
    <row r="315" spans="2:25" ht="12.5" customHeight="1">
      <c r="C315" s="18" t="str">
        <f>VLOOKUP(210,Textbausteine_102[],Hilfsgrössen!$D$2,FALSE)</f>
        <v>Permanente</v>
      </c>
      <c r="D315" s="18" t="str">
        <f>VLOOKUP(36,Textbausteine_102[],Hilfsgrössen!$D$2,FALSE)</f>
        <v>% dell'unità di personale</v>
      </c>
      <c r="E315" s="283" t="s">
        <v>93</v>
      </c>
      <c r="F315" s="11" t="s">
        <v>82</v>
      </c>
      <c r="H315" s="99" t="s">
        <v>30</v>
      </c>
      <c r="I315" s="99" t="s">
        <v>30</v>
      </c>
      <c r="J315" s="99" t="s">
        <v>30</v>
      </c>
      <c r="K315" s="99" t="s">
        <v>30</v>
      </c>
      <c r="L315" s="99" t="s">
        <v>30</v>
      </c>
      <c r="M315" s="99" t="s">
        <v>30</v>
      </c>
      <c r="N315" s="99" t="s">
        <v>30</v>
      </c>
      <c r="O315" s="99" t="s">
        <v>30</v>
      </c>
      <c r="P315" s="99" t="s">
        <v>30</v>
      </c>
      <c r="Q315" s="99" t="s">
        <v>30</v>
      </c>
      <c r="R315" s="114">
        <v>98.7</v>
      </c>
      <c r="S315" s="114">
        <v>98.6</v>
      </c>
      <c r="T315" s="16">
        <v>98.7</v>
      </c>
      <c r="U315" s="16">
        <v>98.6</v>
      </c>
      <c r="V315" s="16">
        <v>97.97</v>
      </c>
      <c r="W315" s="16">
        <v>97.7</v>
      </c>
      <c r="X315" s="399">
        <v>97.659991993771499</v>
      </c>
    </row>
    <row r="316" spans="2:25" ht="12.5" customHeight="1">
      <c r="C316" s="19"/>
      <c r="E316" s="1"/>
      <c r="F316" s="1"/>
      <c r="G316" s="1"/>
      <c r="H316" s="1"/>
      <c r="I316" s="1"/>
      <c r="J316" s="1"/>
      <c r="K316" s="1"/>
      <c r="L316" s="1"/>
      <c r="M316" s="1"/>
      <c r="N316" s="1"/>
      <c r="O316" s="1"/>
      <c r="P316" s="1"/>
      <c r="Q316" s="1"/>
      <c r="R316" s="1"/>
      <c r="S316" s="1"/>
      <c r="T316" s="1"/>
      <c r="U316" s="1"/>
      <c r="V316" s="1"/>
      <c r="W316" s="1"/>
      <c r="X316" s="253"/>
    </row>
    <row r="317" spans="2:25" ht="12.5" customHeight="1">
      <c r="B317" s="26" t="str">
        <f>VLOOKUP(318,Textbausteine_102[],Hilfsgrössen!$D$2,FALSE)</f>
        <v>1) Escluso il personale in formazione.</v>
      </c>
    </row>
    <row r="318" spans="2:25" ht="12.5" customHeight="1">
      <c r="B318" s="26" t="str">
        <f>VLOOKUP(319,Textbausteine_102[],Hilfsgrössen!$D$2,FALSE)</f>
        <v>2) Valori medi annuali</v>
      </c>
    </row>
    <row r="319" spans="2:25" ht="12.5" customHeight="1">
      <c r="B319" s="26" t="str">
        <f>VLOOKUP(320,Textbausteine_102[],Hilfsgrössen!$D$2,FALSE)</f>
        <v>3) Un'unità di personale corrisponde a un impiego a tempo pieno.</v>
      </c>
    </row>
    <row r="320" spans="2:25" ht="12.5" customHeight="1">
      <c r="B320" s="26" t="str">
        <f>VLOOKUP(321,Textbausteine_102[],Hilfsgrössen!$D$2,FALSE)</f>
        <v>4)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v>
      </c>
    </row>
    <row r="321" spans="1:88" ht="12.5" customHeight="1">
      <c r="B321" s="26" t="str">
        <f>VLOOKUP(322,Textbausteine_102[],Hilfsgrössen!$D$2,FALSE)</f>
        <v>5) AutoPostale SA, PostFinance SA, Swiss Post Solutions SA, SecurePost SA, Posta Immobili Management e Servizi SA, Post Company Cars SA, Presto Presse-Vertriebs AG</v>
      </c>
    </row>
    <row r="322" spans="1:88" ht="12.5" customHeight="1">
      <c r="B322" s="26" t="str">
        <f>VLOOKUP(323,Textbausteine_102[],Hilfsgrössen!$D$2,FALSE)</f>
        <v>6) In occasione del rapporto per l'anno 2013 le cifre corrispondenti sono state corrette retroattivamente fino al 2010 in quanto Presto Presse-Vertriebs AG figurava nel CCL per personale ausiliario fino a tale data.</v>
      </c>
    </row>
    <row r="323" spans="1:88" ht="12.5" customHeight="1">
      <c r="B323" s="26" t="str">
        <f>VLOOKUP(324,Textbausteine_102[],Hilfsgrössen!$D$2,FALSE)</f>
        <v>7) Posta CH SA senza le società del gruppo in Svizzera e all'estero</v>
      </c>
    </row>
    <row r="324" spans="1:88" ht="12.5" customHeight="1">
      <c r="B324" s="26" t="str">
        <f>VLOOKUP(325,Textbausteine_102[],Hilfsgrössen!$D$2,FALSE)</f>
        <v>8) PostFinance SA incl. Servizi debitori SA e TWINT AG.</v>
      </c>
    </row>
    <row r="325" spans="1:88" ht="12.5" customHeight="1">
      <c r="B325" s="26" t="str">
        <f>VLOOKUP(326,Textbausteine_102[],Hilfsgrössen!$D$2,FALSE)</f>
        <v>9)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v>
      </c>
    </row>
    <row r="326" spans="1:88" ht="12.5" customHeight="1">
      <c r="B326" s="26"/>
    </row>
    <row r="327" spans="1:88" ht="12.5" customHeight="1">
      <c r="E327" s="284"/>
      <c r="F327" s="40"/>
      <c r="G327" s="48"/>
    </row>
    <row r="328" spans="1:88" s="151" customFormat="1" ht="12.5" customHeight="1">
      <c r="A328" s="61" t="s">
        <v>27</v>
      </c>
      <c r="B328" s="495" t="str">
        <f>$C$16</f>
        <v>Catena di distribuzione</v>
      </c>
      <c r="C328" s="495"/>
      <c r="D328" s="479" t="str">
        <f>VLOOKUP(32,Textbausteine_Menu[],Hilfsgrössen!$D$2,FALSE)</f>
        <v>Unità</v>
      </c>
      <c r="E328" s="286" t="str">
        <f>VLOOKUP(33,Textbausteine_Menu[],Hilfsgrössen!$D$2,FALSE)</f>
        <v>Note</v>
      </c>
      <c r="F328" s="40" t="str">
        <f>VLOOKUP(34,Textbausteine_Menu[],Hilfsgrössen!$D$2,FALSE)</f>
        <v>GRI</v>
      </c>
      <c r="G328" s="48"/>
      <c r="H328" s="157">
        <v>2004</v>
      </c>
      <c r="I328" s="157">
        <v>2005</v>
      </c>
      <c r="J328" s="157">
        <v>2006</v>
      </c>
      <c r="K328" s="157">
        <v>2007</v>
      </c>
      <c r="L328" s="157">
        <v>2008</v>
      </c>
      <c r="M328" s="157">
        <v>2009</v>
      </c>
      <c r="N328" s="157">
        <v>2010</v>
      </c>
      <c r="O328" s="157">
        <v>2011</v>
      </c>
      <c r="P328" s="157">
        <v>2012</v>
      </c>
      <c r="Q328" s="157">
        <v>2013</v>
      </c>
      <c r="R328" s="157">
        <v>2014</v>
      </c>
      <c r="S328" s="157">
        <v>2015</v>
      </c>
      <c r="T328" s="119">
        <v>2016</v>
      </c>
      <c r="U328" s="119" t="s">
        <v>94</v>
      </c>
      <c r="V328" s="119">
        <v>2018</v>
      </c>
      <c r="W328" s="119">
        <v>2019</v>
      </c>
      <c r="X328" s="247">
        <v>2020</v>
      </c>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c r="BV328" s="112"/>
      <c r="BW328" s="112"/>
      <c r="BX328" s="112"/>
      <c r="BY328" s="112"/>
      <c r="BZ328" s="112"/>
      <c r="CA328" s="112"/>
      <c r="CB328" s="112"/>
      <c r="CC328" s="112"/>
      <c r="CD328" s="112"/>
      <c r="CE328" s="112"/>
      <c r="CF328" s="112"/>
      <c r="CG328" s="112"/>
      <c r="CH328" s="112"/>
      <c r="CI328" s="112"/>
      <c r="CJ328" s="112"/>
    </row>
    <row r="329" spans="1:88" s="60" customFormat="1" ht="12.5" customHeight="1">
      <c r="A329" s="81"/>
      <c r="B329" s="495"/>
      <c r="C329" s="495"/>
      <c r="D329" s="59"/>
      <c r="E329" s="282"/>
      <c r="F329" s="39"/>
      <c r="G329" s="49"/>
      <c r="H329" s="158"/>
      <c r="I329" s="158"/>
      <c r="J329" s="158"/>
      <c r="K329" s="158"/>
      <c r="L329" s="158"/>
      <c r="M329" s="158"/>
      <c r="N329" s="158"/>
      <c r="O329" s="158"/>
      <c r="P329" s="158"/>
      <c r="Q329" s="158"/>
      <c r="R329" s="158"/>
      <c r="S329" s="158"/>
      <c r="T329" s="118"/>
      <c r="U329" s="118"/>
      <c r="V329" s="118"/>
      <c r="W329" s="118"/>
      <c r="X329" s="248"/>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c r="BL329" s="113"/>
      <c r="BM329" s="113"/>
      <c r="BN329" s="113"/>
      <c r="BO329" s="113"/>
      <c r="BP329" s="113"/>
      <c r="BQ329" s="113"/>
      <c r="BR329" s="113"/>
      <c r="BS329" s="113"/>
      <c r="BT329" s="113"/>
      <c r="BU329" s="113"/>
      <c r="BV329" s="113"/>
      <c r="BW329" s="113"/>
      <c r="BX329" s="113"/>
      <c r="BY329" s="113"/>
      <c r="BZ329" s="113"/>
      <c r="CA329" s="113"/>
      <c r="CB329" s="113"/>
      <c r="CC329" s="113"/>
      <c r="CD329" s="113"/>
      <c r="CE329" s="113"/>
      <c r="CF329" s="113"/>
      <c r="CG329" s="113"/>
      <c r="CH329" s="113"/>
      <c r="CI329" s="113"/>
      <c r="CJ329" s="113"/>
    </row>
    <row r="330" spans="1:88" ht="12.5" customHeight="1">
      <c r="B330" s="8"/>
      <c r="D330" s="9"/>
      <c r="E330" s="287"/>
      <c r="F330" s="11"/>
      <c r="G330" s="46"/>
      <c r="X330" s="249"/>
    </row>
    <row r="331" spans="1:88" ht="12.5" customHeight="1">
      <c r="B331" s="8" t="str">
        <f>VLOOKUP(37,Textbausteine_Menu[],Hilfsgrössen!$D$2,FALSE)</f>
        <v>Gruppo Svizzera</v>
      </c>
      <c r="C331" s="8"/>
      <c r="D331" s="66"/>
      <c r="E331" s="287"/>
      <c r="F331" s="11"/>
      <c r="T331" s="106"/>
      <c r="U331" s="106"/>
      <c r="V331" s="106"/>
      <c r="W331" s="106"/>
      <c r="X331" s="250"/>
    </row>
    <row r="332" spans="1:88" ht="12.5" customHeight="1">
      <c r="C332" s="18" t="str">
        <f>VLOOKUP(221,Textbausteine_102[],Hilfsgrössen!$D$2,FALSE)</f>
        <v>Numero di fornitori (Svizzera)</v>
      </c>
      <c r="D332" s="18" t="str">
        <f>VLOOKUP(28,Textbausteine_102[],Hilfsgrössen!$D$2,FALSE)</f>
        <v>Numero</v>
      </c>
      <c r="E332" s="20" t="s">
        <v>87</v>
      </c>
      <c r="F332" s="11" t="s">
        <v>95</v>
      </c>
      <c r="H332" s="165" t="s">
        <v>30</v>
      </c>
      <c r="I332" s="165" t="s">
        <v>30</v>
      </c>
      <c r="J332" s="165" t="s">
        <v>30</v>
      </c>
      <c r="K332" s="165" t="s">
        <v>30</v>
      </c>
      <c r="L332" s="165" t="s">
        <v>30</v>
      </c>
      <c r="M332" s="165" t="s">
        <v>30</v>
      </c>
      <c r="N332" s="137" t="s">
        <v>30</v>
      </c>
      <c r="O332" s="99">
        <v>52154</v>
      </c>
      <c r="P332" s="99">
        <v>50306</v>
      </c>
      <c r="Q332" s="99">
        <v>48250</v>
      </c>
      <c r="R332" s="99">
        <v>45029</v>
      </c>
      <c r="S332" s="99">
        <v>47173</v>
      </c>
      <c r="T332" s="106">
        <v>43080</v>
      </c>
      <c r="U332" s="106">
        <v>40575</v>
      </c>
      <c r="V332" s="106">
        <v>40036</v>
      </c>
      <c r="W332" s="106">
        <v>28594</v>
      </c>
      <c r="X332" s="472">
        <v>21429</v>
      </c>
    </row>
    <row r="333" spans="1:88" ht="12.5" customHeight="1">
      <c r="C333" s="18" t="str">
        <f>VLOOKUP(222,Textbausteine_102[],Hilfsgrössen!$D$2,FALSE)</f>
        <v>Numero di fornitori (estero)</v>
      </c>
      <c r="D333" s="18" t="str">
        <f>VLOOKUP(28,Textbausteine_102[],Hilfsgrössen!$D$2,FALSE)</f>
        <v>Numero</v>
      </c>
      <c r="E333" s="287" t="s">
        <v>41</v>
      </c>
      <c r="F333" s="11" t="s">
        <v>95</v>
      </c>
      <c r="H333" s="165" t="s">
        <v>30</v>
      </c>
      <c r="I333" s="165" t="s">
        <v>30</v>
      </c>
      <c r="J333" s="165" t="s">
        <v>30</v>
      </c>
      <c r="K333" s="165" t="s">
        <v>30</v>
      </c>
      <c r="L333" s="165" t="s">
        <v>30</v>
      </c>
      <c r="M333" s="165" t="s">
        <v>30</v>
      </c>
      <c r="N333" s="137" t="s">
        <v>30</v>
      </c>
      <c r="O333" s="99">
        <v>342</v>
      </c>
      <c r="P333" s="99">
        <v>339</v>
      </c>
      <c r="Q333" s="99">
        <v>340</v>
      </c>
      <c r="R333" s="99">
        <v>492</v>
      </c>
      <c r="S333" s="99">
        <v>2246</v>
      </c>
      <c r="T333" s="106">
        <v>2337</v>
      </c>
      <c r="U333" s="106">
        <v>2196</v>
      </c>
      <c r="V333" s="106">
        <v>2270</v>
      </c>
      <c r="W333" s="106">
        <v>1776</v>
      </c>
      <c r="X333" s="472">
        <v>1493</v>
      </c>
    </row>
    <row r="334" spans="1:88" ht="12.5" customHeight="1">
      <c r="C334" s="18" t="str">
        <f>VLOOKUP(223,Textbausteine_102[],Hilfsgrössen!$D$2,FALSE)</f>
        <v>Volumi d'acquisto del gruppo</v>
      </c>
      <c r="D334" s="66" t="str">
        <f>VLOOKUP(22,Textbausteine_102[],Hilfsgrössen!$D$2,FALSE)</f>
        <v>mln di CHF</v>
      </c>
      <c r="E334" s="290"/>
      <c r="F334" s="11" t="s">
        <v>95</v>
      </c>
      <c r="H334" s="165" t="s">
        <v>30</v>
      </c>
      <c r="I334" s="165" t="s">
        <v>30</v>
      </c>
      <c r="J334" s="165" t="s">
        <v>30</v>
      </c>
      <c r="K334" s="165" t="s">
        <v>30</v>
      </c>
      <c r="L334" s="165" t="s">
        <v>30</v>
      </c>
      <c r="M334" s="165" t="s">
        <v>30</v>
      </c>
      <c r="N334" s="20">
        <v>3082.31781</v>
      </c>
      <c r="O334" s="99">
        <v>3282.8308080000002</v>
      </c>
      <c r="P334" s="99">
        <v>3366.2399120199998</v>
      </c>
      <c r="Q334" s="99">
        <v>3379.8509565500003</v>
      </c>
      <c r="R334" s="99">
        <v>3399.09152606</v>
      </c>
      <c r="S334" s="99">
        <v>4752</v>
      </c>
      <c r="T334" s="106">
        <v>2961</v>
      </c>
      <c r="U334" s="106">
        <v>2947</v>
      </c>
      <c r="V334" s="106">
        <v>2946</v>
      </c>
      <c r="W334" s="106">
        <v>3001</v>
      </c>
      <c r="X334" s="472">
        <v>3052</v>
      </c>
    </row>
    <row r="335" spans="1:88" ht="12.5" customHeight="1">
      <c r="C335" s="15"/>
      <c r="H335" s="159"/>
      <c r="I335" s="159"/>
      <c r="J335" s="159"/>
      <c r="K335" s="159"/>
      <c r="L335" s="159"/>
      <c r="M335" s="159"/>
      <c r="N335" s="20"/>
      <c r="O335" s="20"/>
      <c r="P335" s="106"/>
      <c r="Q335" s="160"/>
      <c r="R335" s="159"/>
      <c r="S335" s="159"/>
      <c r="T335" s="160"/>
      <c r="U335" s="160"/>
      <c r="V335" s="160"/>
      <c r="W335" s="160"/>
      <c r="X335" s="160"/>
    </row>
    <row r="336" spans="1:88" ht="12.5" customHeight="1">
      <c r="B336" s="26" t="str">
        <f>VLOOKUP(328,Textbausteine_102[],Hilfsgrössen!$D$2,FALSE)</f>
        <v>1)  I valori dal 1o gennaio 2016 corrispondono al volume di fatturazione per gli acquisti con i clienti esterni (senza imposte, dazi doganali, SUVA, cassa pensioni, altra previdenza, tasse pubbliche, partite transitorie di giro, conti collettivi per conti occasionali ecc.).</v>
      </c>
    </row>
    <row r="337" spans="1:88" ht="12.5" customHeight="1">
      <c r="B337" s="26" t="str">
        <f>VLOOKUP(329,Textbausteine_102[],Hilfsgrössen!$D$2,FALSE)</f>
        <v>2) Il maggiore ricorso a codici creditori standardizzati (MDG-S) si è tradotto a partire dal 2019 in un numero inferiore di fornitori rilevanti a livello di acquisti.</v>
      </c>
    </row>
    <row r="338" spans="1:88" ht="12.5" customHeight="1">
      <c r="B338" s="26"/>
    </row>
    <row r="339" spans="1:88" ht="12.5" customHeight="1">
      <c r="C339" s="15"/>
      <c r="H339" s="159"/>
      <c r="I339" s="159"/>
      <c r="J339" s="159"/>
      <c r="K339" s="159"/>
      <c r="L339" s="159"/>
      <c r="M339" s="159"/>
      <c r="N339" s="20"/>
      <c r="O339" s="20"/>
      <c r="P339" s="106"/>
      <c r="Q339" s="160"/>
      <c r="R339" s="159"/>
      <c r="S339" s="159"/>
      <c r="T339" s="160"/>
      <c r="U339" s="160"/>
      <c r="V339" s="160"/>
      <c r="W339" s="160"/>
      <c r="X339" s="160"/>
    </row>
    <row r="340" spans="1:88" s="151" customFormat="1" ht="12.5" customHeight="1">
      <c r="A340" s="61" t="s">
        <v>27</v>
      </c>
      <c r="B340" s="488" t="str">
        <f>$C$17</f>
        <v>Soddisfazione dei clienti</v>
      </c>
      <c r="C340" s="488"/>
      <c r="D340" s="479" t="str">
        <f>VLOOKUP(32,Textbausteine_Menu[],Hilfsgrössen!$D$2,FALSE)</f>
        <v>Unità</v>
      </c>
      <c r="E340" s="286" t="str">
        <f>VLOOKUP(33,Textbausteine_Menu[],Hilfsgrössen!$D$2,FALSE)</f>
        <v>Note</v>
      </c>
      <c r="F340" s="40" t="str">
        <f>VLOOKUP(34,Textbausteine_Menu[],Hilfsgrössen!$D$2,FALSE)</f>
        <v>GRI</v>
      </c>
      <c r="G340" s="48"/>
      <c r="H340" s="157">
        <v>2004</v>
      </c>
      <c r="I340" s="157">
        <v>2005</v>
      </c>
      <c r="J340" s="157">
        <v>2006</v>
      </c>
      <c r="K340" s="157">
        <v>2007</v>
      </c>
      <c r="L340" s="157">
        <v>2008</v>
      </c>
      <c r="M340" s="157">
        <v>2009</v>
      </c>
      <c r="N340" s="157">
        <v>2010</v>
      </c>
      <c r="O340" s="157">
        <v>2011</v>
      </c>
      <c r="P340" s="157">
        <v>2012</v>
      </c>
      <c r="Q340" s="157">
        <v>2013</v>
      </c>
      <c r="R340" s="157">
        <v>2014</v>
      </c>
      <c r="S340" s="157">
        <v>2015</v>
      </c>
      <c r="T340" s="119">
        <v>2016</v>
      </c>
      <c r="U340" s="119">
        <v>2017</v>
      </c>
      <c r="V340" s="119">
        <v>2018</v>
      </c>
      <c r="W340" s="119">
        <v>2019</v>
      </c>
      <c r="X340" s="247">
        <v>2020</v>
      </c>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c r="BV340" s="112"/>
      <c r="BW340" s="112"/>
      <c r="BX340" s="112"/>
      <c r="BY340" s="112"/>
      <c r="BZ340" s="112"/>
      <c r="CA340" s="112"/>
      <c r="CB340" s="112"/>
      <c r="CC340" s="112"/>
      <c r="CD340" s="112"/>
      <c r="CE340" s="112"/>
      <c r="CF340" s="112"/>
      <c r="CG340" s="112"/>
      <c r="CH340" s="112"/>
      <c r="CI340" s="112"/>
      <c r="CJ340" s="112"/>
    </row>
    <row r="341" spans="1:88" s="60" customFormat="1" ht="12.5" customHeight="1">
      <c r="A341" s="81"/>
      <c r="B341" s="488"/>
      <c r="C341" s="488"/>
      <c r="D341" s="59"/>
      <c r="E341" s="282"/>
      <c r="F341" s="39"/>
      <c r="G341" s="49"/>
      <c r="H341" s="158"/>
      <c r="I341" s="158"/>
      <c r="J341" s="158"/>
      <c r="K341" s="158"/>
      <c r="L341" s="158"/>
      <c r="M341" s="158"/>
      <c r="N341" s="158"/>
      <c r="O341" s="158"/>
      <c r="P341" s="158"/>
      <c r="Q341" s="158"/>
      <c r="R341" s="158"/>
      <c r="S341" s="158"/>
      <c r="T341" s="118"/>
      <c r="U341" s="118"/>
      <c r="V341" s="118"/>
      <c r="W341" s="118"/>
      <c r="X341" s="248"/>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c r="BL341" s="113"/>
      <c r="BM341" s="113"/>
      <c r="BN341" s="113"/>
      <c r="BO341" s="113"/>
      <c r="BP341" s="113"/>
      <c r="BQ341" s="113"/>
      <c r="BR341" s="113"/>
      <c r="BS341" s="113"/>
      <c r="BT341" s="113"/>
      <c r="BU341" s="113"/>
      <c r="BV341" s="113"/>
      <c r="BW341" s="113"/>
      <c r="BX341" s="113"/>
      <c r="BY341" s="113"/>
      <c r="BZ341" s="113"/>
      <c r="CA341" s="113"/>
      <c r="CB341" s="113"/>
      <c r="CC341" s="113"/>
      <c r="CD341" s="113"/>
      <c r="CE341" s="113"/>
      <c r="CF341" s="113"/>
      <c r="CG341" s="113"/>
      <c r="CH341" s="113"/>
      <c r="CI341" s="113"/>
      <c r="CJ341" s="113"/>
    </row>
    <row r="342" spans="1:88" ht="12.5" customHeight="1">
      <c r="B342" s="8"/>
      <c r="D342" s="9"/>
      <c r="E342" s="287"/>
      <c r="F342" s="11"/>
      <c r="G342" s="46"/>
      <c r="T342" s="118"/>
      <c r="U342" s="118"/>
      <c r="V342" s="118"/>
      <c r="W342" s="118"/>
      <c r="X342" s="248"/>
    </row>
    <row r="343" spans="1:88" ht="12.5" customHeight="1">
      <c r="B343" s="8" t="str">
        <f>VLOOKUP(231,Textbausteine_102[],Hilfsgrössen!$D$2,FALSE)</f>
        <v>Clienti privati</v>
      </c>
      <c r="D343" s="66"/>
      <c r="E343" s="287"/>
      <c r="F343" s="11"/>
      <c r="T343" s="118"/>
      <c r="U343" s="118"/>
      <c r="V343" s="118"/>
      <c r="W343" s="118"/>
      <c r="X343" s="248"/>
    </row>
    <row r="344" spans="1:88" ht="12.5" customHeight="1">
      <c r="B344" s="8"/>
      <c r="C344" s="9" t="str">
        <f>VLOOKUP(47,Textbausteine_Menu[],Hilfsgrössen!$D$2,FALSE)</f>
        <v>RetePostale</v>
      </c>
      <c r="D344" s="66"/>
      <c r="E344" s="287"/>
      <c r="F344" s="11"/>
      <c r="T344" s="118"/>
      <c r="U344" s="118"/>
      <c r="V344" s="118"/>
      <c r="W344" s="118"/>
      <c r="X344" s="248"/>
    </row>
    <row r="345" spans="1:88" ht="12.5" customHeight="1">
      <c r="C345" s="15" t="str">
        <f>VLOOKUP(231,Textbausteine_102[],Hilfsgrössen!$D$2,FALSE)</f>
        <v>Clienti privati</v>
      </c>
      <c r="D345" s="1" t="str">
        <f>VLOOKUP(38,Textbausteine_102[],Hilfsgrössen!$D$2,FALSE)</f>
        <v>Indice</v>
      </c>
      <c r="E345" s="283" t="s">
        <v>87</v>
      </c>
      <c r="F345" s="37" t="s">
        <v>96</v>
      </c>
      <c r="H345" s="330">
        <v>84</v>
      </c>
      <c r="I345" s="330">
        <v>86</v>
      </c>
      <c r="J345" s="330">
        <v>87</v>
      </c>
      <c r="K345" s="330">
        <v>88</v>
      </c>
      <c r="L345" s="330">
        <v>86</v>
      </c>
      <c r="M345" s="330">
        <v>87</v>
      </c>
      <c r="N345" s="354">
        <v>87</v>
      </c>
      <c r="O345" s="354">
        <v>87</v>
      </c>
      <c r="P345" s="347">
        <v>86</v>
      </c>
      <c r="Q345" s="331">
        <v>86</v>
      </c>
      <c r="R345" s="330">
        <v>86</v>
      </c>
      <c r="S345" s="330">
        <v>87</v>
      </c>
      <c r="T345" s="371">
        <v>88</v>
      </c>
      <c r="U345" s="371">
        <v>89</v>
      </c>
      <c r="V345" s="371">
        <v>77</v>
      </c>
      <c r="W345" s="371">
        <v>78</v>
      </c>
      <c r="X345" s="400">
        <v>78</v>
      </c>
      <c r="Y345" s="11"/>
    </row>
    <row r="346" spans="1:88" ht="12.5" customHeight="1">
      <c r="C346" s="15" t="str">
        <f>VLOOKUP(232,Textbausteine_102[],Hilfsgrössen!$D$2,FALSE)</f>
        <v>Piccole e medie imprese</v>
      </c>
      <c r="D346" s="1" t="str">
        <f>VLOOKUP(38,Textbausteine_102[],Hilfsgrössen!$D$2,FALSE)</f>
        <v>Indice</v>
      </c>
      <c r="E346" s="283" t="s">
        <v>83</v>
      </c>
      <c r="F346" s="37" t="s">
        <v>96</v>
      </c>
      <c r="H346" s="330">
        <v>79</v>
      </c>
      <c r="I346" s="330">
        <v>80</v>
      </c>
      <c r="J346" s="330">
        <v>81</v>
      </c>
      <c r="K346" s="330">
        <v>83</v>
      </c>
      <c r="L346" s="330">
        <v>80</v>
      </c>
      <c r="M346" s="330">
        <v>80</v>
      </c>
      <c r="N346" s="354">
        <v>81</v>
      </c>
      <c r="O346" s="354">
        <v>81</v>
      </c>
      <c r="P346" s="347">
        <v>80</v>
      </c>
      <c r="Q346" s="331">
        <v>82</v>
      </c>
      <c r="R346" s="330">
        <v>82</v>
      </c>
      <c r="S346" s="330">
        <v>82</v>
      </c>
      <c r="T346" s="371">
        <v>85</v>
      </c>
      <c r="U346" s="371">
        <v>86</v>
      </c>
      <c r="V346" s="371" t="s">
        <v>66</v>
      </c>
      <c r="W346" s="371" t="s">
        <v>66</v>
      </c>
      <c r="X346" s="401">
        <v>77</v>
      </c>
      <c r="Y346" s="11"/>
    </row>
    <row r="347" spans="1:88" ht="12.5" customHeight="1">
      <c r="C347" s="9" t="str">
        <f>VLOOKUP(49,Textbausteine_Menu[],Hilfsgrössen!$D$2,FALSE)</f>
        <v>PostFinance</v>
      </c>
      <c r="D347" s="18" t="str">
        <f>VLOOKUP(38,Textbausteine_102[],Hilfsgrössen!$D$2,FALSE)</f>
        <v>Indice</v>
      </c>
      <c r="E347" s="287" t="s">
        <v>97</v>
      </c>
      <c r="F347" s="37" t="s">
        <v>96</v>
      </c>
      <c r="H347" s="354">
        <v>82</v>
      </c>
      <c r="I347" s="354">
        <v>84</v>
      </c>
      <c r="J347" s="354">
        <v>84</v>
      </c>
      <c r="K347" s="354">
        <v>84</v>
      </c>
      <c r="L347" s="354">
        <v>85</v>
      </c>
      <c r="M347" s="354">
        <v>84</v>
      </c>
      <c r="N347" s="354">
        <v>85</v>
      </c>
      <c r="O347" s="336">
        <v>86</v>
      </c>
      <c r="P347" s="336">
        <v>85</v>
      </c>
      <c r="Q347" s="336">
        <v>85</v>
      </c>
      <c r="R347" s="336">
        <v>84</v>
      </c>
      <c r="S347" s="336">
        <v>80</v>
      </c>
      <c r="T347" s="371">
        <v>83</v>
      </c>
      <c r="U347" s="371">
        <v>84</v>
      </c>
      <c r="V347" s="371">
        <v>82</v>
      </c>
      <c r="W347" s="371">
        <v>80</v>
      </c>
      <c r="X347" s="400">
        <v>81</v>
      </c>
      <c r="Y347" s="11"/>
    </row>
    <row r="348" spans="1:88" ht="12.5" customHeight="1">
      <c r="C348" s="9" t="str">
        <f>VLOOKUP(50,Textbausteine_Menu[],Hilfsgrössen!$D$2,FALSE)</f>
        <v>AutoPostale</v>
      </c>
      <c r="D348" s="18"/>
      <c r="E348" s="287"/>
      <c r="H348" s="354"/>
      <c r="I348" s="354"/>
      <c r="J348" s="354"/>
      <c r="K348" s="354"/>
      <c r="L348" s="354"/>
      <c r="M348" s="354"/>
      <c r="N348" s="354"/>
      <c r="O348" s="336"/>
      <c r="P348" s="336"/>
      <c r="Q348" s="336"/>
      <c r="R348" s="336"/>
      <c r="S348" s="336"/>
      <c r="T348" s="371"/>
      <c r="U348" s="371"/>
      <c r="V348" s="371"/>
      <c r="W348" s="371"/>
      <c r="X348" s="400"/>
      <c r="Y348" s="11"/>
    </row>
    <row r="349" spans="1:88" ht="12.5" customHeight="1">
      <c r="C349" s="69" t="str">
        <f>VLOOKUP(233,Textbausteine_102[],Hilfsgrössen!$D$2,FALSE)</f>
        <v>Turisti</v>
      </c>
      <c r="D349" s="18" t="str">
        <f>VLOOKUP(38,Textbausteine_102[],Hilfsgrössen!$D$2,FALSE)</f>
        <v>Indice</v>
      </c>
      <c r="E349" s="287">
        <v>1</v>
      </c>
      <c r="F349" s="37" t="s">
        <v>96</v>
      </c>
      <c r="H349" s="354">
        <v>83</v>
      </c>
      <c r="I349" s="354">
        <v>81</v>
      </c>
      <c r="J349" s="354">
        <v>81</v>
      </c>
      <c r="K349" s="354">
        <v>82</v>
      </c>
      <c r="L349" s="354">
        <v>82</v>
      </c>
      <c r="M349" s="354">
        <v>81</v>
      </c>
      <c r="N349" s="354">
        <v>83</v>
      </c>
      <c r="O349" s="336">
        <v>83</v>
      </c>
      <c r="P349" s="336">
        <v>83</v>
      </c>
      <c r="Q349" s="336">
        <v>83</v>
      </c>
      <c r="R349" s="336">
        <v>84</v>
      </c>
      <c r="S349" s="336">
        <v>83</v>
      </c>
      <c r="T349" s="371">
        <v>85</v>
      </c>
      <c r="U349" s="371">
        <v>86</v>
      </c>
      <c r="V349" s="371">
        <v>84</v>
      </c>
      <c r="W349" s="371">
        <v>85</v>
      </c>
      <c r="X349" s="400">
        <v>85</v>
      </c>
      <c r="Y349" s="11"/>
    </row>
    <row r="350" spans="1:88" ht="12.5" customHeight="1">
      <c r="C350" s="15" t="str">
        <f>VLOOKUP(234,Textbausteine_102[],Hilfsgrössen!$D$2,FALSE)</f>
        <v>Pendolari</v>
      </c>
      <c r="D350" s="1" t="str">
        <f>VLOOKUP(38,Textbausteine_102[],Hilfsgrössen!$D$2,FALSE)</f>
        <v>Indice</v>
      </c>
      <c r="E350" s="287">
        <v>1</v>
      </c>
      <c r="F350" s="37" t="s">
        <v>96</v>
      </c>
      <c r="H350" s="330">
        <v>75</v>
      </c>
      <c r="I350" s="330">
        <v>73</v>
      </c>
      <c r="J350" s="330">
        <v>73</v>
      </c>
      <c r="K350" s="330">
        <v>73</v>
      </c>
      <c r="L350" s="330">
        <v>75</v>
      </c>
      <c r="M350" s="330">
        <v>73</v>
      </c>
      <c r="N350" s="354">
        <v>75</v>
      </c>
      <c r="O350" s="354">
        <v>75</v>
      </c>
      <c r="P350" s="347">
        <v>74</v>
      </c>
      <c r="Q350" s="331">
        <v>74</v>
      </c>
      <c r="R350" s="330">
        <v>76</v>
      </c>
      <c r="S350" s="330">
        <v>74</v>
      </c>
      <c r="T350" s="371">
        <v>78</v>
      </c>
      <c r="U350" s="371">
        <v>77</v>
      </c>
      <c r="V350" s="371">
        <v>77</v>
      </c>
      <c r="W350" s="371">
        <v>77</v>
      </c>
      <c r="X350" s="400">
        <v>79</v>
      </c>
      <c r="Y350" s="11"/>
    </row>
    <row r="351" spans="1:88" ht="12.5" customHeight="1">
      <c r="C351" s="15"/>
      <c r="H351" s="330"/>
      <c r="I351" s="330"/>
      <c r="J351" s="330"/>
      <c r="K351" s="330"/>
      <c r="L351" s="330"/>
      <c r="M351" s="330"/>
      <c r="N351" s="354"/>
      <c r="O351" s="354"/>
      <c r="P351" s="347"/>
      <c r="Q351" s="331"/>
      <c r="R351" s="330"/>
      <c r="S351" s="330"/>
      <c r="T351" s="371"/>
      <c r="U351" s="371"/>
      <c r="V351" s="371"/>
      <c r="W351" s="371"/>
      <c r="X351" s="400"/>
      <c r="Y351" s="11"/>
    </row>
    <row r="352" spans="1:88" ht="12.5" customHeight="1">
      <c r="B352" s="8" t="str">
        <f>VLOOKUP(235,Textbausteine_102[],Hilfsgrössen!$D$2,FALSE)</f>
        <v>Clienti commerciali</v>
      </c>
      <c r="C352" s="15"/>
      <c r="H352" s="330"/>
      <c r="I352" s="330"/>
      <c r="J352" s="330"/>
      <c r="K352" s="330"/>
      <c r="L352" s="330"/>
      <c r="M352" s="330"/>
      <c r="N352" s="354"/>
      <c r="O352" s="354"/>
      <c r="P352" s="347"/>
      <c r="Q352" s="331"/>
      <c r="R352" s="330"/>
      <c r="S352" s="330"/>
      <c r="T352" s="371"/>
      <c r="U352" s="371"/>
      <c r="V352" s="371"/>
      <c r="W352" s="371"/>
      <c r="X352" s="400"/>
      <c r="Y352" s="11"/>
    </row>
    <row r="353" spans="2:25" ht="12.5" customHeight="1">
      <c r="C353" s="9" t="str">
        <f>VLOOKUP(45,Textbausteine_Menu[],Hilfsgrössen!$D$2,FALSE)</f>
        <v>PostMail</v>
      </c>
      <c r="D353" s="30" t="str">
        <f>VLOOKUP(38,Textbausteine_102[],Hilfsgrössen!$D$2,FALSE)</f>
        <v>Indice</v>
      </c>
      <c r="E353" s="283" t="s">
        <v>98</v>
      </c>
      <c r="F353" s="37" t="s">
        <v>96</v>
      </c>
      <c r="H353" s="330">
        <v>72</v>
      </c>
      <c r="I353" s="330">
        <v>74</v>
      </c>
      <c r="J353" s="330">
        <v>76</v>
      </c>
      <c r="K353" s="330">
        <v>78</v>
      </c>
      <c r="L353" s="330">
        <v>77</v>
      </c>
      <c r="M353" s="330">
        <v>76</v>
      </c>
      <c r="N353" s="354">
        <v>78</v>
      </c>
      <c r="O353" s="354">
        <v>78</v>
      </c>
      <c r="P353" s="347">
        <v>78</v>
      </c>
      <c r="Q353" s="331">
        <v>78</v>
      </c>
      <c r="R353" s="330">
        <v>79</v>
      </c>
      <c r="S353" s="330">
        <v>79</v>
      </c>
      <c r="T353" s="371">
        <v>80</v>
      </c>
      <c r="U353" s="371">
        <v>79</v>
      </c>
      <c r="V353" s="371">
        <v>81</v>
      </c>
      <c r="W353" s="371">
        <v>81</v>
      </c>
      <c r="X353" s="400">
        <v>81</v>
      </c>
      <c r="Y353" s="11"/>
    </row>
    <row r="354" spans="2:25" ht="12.5" customHeight="1">
      <c r="C354" s="9" t="str">
        <f>VLOOKUP(48,Textbausteine_Menu[],Hilfsgrössen!$D$2,FALSE)</f>
        <v>PostLogistics</v>
      </c>
      <c r="D354" s="74" t="str">
        <f>VLOOKUP(38,Textbausteine_102[],Hilfsgrössen!$D$2,FALSE)</f>
        <v>Indice</v>
      </c>
      <c r="E354" s="287" t="s">
        <v>28</v>
      </c>
      <c r="F354" s="37" t="s">
        <v>96</v>
      </c>
      <c r="H354" s="336">
        <v>78</v>
      </c>
      <c r="I354" s="336">
        <v>79</v>
      </c>
      <c r="J354" s="336">
        <v>80</v>
      </c>
      <c r="K354" s="336">
        <v>79</v>
      </c>
      <c r="L354" s="336">
        <v>79</v>
      </c>
      <c r="M354" s="336">
        <v>79</v>
      </c>
      <c r="N354" s="336">
        <v>79</v>
      </c>
      <c r="O354" s="336">
        <v>78</v>
      </c>
      <c r="P354" s="336">
        <v>78</v>
      </c>
      <c r="Q354" s="336">
        <v>78</v>
      </c>
      <c r="R354" s="336">
        <v>77</v>
      </c>
      <c r="S354" s="336">
        <v>77</v>
      </c>
      <c r="T354" s="371">
        <v>80</v>
      </c>
      <c r="U354" s="371">
        <v>79</v>
      </c>
      <c r="V354" s="371">
        <v>80</v>
      </c>
      <c r="W354" s="371">
        <v>80</v>
      </c>
      <c r="X354" s="400">
        <v>81</v>
      </c>
      <c r="Y354" s="11"/>
    </row>
    <row r="355" spans="2:25" ht="12.5" customHeight="1">
      <c r="C355" s="9" t="str">
        <f>VLOOKUP(46,Textbausteine_Menu[],Hilfsgrössen!$D$2,FALSE)</f>
        <v>Swiss Post Solutions</v>
      </c>
      <c r="D355" s="30" t="str">
        <f>VLOOKUP(38,Textbausteine_102[],Hilfsgrössen!$D$2,FALSE)</f>
        <v>Indice</v>
      </c>
      <c r="E355" s="283" t="s">
        <v>99</v>
      </c>
      <c r="F355" s="37" t="s">
        <v>96</v>
      </c>
      <c r="H355" s="330">
        <v>72</v>
      </c>
      <c r="I355" s="330">
        <v>76</v>
      </c>
      <c r="J355" s="330">
        <v>76</v>
      </c>
      <c r="K355" s="330">
        <v>75</v>
      </c>
      <c r="L355" s="330">
        <v>77</v>
      </c>
      <c r="M355" s="330">
        <v>78</v>
      </c>
      <c r="N355" s="354">
        <v>81</v>
      </c>
      <c r="O355" s="354">
        <v>82</v>
      </c>
      <c r="P355" s="347">
        <v>83</v>
      </c>
      <c r="Q355" s="331">
        <v>80</v>
      </c>
      <c r="R355" s="330">
        <v>82</v>
      </c>
      <c r="S355" s="330">
        <v>79</v>
      </c>
      <c r="T355" s="371">
        <v>86</v>
      </c>
      <c r="U355" s="371">
        <v>87</v>
      </c>
      <c r="V355" s="371">
        <v>87</v>
      </c>
      <c r="W355" s="371">
        <v>88</v>
      </c>
      <c r="X355" s="400">
        <v>88</v>
      </c>
      <c r="Y355" s="11"/>
    </row>
    <row r="356" spans="2:25" ht="12.5" customHeight="1">
      <c r="C356" s="9" t="str">
        <f>VLOOKUP(49,Textbausteine_Menu[],Hilfsgrössen!$D$2,FALSE)</f>
        <v>PostFinance</v>
      </c>
      <c r="D356" s="30" t="str">
        <f>VLOOKUP(38,Textbausteine_102[],Hilfsgrössen!$D$2,FALSE)</f>
        <v>Indice</v>
      </c>
      <c r="E356" s="283">
        <v>1</v>
      </c>
      <c r="F356" s="37" t="s">
        <v>96</v>
      </c>
      <c r="H356" s="330">
        <v>80</v>
      </c>
      <c r="I356" s="330">
        <v>81</v>
      </c>
      <c r="J356" s="330">
        <v>82</v>
      </c>
      <c r="K356" s="330">
        <v>82</v>
      </c>
      <c r="L356" s="330">
        <v>82</v>
      </c>
      <c r="M356" s="330">
        <v>83</v>
      </c>
      <c r="N356" s="354">
        <v>83</v>
      </c>
      <c r="O356" s="354">
        <v>83</v>
      </c>
      <c r="P356" s="347">
        <v>84</v>
      </c>
      <c r="Q356" s="331">
        <v>83</v>
      </c>
      <c r="R356" s="330">
        <v>82</v>
      </c>
      <c r="S356" s="330">
        <v>79</v>
      </c>
      <c r="T356" s="371">
        <v>81</v>
      </c>
      <c r="U356" s="371">
        <v>80</v>
      </c>
      <c r="V356" s="371">
        <v>80</v>
      </c>
      <c r="W356" s="371">
        <v>76</v>
      </c>
      <c r="X356" s="400">
        <v>78</v>
      </c>
      <c r="Y356" s="11"/>
    </row>
    <row r="357" spans="2:25" ht="12.5" customHeight="1">
      <c r="C357" s="15"/>
      <c r="H357" s="159"/>
      <c r="I357" s="159"/>
      <c r="J357" s="159"/>
      <c r="K357" s="159"/>
      <c r="L357" s="159"/>
      <c r="M357" s="159"/>
      <c r="N357" s="20"/>
      <c r="O357" s="20"/>
      <c r="P357" s="106"/>
      <c r="Q357" s="160"/>
      <c r="R357" s="159"/>
      <c r="S357" s="159"/>
      <c r="T357" s="160"/>
      <c r="U357" s="160"/>
      <c r="V357" s="160"/>
      <c r="W357" s="160"/>
      <c r="X357" s="160"/>
    </row>
    <row r="358" spans="2:25" ht="12.5" customHeight="1">
      <c r="B358" s="26" t="str">
        <f>VLOOKUP(338,Textbausteine_102[],Hilfsgrössen!$D$2,FALSE)</f>
        <v xml:space="preserve">1) Il rilevamento della soddisfazione della clientela analizza ogni anno qual è il grado di soddisfazione dei clienti nei confronti dei servizi della Posta. Fino al 31 dicembre 2015 i risultati sono stati rappresentati in un valore indicizzato medio formato da Soddisfazione delle aspettative, Vicinanza all’ideale e Soddisfazione complessiva. Dall’1º gennaio 2016 viene rappresentato l’indice della Soddisfazione complessiva. </v>
      </c>
    </row>
    <row r="359" spans="2:25" ht="12.5" customHeight="1">
      <c r="B359" s="26" t="str">
        <f>VLOOKUP(339,Textbausteine_102[],Hilfsgrössen!$D$2,FALSE)</f>
        <v>2) Dal 2019 RetePostale effettua con i suoi clienti solo sondaggi online. Il valore dell’anno precedente (2018) è stato adattato per una migliore comparabilità. I valori precedenti al 2018 non sono raffrontabili.</v>
      </c>
    </row>
    <row r="360" spans="2:25" ht="12.5" customHeight="1">
      <c r="B360" s="26" t="str">
        <f>VLOOKUP(340,Textbausteine_102[],Hilfsgrössen!$D$2,FALSE)</f>
        <v>3) A causa dell’introduzione nel 2018 di un nuovo metodo di rilevamento non è possibile indicare un valore comparabile con quello dell'anno precedente.</v>
      </c>
    </row>
    <row r="361" spans="2:25" ht="12.5" customHeight="1">
      <c r="B361" s="26" t="str">
        <f>VLOOKUP(341,Textbausteine_102[],Hilfsgrössen!$D$2,FALSE)</f>
        <v>4) A causa di variazioni nel campionamento, i risultati del 2015 non sono confrontabili con quelli degli anni precedenti.</v>
      </c>
    </row>
    <row r="362" spans="2:25" ht="12.5" customHeight="1">
      <c r="B362" s="26" t="str">
        <f>VLOOKUP(342,Textbausteine_102[],Hilfsgrössen!$D$2,FALSE)</f>
        <v>5) Posta CH SA senza le società del gruppo in Svizzera e all'estero.</v>
      </c>
    </row>
    <row r="363" spans="2:25" ht="12.5" customHeight="1">
      <c r="B363" s="26" t="str">
        <f>VLOOKUP(343,Textbausteine_102[],Hilfsgrössen!$D$2,FALSE)</f>
        <v>6) La soddisfazione della clientela nei confronti dell'unità del gruppo PostLogistics è stata misurata per la prima volta nel 2007; i valori degli anni precedenti si riferiscono alla vecchia unità PostaPacchi.</v>
      </c>
      <c r="C363" s="15"/>
      <c r="H363" s="159"/>
      <c r="I363" s="159"/>
      <c r="J363" s="159"/>
      <c r="K363" s="159"/>
      <c r="L363" s="159"/>
      <c r="M363" s="159"/>
      <c r="N363" s="20"/>
      <c r="O363" s="20"/>
      <c r="P363" s="106"/>
      <c r="Q363" s="160"/>
      <c r="R363" s="159"/>
      <c r="S363" s="159"/>
      <c r="T363" s="160"/>
      <c r="U363" s="160"/>
      <c r="V363" s="160"/>
      <c r="W363" s="160"/>
      <c r="X363" s="160"/>
    </row>
    <row r="364" spans="2:25" ht="12.5" customHeight="1">
      <c r="B364" s="26" t="str">
        <f>VLOOKUP(344,Textbausteine_102[],Hilfsgrössen!$D$2,FALSE)</f>
        <v>7)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v>
      </c>
    </row>
  </sheetData>
  <sheetProtection algorithmName="SHA-512" hashValue="AlrO/LMTGz5iDf9FA6Mm7q4bik1FGAWJJQH4JK3ir6VJ/pb/Cc3dLnbtT/OuArWUQDFNjuiXmgxq+7YAnJ0zTQ==" saltValue="BwHmHGzuhbOaPYOMalBrlQ==" spinCount="100000" sheet="1" objects="1" scenarios="1"/>
  <mergeCells count="14">
    <mergeCell ref="B340:C341"/>
    <mergeCell ref="D2:E2"/>
    <mergeCell ref="B267:C268"/>
    <mergeCell ref="B297:C298"/>
    <mergeCell ref="B2:C2"/>
    <mergeCell ref="B3:C3"/>
    <mergeCell ref="B194:C195"/>
    <mergeCell ref="B253:C254"/>
    <mergeCell ref="B20:C21"/>
    <mergeCell ref="B328:C329"/>
    <mergeCell ref="B47:C48"/>
    <mergeCell ref="B59:C60"/>
    <mergeCell ref="B74:C75"/>
    <mergeCell ref="B173:C174"/>
  </mergeCells>
  <conditionalFormatting sqref="H20:CD23 Y24:CD24 H70:CD82 H87:CD88 Y83:CD86 H98:CD99 Y89:CD97 Y100:CD105 H127:CD133 H126 N126:CD126 H136:CD138 Y134:CD135 H142:CD148 Y139:CD141 Y149:CD149 H150:CD199 K200:CD200 H279:CD286 N277:CD277 P278:CD278 H289:CD303 Y288:CD288 H287:K288 T287:CD287 H310:CD311 Y304:CD309 H312:Q315 Y312:CD315 H316:CD344 H357:CD10020 Y345:CD356 H106:CD125 H25:CD52 Y53:CD53 H54:CD62 H63:X65 H69:X69 Z63:CD69 H201:CD276">
    <cfRule type="expression" dxfId="270" priority="131">
      <formula>AND($D20&lt;&gt;"",H$20&lt;&gt;"",H20="")</formula>
    </cfRule>
    <cfRule type="expression" dxfId="269" priority="165">
      <formula>AND($A20="",ABS(H20)=0)</formula>
    </cfRule>
    <cfRule type="expression" dxfId="268" priority="167">
      <formula>AND($A20="",ABS(H20)&lt;10)</formula>
    </cfRule>
    <cfRule type="expression" dxfId="267" priority="168">
      <formula>AND($A20="",ABS(H20)&lt;100)</formula>
    </cfRule>
    <cfRule type="expression" dxfId="266" priority="169">
      <formula>AND($A20="",ABS(H20)&gt;=100)</formula>
    </cfRule>
  </conditionalFormatting>
  <conditionalFormatting sqref="Y63:Y66">
    <cfRule type="expression" dxfId="265" priority="126">
      <formula>AND($D63&lt;&gt;"",Y$20&lt;&gt;"",Y63="")</formula>
    </cfRule>
    <cfRule type="expression" dxfId="264" priority="127">
      <formula>AND($A63="",ABS(Y63)=0)</formula>
    </cfRule>
    <cfRule type="expression" dxfId="263" priority="128">
      <formula>AND($A63="",ABS(Y63)&lt;10)</formula>
    </cfRule>
    <cfRule type="expression" dxfId="262" priority="129">
      <formula>AND($A63="",ABS(Y63)&lt;100)</formula>
    </cfRule>
    <cfRule type="expression" dxfId="261" priority="130">
      <formula>AND($A63="",ABS(Y63)&gt;=100)</formula>
    </cfRule>
  </conditionalFormatting>
  <conditionalFormatting sqref="Y67:Y69">
    <cfRule type="expression" dxfId="260" priority="121">
      <formula>AND($D67&lt;&gt;"",Y$20&lt;&gt;"",Y67="")</formula>
    </cfRule>
    <cfRule type="expression" dxfId="259" priority="122">
      <formula>AND($A67="",ABS(Y67)=0)</formula>
    </cfRule>
    <cfRule type="expression" dxfId="258" priority="123">
      <formula>AND($A67="",ABS(Y67)&lt;10)</formula>
    </cfRule>
    <cfRule type="expression" dxfId="257" priority="124">
      <formula>AND($A67="",ABS(Y67)&lt;100)</formula>
    </cfRule>
    <cfRule type="expression" dxfId="256" priority="125">
      <formula>AND($A67="",ABS(Y67)&gt;=100)</formula>
    </cfRule>
  </conditionalFormatting>
  <conditionalFormatting sqref="S94">
    <cfRule type="expression" dxfId="255" priority="116">
      <formula>AND($D94&lt;&gt;"",S$20&lt;&gt;"",S94="")</formula>
    </cfRule>
    <cfRule type="expression" dxfId="254" priority="117">
      <formula>AND($A94="",ABS(S94)=0)</formula>
    </cfRule>
    <cfRule type="expression" dxfId="253" priority="118">
      <formula>AND($A94="",ABS(S94)&lt;10)</formula>
    </cfRule>
    <cfRule type="expression" dxfId="252" priority="119">
      <formula>AND($A94="",ABS(S94)&lt;100)</formula>
    </cfRule>
    <cfRule type="expression" dxfId="251" priority="120">
      <formula>AND($A94="",ABS(S94)&gt;=100)</formula>
    </cfRule>
  </conditionalFormatting>
  <conditionalFormatting sqref="S95">
    <cfRule type="expression" dxfId="250" priority="111">
      <formula>AND($D95&lt;&gt;"",S$20&lt;&gt;"",S95="")</formula>
    </cfRule>
    <cfRule type="expression" dxfId="249" priority="112">
      <formula>AND($A95="",ABS(S95)=0)</formula>
    </cfRule>
    <cfRule type="expression" dxfId="248" priority="113">
      <formula>AND($A95="",ABS(S95)&lt;10)</formula>
    </cfRule>
    <cfRule type="expression" dxfId="247" priority="114">
      <formula>AND($A95="",ABS(S95)&lt;100)</formula>
    </cfRule>
    <cfRule type="expression" dxfId="246" priority="115">
      <formula>AND($A95="",ABS(S95)&gt;=100)</formula>
    </cfRule>
  </conditionalFormatting>
  <conditionalFormatting sqref="R94">
    <cfRule type="expression" dxfId="245" priority="106">
      <formula>AND($D94&lt;&gt;"",R$20&lt;&gt;"",R94="")</formula>
    </cfRule>
    <cfRule type="expression" dxfId="244" priority="107">
      <formula>AND($A94="",ABS(R94)=0)</formula>
    </cfRule>
    <cfRule type="expression" dxfId="243" priority="108">
      <formula>AND($A94="",ABS(R94)&lt;10)</formula>
    </cfRule>
    <cfRule type="expression" dxfId="242" priority="109">
      <formula>AND($A94="",ABS(R94)&lt;100)</formula>
    </cfRule>
    <cfRule type="expression" dxfId="241" priority="110">
      <formula>AND($A94="",ABS(R94)&gt;=100)</formula>
    </cfRule>
  </conditionalFormatting>
  <conditionalFormatting sqref="R95">
    <cfRule type="expression" dxfId="240" priority="101">
      <formula>AND($D95&lt;&gt;"",R$20&lt;&gt;"",R95="")</formula>
    </cfRule>
    <cfRule type="expression" dxfId="239" priority="102">
      <formula>AND($A95="",ABS(R95)=0)</formula>
    </cfRule>
    <cfRule type="expression" dxfId="238" priority="103">
      <formula>AND($A95="",ABS(R95)&lt;10)</formula>
    </cfRule>
    <cfRule type="expression" dxfId="237" priority="104">
      <formula>AND($A95="",ABS(R95)&lt;100)</formula>
    </cfRule>
    <cfRule type="expression" dxfId="236" priority="105">
      <formula>AND($A95="",ABS(R95)&gt;=100)</formula>
    </cfRule>
  </conditionalFormatting>
  <conditionalFormatting sqref="Q94">
    <cfRule type="expression" dxfId="235" priority="96">
      <formula>AND($D94&lt;&gt;"",Q$20&lt;&gt;"",Q94="")</formula>
    </cfRule>
    <cfRule type="expression" dxfId="234" priority="97">
      <formula>AND($A94="",ABS(Q94)=0)</formula>
    </cfRule>
    <cfRule type="expression" dxfId="233" priority="98">
      <formula>AND($A94="",ABS(Q94)&lt;10)</formula>
    </cfRule>
    <cfRule type="expression" dxfId="232" priority="99">
      <formula>AND($A94="",ABS(Q94)&lt;100)</formula>
    </cfRule>
    <cfRule type="expression" dxfId="231" priority="100">
      <formula>AND($A94="",ABS(Q94)&gt;=100)</formula>
    </cfRule>
  </conditionalFormatting>
  <conditionalFormatting sqref="Q95">
    <cfRule type="expression" dxfId="230" priority="91">
      <formula>AND($D95&lt;&gt;"",Q$20&lt;&gt;"",Q95="")</formula>
    </cfRule>
    <cfRule type="expression" dxfId="229" priority="92">
      <formula>AND($A95="",ABS(Q95)=0)</formula>
    </cfRule>
    <cfRule type="expression" dxfId="228" priority="93">
      <formula>AND($A95="",ABS(Q95)&lt;10)</formula>
    </cfRule>
    <cfRule type="expression" dxfId="227" priority="94">
      <formula>AND($A95="",ABS(Q95)&lt;100)</formula>
    </cfRule>
    <cfRule type="expression" dxfId="226" priority="95">
      <formula>AND($A95="",ABS(Q95)&gt;=100)</formula>
    </cfRule>
  </conditionalFormatting>
  <conditionalFormatting sqref="P94">
    <cfRule type="expression" dxfId="225" priority="86">
      <formula>AND($D94&lt;&gt;"",P$20&lt;&gt;"",P94="")</formula>
    </cfRule>
    <cfRule type="expression" dxfId="224" priority="87">
      <formula>AND($A94="",ABS(P94)=0)</formula>
    </cfRule>
    <cfRule type="expression" dxfId="223" priority="88">
      <formula>AND($A94="",ABS(P94)&lt;10)</formula>
    </cfRule>
    <cfRule type="expression" dxfId="222" priority="89">
      <formula>AND($A94="",ABS(P94)&lt;100)</formula>
    </cfRule>
    <cfRule type="expression" dxfId="221" priority="90">
      <formula>AND($A94="",ABS(P94)&gt;=100)</formula>
    </cfRule>
  </conditionalFormatting>
  <conditionalFormatting sqref="P95">
    <cfRule type="expression" dxfId="220" priority="81">
      <formula>AND($D95&lt;&gt;"",P$20&lt;&gt;"",P95="")</formula>
    </cfRule>
    <cfRule type="expression" dxfId="219" priority="82">
      <formula>AND($A95="",ABS(P95)=0)</formula>
    </cfRule>
    <cfRule type="expression" dxfId="218" priority="83">
      <formula>AND($A95="",ABS(P95)&lt;10)</formula>
    </cfRule>
    <cfRule type="expression" dxfId="217" priority="84">
      <formula>AND($A95="",ABS(P95)&lt;100)</formula>
    </cfRule>
    <cfRule type="expression" dxfId="216" priority="85">
      <formula>AND($A95="",ABS(P95)&gt;=100)</formula>
    </cfRule>
  </conditionalFormatting>
  <conditionalFormatting sqref="O94">
    <cfRule type="expression" dxfId="215" priority="76">
      <formula>AND($D94&lt;&gt;"",O$20&lt;&gt;"",O94="")</formula>
    </cfRule>
    <cfRule type="expression" dxfId="214" priority="77">
      <formula>AND($A94="",ABS(O94)=0)</formula>
    </cfRule>
    <cfRule type="expression" dxfId="213" priority="78">
      <formula>AND($A94="",ABS(O94)&lt;10)</formula>
    </cfRule>
    <cfRule type="expression" dxfId="212" priority="79">
      <formula>AND($A94="",ABS(O94)&lt;100)</formula>
    </cfRule>
    <cfRule type="expression" dxfId="211" priority="80">
      <formula>AND($A94="",ABS(O94)&gt;=100)</formula>
    </cfRule>
  </conditionalFormatting>
  <conditionalFormatting sqref="O95">
    <cfRule type="expression" dxfId="210" priority="71">
      <formula>AND($D95&lt;&gt;"",O$20&lt;&gt;"",O95="")</formula>
    </cfRule>
    <cfRule type="expression" dxfId="209" priority="72">
      <formula>AND($A95="",ABS(O95)=0)</formula>
    </cfRule>
    <cfRule type="expression" dxfId="208" priority="73">
      <formula>AND($A95="",ABS(O95)&lt;10)</formula>
    </cfRule>
    <cfRule type="expression" dxfId="207" priority="74">
      <formula>AND($A95="",ABS(O95)&lt;100)</formula>
    </cfRule>
    <cfRule type="expression" dxfId="206" priority="75">
      <formula>AND($A95="",ABS(O95)&gt;=100)</formula>
    </cfRule>
  </conditionalFormatting>
  <conditionalFormatting sqref="N94">
    <cfRule type="expression" dxfId="205" priority="66">
      <formula>AND($D94&lt;&gt;"",N$20&lt;&gt;"",N94="")</formula>
    </cfRule>
    <cfRule type="expression" dxfId="204" priority="67">
      <formula>AND($A94="",ABS(N94)=0)</formula>
    </cfRule>
    <cfRule type="expression" dxfId="203" priority="68">
      <formula>AND($A94="",ABS(N94)&lt;10)</formula>
    </cfRule>
    <cfRule type="expression" dxfId="202" priority="69">
      <formula>AND($A94="",ABS(N94)&lt;100)</formula>
    </cfRule>
    <cfRule type="expression" dxfId="201" priority="70">
      <formula>AND($A94="",ABS(N94)&gt;=100)</formula>
    </cfRule>
  </conditionalFormatting>
  <conditionalFormatting sqref="N95">
    <cfRule type="expression" dxfId="200" priority="61">
      <formula>AND($D95&lt;&gt;"",N$20&lt;&gt;"",N95="")</formula>
    </cfRule>
    <cfRule type="expression" dxfId="199" priority="62">
      <formula>AND($A95="",ABS(N95)=0)</formula>
    </cfRule>
    <cfRule type="expression" dxfId="198" priority="63">
      <formula>AND($A95="",ABS(N95)&lt;10)</formula>
    </cfRule>
    <cfRule type="expression" dxfId="197" priority="64">
      <formula>AND($A95="",ABS(N95)&lt;100)</formula>
    </cfRule>
    <cfRule type="expression" dxfId="196" priority="65">
      <formula>AND($A95="",ABS(N95)&gt;=100)</formula>
    </cfRule>
  </conditionalFormatting>
  <conditionalFormatting sqref="M94">
    <cfRule type="expression" dxfId="195" priority="56">
      <formula>AND($D94&lt;&gt;"",M$20&lt;&gt;"",M94="")</formula>
    </cfRule>
    <cfRule type="expression" dxfId="194" priority="57">
      <formula>AND($A94="",ABS(M94)=0)</formula>
    </cfRule>
    <cfRule type="expression" dxfId="193" priority="58">
      <formula>AND($A94="",ABS(M94)&lt;10)</formula>
    </cfRule>
    <cfRule type="expression" dxfId="192" priority="59">
      <formula>AND($A94="",ABS(M94)&lt;100)</formula>
    </cfRule>
    <cfRule type="expression" dxfId="191" priority="60">
      <formula>AND($A94="",ABS(M94)&gt;=100)</formula>
    </cfRule>
  </conditionalFormatting>
  <conditionalFormatting sqref="M95">
    <cfRule type="expression" dxfId="190" priority="51">
      <formula>AND($D95&lt;&gt;"",M$20&lt;&gt;"",M95="")</formula>
    </cfRule>
    <cfRule type="expression" dxfId="189" priority="52">
      <formula>AND($A95="",ABS(M95)=0)</formula>
    </cfRule>
    <cfRule type="expression" dxfId="188" priority="53">
      <formula>AND($A95="",ABS(M95)&lt;10)</formula>
    </cfRule>
    <cfRule type="expression" dxfId="187" priority="54">
      <formula>AND($A95="",ABS(M95)&lt;100)</formula>
    </cfRule>
    <cfRule type="expression" dxfId="186" priority="55">
      <formula>AND($A95="",ABS(M95)&gt;=100)</formula>
    </cfRule>
  </conditionalFormatting>
  <conditionalFormatting sqref="L94">
    <cfRule type="expression" dxfId="185" priority="46">
      <formula>AND($D94&lt;&gt;"",L$20&lt;&gt;"",L94="")</formula>
    </cfRule>
    <cfRule type="expression" dxfId="184" priority="47">
      <formula>AND($A94="",ABS(L94)=0)</formula>
    </cfRule>
    <cfRule type="expression" dxfId="183" priority="48">
      <formula>AND($A94="",ABS(L94)&lt;10)</formula>
    </cfRule>
    <cfRule type="expression" dxfId="182" priority="49">
      <formula>AND($A94="",ABS(L94)&lt;100)</formula>
    </cfRule>
    <cfRule type="expression" dxfId="181" priority="50">
      <formula>AND($A94="",ABS(L94)&gt;=100)</formula>
    </cfRule>
  </conditionalFormatting>
  <conditionalFormatting sqref="L95">
    <cfRule type="expression" dxfId="180" priority="41">
      <formula>AND($D95&lt;&gt;"",L$20&lt;&gt;"",L95="")</formula>
    </cfRule>
    <cfRule type="expression" dxfId="179" priority="42">
      <formula>AND($A95="",ABS(L95)=0)</formula>
    </cfRule>
    <cfRule type="expression" dxfId="178" priority="43">
      <formula>AND($A95="",ABS(L95)&lt;10)</formula>
    </cfRule>
    <cfRule type="expression" dxfId="177" priority="44">
      <formula>AND($A95="",ABS(L95)&lt;100)</formula>
    </cfRule>
    <cfRule type="expression" dxfId="176" priority="45">
      <formula>AND($A95="",ABS(L95)&gt;=100)</formula>
    </cfRule>
  </conditionalFormatting>
  <conditionalFormatting sqref="K94">
    <cfRule type="expression" dxfId="175" priority="36">
      <formula>AND($D94&lt;&gt;"",K$20&lt;&gt;"",K94="")</formula>
    </cfRule>
    <cfRule type="expression" dxfId="174" priority="37">
      <formula>AND($A94="",ABS(K94)=0)</formula>
    </cfRule>
    <cfRule type="expression" dxfId="173" priority="38">
      <formula>AND($A94="",ABS(K94)&lt;10)</formula>
    </cfRule>
    <cfRule type="expression" dxfId="172" priority="39">
      <formula>AND($A94="",ABS(K94)&lt;100)</formula>
    </cfRule>
    <cfRule type="expression" dxfId="171" priority="40">
      <formula>AND($A94="",ABS(K94)&gt;=100)</formula>
    </cfRule>
  </conditionalFormatting>
  <conditionalFormatting sqref="K95">
    <cfRule type="expression" dxfId="170" priority="31">
      <formula>AND($D95&lt;&gt;"",K$20&lt;&gt;"",K95="")</formula>
    </cfRule>
    <cfRule type="expression" dxfId="169" priority="32">
      <formula>AND($A95="",ABS(K95)=0)</formula>
    </cfRule>
    <cfRule type="expression" dxfId="168" priority="33">
      <formula>AND($A95="",ABS(K95)&lt;10)</formula>
    </cfRule>
    <cfRule type="expression" dxfId="167" priority="34">
      <formula>AND($A95="",ABS(K95)&lt;100)</formula>
    </cfRule>
    <cfRule type="expression" dxfId="166" priority="35">
      <formula>AND($A95="",ABS(K95)&gt;=100)</formula>
    </cfRule>
  </conditionalFormatting>
  <conditionalFormatting sqref="J94">
    <cfRule type="expression" dxfId="165" priority="26">
      <formula>AND($D94&lt;&gt;"",J$20&lt;&gt;"",J94="")</formula>
    </cfRule>
    <cfRule type="expression" dxfId="164" priority="27">
      <formula>AND($A94="",ABS(J94)=0)</formula>
    </cfRule>
    <cfRule type="expression" dxfId="163" priority="28">
      <formula>AND($A94="",ABS(J94)&lt;10)</formula>
    </cfRule>
    <cfRule type="expression" dxfId="162" priority="29">
      <formula>AND($A94="",ABS(J94)&lt;100)</formula>
    </cfRule>
    <cfRule type="expression" dxfId="161" priority="30">
      <formula>AND($A94="",ABS(J94)&gt;=100)</formula>
    </cfRule>
  </conditionalFormatting>
  <conditionalFormatting sqref="J95">
    <cfRule type="expression" dxfId="160" priority="21">
      <formula>AND($D95&lt;&gt;"",J$20&lt;&gt;"",J95="")</formula>
    </cfRule>
    <cfRule type="expression" dxfId="159" priority="22">
      <formula>AND($A95="",ABS(J95)=0)</formula>
    </cfRule>
    <cfRule type="expression" dxfId="158" priority="23">
      <formula>AND($A95="",ABS(J95)&lt;10)</formula>
    </cfRule>
    <cfRule type="expression" dxfId="157" priority="24">
      <formula>AND($A95="",ABS(J95)&lt;100)</formula>
    </cfRule>
    <cfRule type="expression" dxfId="156" priority="25">
      <formula>AND($A95="",ABS(J95)&gt;=100)</formula>
    </cfRule>
  </conditionalFormatting>
  <conditionalFormatting sqref="I94">
    <cfRule type="expression" dxfId="155" priority="16">
      <formula>AND($D94&lt;&gt;"",I$20&lt;&gt;"",I94="")</formula>
    </cfRule>
    <cfRule type="expression" dxfId="154" priority="17">
      <formula>AND($A94="",ABS(I94)=0)</formula>
    </cfRule>
    <cfRule type="expression" dxfId="153" priority="18">
      <formula>AND($A94="",ABS(I94)&lt;10)</formula>
    </cfRule>
    <cfRule type="expression" dxfId="152" priority="19">
      <formula>AND($A94="",ABS(I94)&lt;100)</formula>
    </cfRule>
    <cfRule type="expression" dxfId="151" priority="20">
      <formula>AND($A94="",ABS(I94)&gt;=100)</formula>
    </cfRule>
  </conditionalFormatting>
  <conditionalFormatting sqref="I95">
    <cfRule type="expression" dxfId="150" priority="11">
      <formula>AND($D95&lt;&gt;"",I$20&lt;&gt;"",I95="")</formula>
    </cfRule>
    <cfRule type="expression" dxfId="149" priority="12">
      <formula>AND($A95="",ABS(I95)=0)</formula>
    </cfRule>
    <cfRule type="expression" dxfId="148" priority="13">
      <formula>AND($A95="",ABS(I95)&lt;10)</formula>
    </cfRule>
    <cfRule type="expression" dxfId="147" priority="14">
      <formula>AND($A95="",ABS(I95)&lt;100)</formula>
    </cfRule>
    <cfRule type="expression" dxfId="146" priority="15">
      <formula>AND($A95="",ABS(I95)&gt;=100)</formula>
    </cfRule>
  </conditionalFormatting>
  <conditionalFormatting sqref="H94">
    <cfRule type="expression" dxfId="145" priority="6">
      <formula>AND($D94&lt;&gt;"",H$20&lt;&gt;"",H94="")</formula>
    </cfRule>
    <cfRule type="expression" dxfId="144" priority="7">
      <formula>AND($A94="",ABS(H94)=0)</formula>
    </cfRule>
    <cfRule type="expression" dxfId="143" priority="8">
      <formula>AND($A94="",ABS(H94)&lt;10)</formula>
    </cfRule>
    <cfRule type="expression" dxfId="142" priority="9">
      <formula>AND($A94="",ABS(H94)&lt;100)</formula>
    </cfRule>
    <cfRule type="expression" dxfId="141" priority="10">
      <formula>AND($A94="",ABS(H94)&gt;=100)</formula>
    </cfRule>
  </conditionalFormatting>
  <conditionalFormatting sqref="H95">
    <cfRule type="expression" dxfId="140" priority="1">
      <formula>AND($D95&lt;&gt;"",H$20&lt;&gt;"",H95="")</formula>
    </cfRule>
    <cfRule type="expression" dxfId="139" priority="2">
      <formula>AND($A95="",ABS(H95)=0)</formula>
    </cfRule>
    <cfRule type="expression" dxfId="138" priority="3">
      <formula>AND($A95="",ABS(H95)&lt;10)</formula>
    </cfRule>
    <cfRule type="expression" dxfId="137" priority="4">
      <formula>AND($A95="",ABS(H95)&lt;100)</formula>
    </cfRule>
    <cfRule type="expression" dxfId="136" priority="5">
      <formula>AND($A95="",ABS(H95)&gt;=100)</formula>
    </cfRule>
  </conditionalFormatting>
  <dataValidations count="2">
    <dataValidation type="list" allowBlank="1" showInputMessage="1" showErrorMessage="1" sqref="G2" xr:uid="{00000000-0002-0000-0100-000000000000}">
      <formula1>Sprache</formula1>
    </dataValidation>
    <dataValidation allowBlank="1" showInputMessage="1" showErrorMessage="1" sqref="F2" xr:uid="{00000000-0002-0000-0100-000001000000}"/>
  </dataValidations>
  <hyperlinks>
    <hyperlink ref="D2" location="Home" display="Home" xr:uid="{00000000-0004-0000-0100-000000000000}"/>
    <hyperlink ref="A194" location="GRI_102" display="Ó" xr:uid="{00000000-0004-0000-0100-000001000000}"/>
    <hyperlink ref="A253" location="GRI_102" display="Ó" xr:uid="{00000000-0004-0000-0100-000002000000}"/>
    <hyperlink ref="A297" location="GRI_102" display="Ó" xr:uid="{00000000-0004-0000-0100-000003000000}"/>
    <hyperlink ref="A267" location="GRI_102" display="Ó" xr:uid="{00000000-0004-0000-0100-000004000000}"/>
    <hyperlink ref="C12" location="GRI_102_8a" display="GRI_102_8a" xr:uid="{00000000-0004-0000-0100-000005000000}"/>
    <hyperlink ref="C13" location="GRI_102_8b" display="GRI_102_8b" xr:uid="{00000000-0004-0000-0100-000006000000}"/>
    <hyperlink ref="C14" location="GRI_102_8c" display="GRI_102_8c" xr:uid="{00000000-0004-0000-0100-000007000000}"/>
    <hyperlink ref="C15" location="GRI_102_8d" display="GRI_102_8d" xr:uid="{00000000-0004-0000-0100-000008000000}"/>
    <hyperlink ref="A328" location="GRI_102" display="Ó" xr:uid="{00000000-0004-0000-0100-000009000000}"/>
    <hyperlink ref="A47" location="GRI_102" display="Ó" xr:uid="{00000000-0004-0000-0100-00000A000000}"/>
    <hyperlink ref="A59" location="GRI_102" display="Ó" xr:uid="{00000000-0004-0000-0100-00000B000000}"/>
    <hyperlink ref="A74" location="GRI_102" display="Ó" xr:uid="{00000000-0004-0000-0100-00000C000000}"/>
    <hyperlink ref="A173" location="GRI_102" display="Ó" xr:uid="{00000000-0004-0000-0100-00000D000000}"/>
    <hyperlink ref="A340" location="GRI_102" display="Ó" xr:uid="{00000000-0004-0000-0100-00000E000000}"/>
    <hyperlink ref="C8" location="GRI_102_7a" display="Finanzierung" xr:uid="{00000000-0004-0000-0100-00000F000000}"/>
    <hyperlink ref="C9" location="GRI_102_7b" display="Cashflow und Investitionen" xr:uid="{00000000-0004-0000-0100-000010000000}"/>
    <hyperlink ref="C10" location="GRI_102_7c" display="Mengenentwicklung Konzern, in den Segmenten und Bereichen" xr:uid="{00000000-0004-0000-0100-000011000000}"/>
    <hyperlink ref="C11" location="GRI_102_7d" display="Volumen Zahlungsverkehr" xr:uid="{00000000-0004-0000-0100-000012000000}"/>
    <hyperlink ref="A20" location="GRI_102" display="Ó" xr:uid="{00000000-0004-0000-0100-000013000000}"/>
    <hyperlink ref="C7" location="GRI_102_6a" display="GRI_102_6a" xr:uid="{00000000-0004-0000-0100-000014000000}"/>
    <hyperlink ref="C16" location="GRI_102_9a" display="Lieferkette" xr:uid="{00000000-0004-0000-0100-000015000000}"/>
    <hyperlink ref="C17" location="GRI_102_43a" display="Kundenzufriedenheit" xr:uid="{00000000-0004-0000-0100-000016000000}"/>
  </hyperlinks>
  <pageMargins left="0.7" right="0.7" top="0.78740157499999996" bottom="0.78740157499999996" header="0.3" footer="0.3"/>
  <pageSetup paperSize="9" orientation="portrait" r:id="rId1"/>
  <ignoredErrors>
    <ignoredError sqref="E28 E31 E209:E214 E259:E260 E272:E289 E306:E311 E128" twoDigitTextYear="1"/>
    <ignoredError sqref="C258 C313:C314" formula="1"/>
    <ignoredError sqref="E303 E121 E81 E150 E147 E108 E113 E115:E117 E110:E111" numberStoredAsText="1"/>
    <ignoredError sqref="E312:E313" twoDigitTextYear="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523178"/>
  </sheetPr>
  <dimension ref="A2:AE163"/>
  <sheetViews>
    <sheetView showGridLines="0" showRowColHeaders="0" topLeftCell="A88" zoomScale="90" zoomScaleNormal="90" workbookViewId="0">
      <pane xSplit="7" topLeftCell="T1" activePane="topRight" state="frozen"/>
      <selection activeCell="B3" sqref="B3:C3"/>
      <selection pane="topRight" activeCell="AA12" sqref="AA12"/>
    </sheetView>
  </sheetViews>
  <sheetFormatPr baseColWidth="10" defaultColWidth="10.796875" defaultRowHeight="13" customHeight="1"/>
  <cols>
    <col min="1" max="1" width="2.3984375" style="85" customWidth="1"/>
    <col min="2" max="2" width="2.3984375" style="1" customWidth="1"/>
    <col min="3" max="3" width="73.19921875" style="1" customWidth="1"/>
    <col min="4" max="4" width="23.59765625" style="1" customWidth="1"/>
    <col min="5" max="5" width="9.3984375" style="37" customWidth="1"/>
    <col min="6" max="6" width="14.19921875" style="37" customWidth="1"/>
    <col min="7" max="7" width="2.3984375" style="47" customWidth="1"/>
    <col min="8" max="21" width="11.796875" style="100" customWidth="1"/>
    <col min="22" max="23" width="12" style="20" customWidth="1"/>
    <col min="24" max="26" width="11.796875" style="9" customWidth="1"/>
    <col min="27" max="41" width="11.796875" style="1" customWidth="1"/>
    <col min="42" max="16384" width="10.796875" style="1"/>
  </cols>
  <sheetData>
    <row r="2" spans="1:28" s="152" customFormat="1" ht="26" customHeight="1">
      <c r="A2" s="82"/>
      <c r="B2" s="493" t="str">
        <f>UPPER(RIGHT(Inhaltsverzeichnis!$C$12,LEN(Inhaltsverzeichnis!$C$12)-FIND(" – ",Inhaltsverzeichnis!$C$12,1)-2))</f>
        <v>PRESTAZIONI ECONOMICHE</v>
      </c>
      <c r="C2" s="493"/>
      <c r="D2" s="489" t="str">
        <f>VLOOKUP(35,Textbausteine_Menu[],Hilfsgrössen!$D$2,FALSE)</f>
        <v>torna alla tabella dei contenuti</v>
      </c>
      <c r="E2" s="490"/>
      <c r="F2" s="144" t="s">
        <v>0</v>
      </c>
      <c r="G2" s="168"/>
      <c r="H2" s="482"/>
      <c r="I2" s="482"/>
      <c r="J2" s="482"/>
      <c r="K2" s="482"/>
      <c r="L2" s="482"/>
      <c r="M2" s="482"/>
      <c r="N2" s="482"/>
      <c r="O2" s="482"/>
      <c r="P2" s="482"/>
      <c r="Q2" s="482"/>
      <c r="R2" s="482"/>
      <c r="S2" s="482"/>
      <c r="T2" s="482"/>
      <c r="U2" s="482"/>
      <c r="V2" s="115"/>
      <c r="W2" s="115"/>
      <c r="X2" s="484"/>
      <c r="Y2" s="484"/>
      <c r="Z2" s="484"/>
      <c r="AA2" s="480"/>
      <c r="AB2" s="480"/>
    </row>
    <row r="3" spans="1:28" s="153" customFormat="1" ht="26" customHeight="1">
      <c r="A3" s="83"/>
      <c r="B3" s="494" t="str">
        <f>UPPER("GRI "&amp;LEFT(Inhaltsverzeichnis!$C$12,3))</f>
        <v>GRI 201</v>
      </c>
      <c r="C3" s="494"/>
      <c r="D3" s="481"/>
      <c r="E3" s="38"/>
      <c r="F3" s="38"/>
      <c r="G3" s="45"/>
      <c r="H3" s="483"/>
      <c r="I3" s="483"/>
      <c r="J3" s="483"/>
      <c r="K3" s="483"/>
      <c r="L3" s="483"/>
      <c r="M3" s="483"/>
      <c r="N3" s="483"/>
      <c r="O3" s="483"/>
      <c r="P3" s="483"/>
      <c r="Q3" s="483"/>
      <c r="R3" s="483"/>
      <c r="S3" s="483"/>
      <c r="T3" s="483"/>
      <c r="U3" s="483"/>
      <c r="V3" s="115"/>
      <c r="W3" s="115"/>
      <c r="X3" s="366"/>
      <c r="Y3" s="366"/>
      <c r="Z3" s="366"/>
      <c r="AA3" s="481"/>
      <c r="AB3" s="481"/>
    </row>
    <row r="6" spans="1:28" s="31" customFormat="1" ht="13" customHeight="1">
      <c r="A6" s="84"/>
      <c r="B6" s="31" t="str">
        <f>VLOOKUP(31,Textbausteine_Menu[],Hilfsgrössen!$D$2,FALSE)</f>
        <v>Divulgazioni</v>
      </c>
      <c r="E6" s="39"/>
      <c r="F6" s="39"/>
      <c r="G6" s="46"/>
      <c r="H6" s="94"/>
      <c r="I6" s="94"/>
      <c r="J6" s="94"/>
      <c r="K6" s="94"/>
      <c r="L6" s="94"/>
      <c r="M6" s="94"/>
      <c r="N6" s="94"/>
      <c r="O6" s="94"/>
      <c r="P6" s="94"/>
      <c r="Q6" s="94"/>
      <c r="R6" s="94"/>
      <c r="S6" s="94"/>
      <c r="T6" s="94"/>
      <c r="U6" s="94"/>
      <c r="V6" s="20"/>
      <c r="W6" s="20"/>
      <c r="X6" s="6"/>
      <c r="Y6" s="6"/>
      <c r="Z6" s="6"/>
    </row>
    <row r="7" spans="1:28" ht="13" customHeight="1">
      <c r="B7" s="2"/>
      <c r="C7" s="3" t="str">
        <f>VLOOKUP(1,Textbausteine_201[],Hilfsgrössen!$D$2,FALSE)</f>
        <v>Risultato finanziario</v>
      </c>
      <c r="D7" s="4"/>
    </row>
    <row r="8" spans="1:28" ht="13" customHeight="1">
      <c r="B8" s="2"/>
      <c r="C8" s="3" t="str">
        <f>VLOOKUP(3,Textbausteine_201[],Hilfsgrössen!$D$2,FALSE)</f>
        <v>Distribuzione del valore aggiunto</v>
      </c>
      <c r="D8" s="4"/>
    </row>
    <row r="9" spans="1:28" ht="13" customHeight="1">
      <c r="B9" s="2"/>
      <c r="C9" s="5" t="str">
        <f>VLOOKUP(2,Textbausteine_201[],Hilfsgrössen!$D$2,FALSE)</f>
        <v>Cassa pensioni</v>
      </c>
    </row>
    <row r="10" spans="1:28" ht="13" customHeight="1">
      <c r="B10" s="2"/>
    </row>
    <row r="11" spans="1:28" ht="13" customHeight="1">
      <c r="B11" s="2"/>
    </row>
    <row r="12" spans="1:28" s="31" customFormat="1" ht="13" customHeight="1">
      <c r="A12" s="80" t="s">
        <v>27</v>
      </c>
      <c r="B12" s="488" t="str">
        <f>$C$7</f>
        <v>Risultato finanziario</v>
      </c>
      <c r="C12" s="488"/>
      <c r="D12" s="6" t="str">
        <f>VLOOKUP(32,Textbausteine_Menu[],Hilfsgrössen!$D$2,FALSE)</f>
        <v>Unità</v>
      </c>
      <c r="E12" s="40" t="str">
        <f>VLOOKUP(33,Textbausteine_Menu[],Hilfsgrössen!$D$2,FALSE)</f>
        <v>Note</v>
      </c>
      <c r="F12" s="40" t="str">
        <f>VLOOKUP(34,Textbausteine_Menu[],Hilfsgrössen!$D$2,FALSE)</f>
        <v>GRI</v>
      </c>
      <c r="G12" s="48"/>
      <c r="H12" s="103">
        <v>2004</v>
      </c>
      <c r="I12" s="103">
        <v>2005</v>
      </c>
      <c r="J12" s="103">
        <v>2006</v>
      </c>
      <c r="K12" s="103">
        <v>2007</v>
      </c>
      <c r="L12" s="103">
        <v>2008</v>
      </c>
      <c r="M12" s="103">
        <v>2009</v>
      </c>
      <c r="N12" s="103">
        <v>2010</v>
      </c>
      <c r="O12" s="103">
        <v>2011</v>
      </c>
      <c r="P12" s="116">
        <v>2012</v>
      </c>
      <c r="Q12" s="103">
        <v>2013</v>
      </c>
      <c r="R12" s="116" t="s">
        <v>100</v>
      </c>
      <c r="S12" s="103">
        <v>2014</v>
      </c>
      <c r="T12" s="103">
        <v>2015</v>
      </c>
      <c r="U12" s="116" t="s">
        <v>101</v>
      </c>
      <c r="V12" s="116">
        <v>2016</v>
      </c>
      <c r="W12" s="116">
        <v>2017</v>
      </c>
      <c r="X12" s="116" t="s">
        <v>102</v>
      </c>
      <c r="Y12" s="116" t="s">
        <v>103</v>
      </c>
      <c r="Z12" s="116" t="s">
        <v>104</v>
      </c>
      <c r="AA12" s="255" t="s">
        <v>105</v>
      </c>
      <c r="AB12" s="39"/>
    </row>
    <row r="13" spans="1:28" s="31" customFormat="1" ht="13" customHeight="1">
      <c r="A13" s="85"/>
      <c r="B13" s="488"/>
      <c r="C13" s="488"/>
      <c r="D13" s="6"/>
      <c r="E13" s="40"/>
      <c r="F13" s="40"/>
      <c r="G13" s="48"/>
      <c r="H13" s="103"/>
      <c r="I13" s="103"/>
      <c r="J13" s="103"/>
      <c r="K13" s="103"/>
      <c r="L13" s="103"/>
      <c r="M13" s="103"/>
      <c r="N13" s="103"/>
      <c r="O13" s="103"/>
      <c r="P13" s="116"/>
      <c r="Q13" s="103"/>
      <c r="R13" s="116"/>
      <c r="S13" s="103"/>
      <c r="T13" s="103"/>
      <c r="U13" s="116"/>
      <c r="V13" s="20"/>
      <c r="W13" s="20"/>
      <c r="X13" s="20"/>
      <c r="Y13" s="20"/>
      <c r="Z13" s="20"/>
      <c r="AA13" s="256"/>
    </row>
    <row r="14" spans="1:28" ht="13" customHeight="1">
      <c r="B14" s="8"/>
      <c r="C14" s="9"/>
      <c r="D14" s="9"/>
      <c r="E14" s="12"/>
      <c r="F14" s="11"/>
      <c r="G14" s="49"/>
      <c r="H14" s="103"/>
      <c r="I14" s="103"/>
      <c r="J14" s="103"/>
      <c r="K14" s="103"/>
      <c r="L14" s="103"/>
      <c r="M14" s="103"/>
      <c r="N14" s="105"/>
      <c r="O14" s="105"/>
      <c r="P14" s="106"/>
      <c r="Q14" s="106"/>
      <c r="R14" s="106"/>
      <c r="S14" s="106"/>
      <c r="T14" s="106"/>
      <c r="U14" s="106"/>
      <c r="X14" s="20"/>
      <c r="Y14" s="20"/>
      <c r="Z14" s="20"/>
      <c r="AA14" s="256"/>
    </row>
    <row r="15" spans="1:28" ht="13" customHeight="1">
      <c r="B15" s="8" t="str">
        <f>VLOOKUP(36,Textbausteine_Menu[],Hilfsgrössen!$D$2,FALSE)</f>
        <v>Gruppo</v>
      </c>
      <c r="D15" s="9"/>
      <c r="E15" s="11"/>
      <c r="F15" s="11"/>
      <c r="G15" s="49"/>
      <c r="H15" s="104"/>
      <c r="I15" s="104"/>
      <c r="J15" s="104"/>
      <c r="K15" s="104"/>
      <c r="L15" s="104"/>
      <c r="M15" s="104"/>
      <c r="N15" s="106"/>
      <c r="O15" s="106"/>
      <c r="P15" s="106"/>
      <c r="Q15" s="106"/>
      <c r="R15" s="106"/>
      <c r="S15" s="106"/>
      <c r="T15" s="106"/>
      <c r="U15" s="106"/>
      <c r="X15" s="20"/>
      <c r="Y15" s="20"/>
      <c r="Z15" s="20"/>
      <c r="AA15" s="256"/>
    </row>
    <row r="16" spans="1:28" ht="13" customHeight="1">
      <c r="C16" s="9" t="str">
        <f>VLOOKUP(31,Textbausteine_201[],Hilfsgrössen!$D$2,FALSE)</f>
        <v>Ricavi d'esercizio</v>
      </c>
      <c r="D16" s="9" t="str">
        <f>VLOOKUP(11,Textbausteine_201[],Hilfsgrössen!$D$2,FALSE)</f>
        <v>mln di CHF</v>
      </c>
      <c r="E16" s="11"/>
      <c r="F16" s="11" t="s">
        <v>106</v>
      </c>
      <c r="G16" s="49"/>
      <c r="H16" s="178" t="s">
        <v>30</v>
      </c>
      <c r="I16" s="14">
        <v>7499</v>
      </c>
      <c r="J16" s="14">
        <v>7895</v>
      </c>
      <c r="K16" s="14">
        <v>8712</v>
      </c>
      <c r="L16" s="14">
        <v>8980</v>
      </c>
      <c r="M16" s="14">
        <v>8558</v>
      </c>
      <c r="N16" s="14">
        <v>8736</v>
      </c>
      <c r="O16" s="14">
        <v>8599</v>
      </c>
      <c r="P16" s="14">
        <v>8576</v>
      </c>
      <c r="Q16" s="356">
        <v>8470</v>
      </c>
      <c r="R16" s="356">
        <v>8575</v>
      </c>
      <c r="S16" s="20" t="s">
        <v>107</v>
      </c>
      <c r="T16" s="14">
        <v>8224</v>
      </c>
      <c r="U16" s="14">
        <v>8224</v>
      </c>
      <c r="V16" s="14">
        <v>8188</v>
      </c>
      <c r="W16" s="14">
        <v>8007</v>
      </c>
      <c r="X16" s="14">
        <v>8064</v>
      </c>
      <c r="Y16" s="14">
        <v>7254</v>
      </c>
      <c r="Z16" s="14">
        <v>7168</v>
      </c>
      <c r="AA16" s="410">
        <v>7054</v>
      </c>
    </row>
    <row r="17" spans="1:28" ht="13" customHeight="1">
      <c r="A17" s="62"/>
      <c r="C17" s="15" t="str">
        <f>VLOOKUP(32,Textbausteine_201[],Hilfsgrössen!$D$2,FALSE)</f>
        <v>conseguiti all’estero e zone transforntaliere</v>
      </c>
      <c r="D17" s="9" t="str">
        <f>VLOOKUP(11,Textbausteine_201[],Hilfsgrössen!$D$2,FALSE)</f>
        <v>mln di CHF</v>
      </c>
      <c r="E17" s="11">
        <v>1</v>
      </c>
      <c r="F17" s="11" t="s">
        <v>106</v>
      </c>
      <c r="G17" s="49"/>
      <c r="H17" s="178" t="s">
        <v>30</v>
      </c>
      <c r="I17" s="14">
        <v>1089</v>
      </c>
      <c r="J17" s="14">
        <v>1391</v>
      </c>
      <c r="K17" s="14">
        <v>1741</v>
      </c>
      <c r="L17" s="14">
        <v>1608</v>
      </c>
      <c r="M17" s="14">
        <v>1391</v>
      </c>
      <c r="N17" s="14">
        <v>1218</v>
      </c>
      <c r="O17" s="14">
        <v>1095</v>
      </c>
      <c r="P17" s="14">
        <v>1025</v>
      </c>
      <c r="Q17" s="20" t="s">
        <v>108</v>
      </c>
      <c r="R17" s="20" t="s">
        <v>108</v>
      </c>
      <c r="S17" s="461">
        <v>1233</v>
      </c>
      <c r="T17" s="14">
        <v>1149</v>
      </c>
      <c r="U17" s="14">
        <v>1149</v>
      </c>
      <c r="V17" s="14">
        <v>1124</v>
      </c>
      <c r="W17" s="14">
        <v>1153</v>
      </c>
      <c r="X17" s="14">
        <v>1153</v>
      </c>
      <c r="Y17" s="14">
        <v>1061</v>
      </c>
      <c r="Z17" s="14">
        <v>1060</v>
      </c>
      <c r="AA17" s="410">
        <v>1003</v>
      </c>
    </row>
    <row r="18" spans="1:28" ht="13" customHeight="1">
      <c r="A18" s="86"/>
      <c r="C18" s="35" t="str">
        <f>VLOOKUP(37,Textbausteine_201[],Hilfsgrössen!$D$2,FALSE)</f>
        <v>in % dei ricavi d'esercizio</v>
      </c>
      <c r="D18" s="9" t="str">
        <f>VLOOKUP(12,Textbausteine_201[],Hilfsgrössen!$D$2,FALSE)</f>
        <v>%</v>
      </c>
      <c r="E18" s="11"/>
      <c r="F18" s="11" t="s">
        <v>106</v>
      </c>
      <c r="G18" s="49"/>
      <c r="H18" s="178" t="s">
        <v>30</v>
      </c>
      <c r="I18" s="104">
        <v>14.1</v>
      </c>
      <c r="J18" s="104">
        <v>17.600000000000001</v>
      </c>
      <c r="K18" s="104">
        <v>20</v>
      </c>
      <c r="L18" s="104">
        <v>17.899999999999999</v>
      </c>
      <c r="M18" s="20">
        <v>16.3</v>
      </c>
      <c r="N18" s="20">
        <v>13.9</v>
      </c>
      <c r="O18" s="20">
        <v>12.7</v>
      </c>
      <c r="P18" s="404">
        <f>P17/P16*100</f>
        <v>11.95195895522388</v>
      </c>
      <c r="Q18" s="136">
        <v>13.4</v>
      </c>
      <c r="R18" s="136">
        <v>13.2</v>
      </c>
      <c r="S18" s="136">
        <v>14.7</v>
      </c>
      <c r="T18" s="136">
        <v>14</v>
      </c>
      <c r="U18" s="136">
        <v>14</v>
      </c>
      <c r="V18" s="118">
        <v>13.9</v>
      </c>
      <c r="W18" s="118">
        <v>14.4</v>
      </c>
      <c r="X18" s="118">
        <v>14.3</v>
      </c>
      <c r="Y18" s="118">
        <v>14.6</v>
      </c>
      <c r="Z18" s="118">
        <v>14.8</v>
      </c>
      <c r="AA18" s="418">
        <v>14.2</v>
      </c>
    </row>
    <row r="19" spans="1:28" ht="13" customHeight="1">
      <c r="C19" s="15" t="str">
        <f>VLOOKUP(33,Textbausteine_201[],Hilfsgrössen!$D$2,FALSE)</f>
        <v>Servizi riservati</v>
      </c>
      <c r="D19" s="9" t="str">
        <f>VLOOKUP(11,Textbausteine_201[],Hilfsgrössen!$D$2,FALSE)</f>
        <v>mln di CHF</v>
      </c>
      <c r="E19" s="11">
        <v>2</v>
      </c>
      <c r="F19" s="11" t="s">
        <v>106</v>
      </c>
      <c r="G19" s="49"/>
      <c r="H19" s="178" t="s">
        <v>30</v>
      </c>
      <c r="I19" s="408">
        <v>2395</v>
      </c>
      <c r="J19" s="408">
        <v>2028</v>
      </c>
      <c r="K19" s="408">
        <v>1893</v>
      </c>
      <c r="L19" s="408">
        <v>1835</v>
      </c>
      <c r="M19" s="14">
        <v>1641</v>
      </c>
      <c r="N19" s="14">
        <v>1469</v>
      </c>
      <c r="O19" s="14">
        <v>1378</v>
      </c>
      <c r="P19" s="356">
        <v>1360</v>
      </c>
      <c r="Q19" s="356">
        <v>1237</v>
      </c>
      <c r="R19" s="356">
        <v>1237</v>
      </c>
      <c r="S19" s="356">
        <v>1213</v>
      </c>
      <c r="T19" s="356">
        <v>1225</v>
      </c>
      <c r="U19" s="356">
        <v>1225</v>
      </c>
      <c r="V19" s="14">
        <v>1161</v>
      </c>
      <c r="W19" s="14">
        <v>1153</v>
      </c>
      <c r="X19" s="14">
        <v>1153</v>
      </c>
      <c r="Y19" s="14">
        <v>1106</v>
      </c>
      <c r="Z19" s="14">
        <v>1046</v>
      </c>
      <c r="AA19" s="424">
        <v>994</v>
      </c>
    </row>
    <row r="20" spans="1:28" ht="13" customHeight="1">
      <c r="C20" s="35" t="str">
        <f>VLOOKUP(37,Textbausteine_201[],Hilfsgrössen!$D$2,FALSE)</f>
        <v>in % dei ricavi d'esercizio</v>
      </c>
      <c r="D20" s="9" t="str">
        <f>VLOOKUP(12,Textbausteine_201[],Hilfsgrössen!$D$2,FALSE)</f>
        <v>%</v>
      </c>
      <c r="E20" s="11"/>
      <c r="F20" s="11" t="s">
        <v>106</v>
      </c>
      <c r="G20" s="49"/>
      <c r="H20" s="178" t="s">
        <v>30</v>
      </c>
      <c r="I20" s="104">
        <v>31.9</v>
      </c>
      <c r="J20" s="104">
        <v>25.7</v>
      </c>
      <c r="K20" s="104">
        <v>21.728650137741045</v>
      </c>
      <c r="L20" s="104">
        <v>20.399999999999999</v>
      </c>
      <c r="M20" s="20">
        <v>19.2</v>
      </c>
      <c r="N20" s="20">
        <v>16.8</v>
      </c>
      <c r="O20" s="20">
        <v>16</v>
      </c>
      <c r="P20" s="404">
        <f>P19/P16*100</f>
        <v>15.858208955223882</v>
      </c>
      <c r="Q20" s="404">
        <f>Q19/Q16*100</f>
        <v>14.604486422668241</v>
      </c>
      <c r="R20" s="404">
        <f>R19/R16*100</f>
        <v>14.425655976676385</v>
      </c>
      <c r="S20" s="404">
        <f>S19/8371*100</f>
        <v>14.490502926770995</v>
      </c>
      <c r="T20" s="136">
        <v>14.9</v>
      </c>
      <c r="U20" s="136">
        <v>14.9</v>
      </c>
      <c r="V20" s="106">
        <v>14.2</v>
      </c>
      <c r="W20" s="106">
        <v>14.4</v>
      </c>
      <c r="X20" s="106">
        <v>14.3</v>
      </c>
      <c r="Y20" s="106">
        <v>15.2</v>
      </c>
      <c r="Z20" s="106">
        <v>14.6</v>
      </c>
      <c r="AA20" s="258">
        <v>14.1</v>
      </c>
    </row>
    <row r="21" spans="1:28" ht="13" customHeight="1">
      <c r="C21" s="10" t="str">
        <f>VLOOKUP(34,Textbausteine_201[],Hilfsgrössen!$D$2,FALSE)</f>
        <v>Costi d'esercizio</v>
      </c>
      <c r="D21" s="9" t="str">
        <f>VLOOKUP(11,Textbausteine_201[],Hilfsgrössen!$D$2,FALSE)</f>
        <v>mln di CHF</v>
      </c>
      <c r="E21" s="11"/>
      <c r="F21" s="11" t="s">
        <v>106</v>
      </c>
      <c r="G21" s="49"/>
      <c r="H21" s="178" t="s">
        <v>30</v>
      </c>
      <c r="I21" s="408">
        <v>6694</v>
      </c>
      <c r="J21" s="14">
        <v>7072</v>
      </c>
      <c r="K21" s="14">
        <v>7846</v>
      </c>
      <c r="L21" s="14">
        <v>8168</v>
      </c>
      <c r="M21" s="14">
        <v>7837</v>
      </c>
      <c r="N21" s="14">
        <v>7806</v>
      </c>
      <c r="O21" s="14">
        <v>7691</v>
      </c>
      <c r="P21" s="356">
        <v>7717</v>
      </c>
      <c r="Q21" s="356">
        <v>7229</v>
      </c>
      <c r="R21" s="356">
        <v>7664</v>
      </c>
      <c r="S21" s="356">
        <v>7654</v>
      </c>
      <c r="T21" s="17">
        <v>7348</v>
      </c>
      <c r="U21" s="17">
        <v>7401</v>
      </c>
      <c r="V21" s="17">
        <v>7484</v>
      </c>
      <c r="W21" s="17">
        <v>7346</v>
      </c>
      <c r="X21" s="17">
        <v>7346</v>
      </c>
      <c r="Y21" s="17">
        <v>6749</v>
      </c>
      <c r="Z21" s="17">
        <v>6718</v>
      </c>
      <c r="AA21" s="410">
        <v>6782</v>
      </c>
    </row>
    <row r="22" spans="1:28" ht="13" customHeight="1">
      <c r="C22" s="15" t="str">
        <f>VLOOKUP(35,Textbausteine_201[],Hilfsgrössen!$D$2,FALSE)</f>
        <v>Costi per il personale</v>
      </c>
      <c r="D22" s="9" t="str">
        <f>VLOOKUP(11,Textbausteine_201[],Hilfsgrössen!$D$2,FALSE)</f>
        <v>mln di CHF</v>
      </c>
      <c r="E22" s="11"/>
      <c r="F22" s="11" t="s">
        <v>106</v>
      </c>
      <c r="G22" s="49"/>
      <c r="H22" s="178" t="s">
        <v>30</v>
      </c>
      <c r="I22" s="408">
        <v>3704</v>
      </c>
      <c r="J22" s="14">
        <v>3711</v>
      </c>
      <c r="K22" s="14">
        <v>3851</v>
      </c>
      <c r="L22" s="14">
        <v>3873</v>
      </c>
      <c r="M22" s="14">
        <v>4032</v>
      </c>
      <c r="N22" s="14">
        <v>4076</v>
      </c>
      <c r="O22" s="14">
        <v>4026</v>
      </c>
      <c r="P22" s="356">
        <v>4161</v>
      </c>
      <c r="Q22" s="356">
        <v>3701</v>
      </c>
      <c r="R22" s="356">
        <v>4131</v>
      </c>
      <c r="S22" s="356">
        <v>4108</v>
      </c>
      <c r="T22" s="17">
        <v>4022</v>
      </c>
      <c r="U22" s="17">
        <v>4074</v>
      </c>
      <c r="V22" s="17">
        <v>4034</v>
      </c>
      <c r="W22" s="17">
        <v>3989</v>
      </c>
      <c r="X22" s="17">
        <v>3989</v>
      </c>
      <c r="Y22" s="17">
        <v>3802</v>
      </c>
      <c r="Z22" s="17">
        <v>3764</v>
      </c>
      <c r="AA22" s="410">
        <v>3833</v>
      </c>
    </row>
    <row r="23" spans="1:28" ht="13" customHeight="1">
      <c r="C23" s="10" t="str">
        <f>VLOOKUP(36,Textbausteine_201[],Hilfsgrössen!$D$2,FALSE)</f>
        <v>Risultato d'esercizio</v>
      </c>
      <c r="D23" s="9" t="str">
        <f>VLOOKUP(11,Textbausteine_201[],Hilfsgrössen!$D$2,FALSE)</f>
        <v>mln di CHF</v>
      </c>
      <c r="E23" s="11"/>
      <c r="F23" s="11" t="s">
        <v>106</v>
      </c>
      <c r="G23" s="49"/>
      <c r="H23" s="178" t="s">
        <v>30</v>
      </c>
      <c r="I23" s="104">
        <v>805</v>
      </c>
      <c r="J23" s="104">
        <v>823</v>
      </c>
      <c r="K23" s="104">
        <v>866</v>
      </c>
      <c r="L23" s="104">
        <v>812</v>
      </c>
      <c r="M23" s="20">
        <v>721</v>
      </c>
      <c r="N23" s="20">
        <v>930</v>
      </c>
      <c r="O23" s="20">
        <v>908</v>
      </c>
      <c r="P23" s="136">
        <v>860</v>
      </c>
      <c r="Q23" s="136">
        <v>1241</v>
      </c>
      <c r="R23" s="136">
        <v>911</v>
      </c>
      <c r="S23" s="136">
        <v>803</v>
      </c>
      <c r="T23" s="106">
        <v>876</v>
      </c>
      <c r="U23" s="106">
        <v>823</v>
      </c>
      <c r="V23" s="106">
        <v>704</v>
      </c>
      <c r="W23" s="106">
        <v>661</v>
      </c>
      <c r="X23" s="106">
        <v>718</v>
      </c>
      <c r="Y23" s="106">
        <v>505</v>
      </c>
      <c r="Z23" s="106">
        <v>450</v>
      </c>
      <c r="AA23" s="258">
        <v>272</v>
      </c>
      <c r="AB23" s="9"/>
    </row>
    <row r="24" spans="1:28" ht="13" customHeight="1">
      <c r="C24" s="15" t="str">
        <f>VLOOKUP(37,Textbausteine_201[],Hilfsgrössen!$D$2,FALSE)</f>
        <v>in % dei ricavi d'esercizio</v>
      </c>
      <c r="D24" s="9" t="str">
        <f>VLOOKUP(12,Textbausteine_201[],Hilfsgrössen!$D$2,FALSE)</f>
        <v>%</v>
      </c>
      <c r="E24" s="11"/>
      <c r="F24" s="11" t="s">
        <v>106</v>
      </c>
      <c r="G24" s="49"/>
      <c r="H24" s="402" t="s">
        <v>30</v>
      </c>
      <c r="I24" s="403">
        <v>10.7</v>
      </c>
      <c r="J24" s="403">
        <v>10.4</v>
      </c>
      <c r="K24" s="403">
        <v>9.9</v>
      </c>
      <c r="L24" s="403">
        <v>9</v>
      </c>
      <c r="M24" s="385">
        <v>8.3000000000000007</v>
      </c>
      <c r="N24" s="385">
        <v>10.7</v>
      </c>
      <c r="O24" s="385">
        <v>10.6</v>
      </c>
      <c r="P24" s="404">
        <f>P23/P16*100</f>
        <v>10.027985074626866</v>
      </c>
      <c r="Q24" s="404">
        <v>14.651711924439201</v>
      </c>
      <c r="R24" s="404">
        <f>R23/R16*100</f>
        <v>10.623906705539358</v>
      </c>
      <c r="S24" s="364">
        <v>9.6</v>
      </c>
      <c r="T24" s="364">
        <v>10.7</v>
      </c>
      <c r="U24" s="364">
        <v>10</v>
      </c>
      <c r="V24" s="364">
        <v>8.6</v>
      </c>
      <c r="W24" s="364">
        <v>8.3000000000000007</v>
      </c>
      <c r="X24" s="364">
        <v>8.9</v>
      </c>
      <c r="Y24" s="364">
        <v>7</v>
      </c>
      <c r="Z24" s="364">
        <v>6.3</v>
      </c>
      <c r="AA24" s="405">
        <v>3.9</v>
      </c>
      <c r="AB24" s="9"/>
    </row>
    <row r="25" spans="1:28" ht="13" customHeight="1">
      <c r="C25" s="15" t="str">
        <f>VLOOKUP(39,Textbausteine_201[],Hilfsgrössen!$D$2,FALSE)</f>
        <v>conseguiti all’estero e zone transforntaliere</v>
      </c>
      <c r="D25" s="9" t="str">
        <f>VLOOKUP(11,Textbausteine_201[],Hilfsgrössen!$D$2,FALSE)</f>
        <v>mln di CHF</v>
      </c>
      <c r="E25" s="11">
        <v>1</v>
      </c>
      <c r="F25" s="11" t="s">
        <v>106</v>
      </c>
      <c r="G25" s="49"/>
      <c r="H25" s="178" t="s">
        <v>30</v>
      </c>
      <c r="I25" s="104">
        <v>38</v>
      </c>
      <c r="J25" s="104">
        <v>54.2</v>
      </c>
      <c r="K25" s="104">
        <v>60.6</v>
      </c>
      <c r="L25" s="104">
        <v>32.700000000000003</v>
      </c>
      <c r="M25" s="104">
        <v>35</v>
      </c>
      <c r="N25" s="20">
        <v>24.4</v>
      </c>
      <c r="O25" s="20">
        <v>52</v>
      </c>
      <c r="P25" s="136">
        <v>35</v>
      </c>
      <c r="Q25" s="20" t="s">
        <v>109</v>
      </c>
      <c r="R25" s="20" t="s">
        <v>109</v>
      </c>
      <c r="S25" s="136">
        <v>72</v>
      </c>
      <c r="T25" s="106">
        <v>57</v>
      </c>
      <c r="U25" s="106">
        <v>57</v>
      </c>
      <c r="V25" s="106">
        <v>64</v>
      </c>
      <c r="W25" s="106">
        <v>82</v>
      </c>
      <c r="X25" s="106">
        <v>82</v>
      </c>
      <c r="Y25" s="106">
        <v>91</v>
      </c>
      <c r="Z25" s="106">
        <v>67</v>
      </c>
      <c r="AA25" s="258">
        <v>62</v>
      </c>
      <c r="AB25" s="9"/>
    </row>
    <row r="26" spans="1:28" ht="13" customHeight="1">
      <c r="C26" s="35" t="str">
        <f>VLOOKUP(38,Textbausteine_201[],Hilfsgrössen!$D$2,FALSE)</f>
        <v>in % dei risultato d'esercizio</v>
      </c>
      <c r="D26" s="9" t="str">
        <f>VLOOKUP(12,Textbausteine_201[],Hilfsgrössen!$D$2,FALSE)</f>
        <v>%</v>
      </c>
      <c r="E26" s="11"/>
      <c r="F26" s="11" t="s">
        <v>106</v>
      </c>
      <c r="G26" s="49"/>
      <c r="H26" s="402" t="s">
        <v>30</v>
      </c>
      <c r="I26" s="403">
        <v>4.7</v>
      </c>
      <c r="J26" s="403">
        <v>6.6</v>
      </c>
      <c r="K26" s="403">
        <v>7</v>
      </c>
      <c r="L26" s="403">
        <v>4</v>
      </c>
      <c r="M26" s="385">
        <v>4.9000000000000004</v>
      </c>
      <c r="N26" s="385">
        <v>2.6</v>
      </c>
      <c r="O26" s="385">
        <v>5.7</v>
      </c>
      <c r="P26" s="404">
        <f>P25/P23*100</f>
        <v>4.0697674418604652</v>
      </c>
      <c r="Q26" s="404">
        <v>4.8</v>
      </c>
      <c r="R26" s="404">
        <v>6.6</v>
      </c>
      <c r="S26" s="404">
        <v>9</v>
      </c>
      <c r="T26" s="364">
        <v>6.5</v>
      </c>
      <c r="U26" s="364">
        <v>6.9</v>
      </c>
      <c r="V26" s="364">
        <v>9.1</v>
      </c>
      <c r="W26" s="364">
        <v>12.4</v>
      </c>
      <c r="X26" s="364">
        <v>11.4</v>
      </c>
      <c r="Y26" s="364">
        <v>18</v>
      </c>
      <c r="Z26" s="364">
        <v>14.9</v>
      </c>
      <c r="AA26" s="405">
        <v>22.8</v>
      </c>
      <c r="AB26" s="9"/>
    </row>
    <row r="27" spans="1:28" ht="13" customHeight="1">
      <c r="C27" s="9" t="str">
        <f>VLOOKUP(40,Textbausteine_201[],Hilfsgrössen!$D$2,FALSE)</f>
        <v>Utile del gruppo</v>
      </c>
      <c r="D27" s="9" t="str">
        <f>VLOOKUP(11,Textbausteine_201[],Hilfsgrössen!$D$2,FALSE)</f>
        <v>mln di CHF</v>
      </c>
      <c r="E27" s="11"/>
      <c r="F27" s="11" t="s">
        <v>106</v>
      </c>
      <c r="G27" s="49"/>
      <c r="H27" s="178" t="s">
        <v>30</v>
      </c>
      <c r="I27" s="104">
        <v>811</v>
      </c>
      <c r="J27" s="104">
        <v>837</v>
      </c>
      <c r="K27" s="104">
        <v>909</v>
      </c>
      <c r="L27" s="104">
        <v>825</v>
      </c>
      <c r="M27" s="20">
        <v>728</v>
      </c>
      <c r="N27" s="20">
        <v>910</v>
      </c>
      <c r="O27" s="20">
        <v>904</v>
      </c>
      <c r="P27" s="136">
        <v>772</v>
      </c>
      <c r="Q27" s="136">
        <v>1751</v>
      </c>
      <c r="R27" s="136">
        <v>626</v>
      </c>
      <c r="S27" s="136">
        <v>638</v>
      </c>
      <c r="T27" s="106">
        <v>631</v>
      </c>
      <c r="U27" s="106">
        <v>645</v>
      </c>
      <c r="V27" s="106">
        <v>558</v>
      </c>
      <c r="W27" s="106">
        <v>482</v>
      </c>
      <c r="X27" s="106">
        <v>527</v>
      </c>
      <c r="Y27" s="106">
        <v>404</v>
      </c>
      <c r="Z27" s="106">
        <v>255</v>
      </c>
      <c r="AA27" s="258">
        <v>178</v>
      </c>
      <c r="AB27" s="9"/>
    </row>
    <row r="28" spans="1:28" ht="13" customHeight="1">
      <c r="C28" s="9" t="str">
        <f>VLOOKUP(41,Textbausteine_201[],Hilfsgrössen!$D$2,FALSE)</f>
        <v>Flusso di tesoreria derivante dall'attività operativa</v>
      </c>
      <c r="D28" s="9" t="str">
        <f>VLOOKUP(11,Textbausteine_201[],Hilfsgrössen!$D$2,FALSE)</f>
        <v>mln di CHF</v>
      </c>
      <c r="E28" s="11"/>
      <c r="F28" s="11" t="s">
        <v>106</v>
      </c>
      <c r="G28" s="49"/>
      <c r="H28" s="178" t="s">
        <v>30</v>
      </c>
      <c r="I28" s="408">
        <v>3603</v>
      </c>
      <c r="J28" s="408">
        <v>3247</v>
      </c>
      <c r="K28" s="408">
        <v>-3312</v>
      </c>
      <c r="L28" s="408">
        <v>8281</v>
      </c>
      <c r="M28" s="14">
        <v>-357</v>
      </c>
      <c r="N28" s="14">
        <v>-2271</v>
      </c>
      <c r="O28" s="14">
        <v>19679</v>
      </c>
      <c r="P28" s="356">
        <v>13424</v>
      </c>
      <c r="Q28" s="356">
        <v>-367</v>
      </c>
      <c r="R28" s="356">
        <v>-367</v>
      </c>
      <c r="S28" s="356">
        <v>-1925</v>
      </c>
      <c r="T28" s="17">
        <v>-2990</v>
      </c>
      <c r="U28" s="17">
        <v>-2990</v>
      </c>
      <c r="V28" s="17">
        <v>-385</v>
      </c>
      <c r="W28" s="17">
        <v>1941</v>
      </c>
      <c r="X28" s="17">
        <v>1941</v>
      </c>
      <c r="Y28" s="17">
        <v>-1309</v>
      </c>
      <c r="Z28" s="17">
        <v>10261</v>
      </c>
      <c r="AA28" s="410">
        <v>-7995</v>
      </c>
      <c r="AB28" s="9"/>
    </row>
    <row r="29" spans="1:28" ht="13" customHeight="1">
      <c r="A29" s="58"/>
      <c r="C29" s="9" t="str">
        <f>VLOOKUP(42,Textbausteine_201[],Hilfsgrössen!$D$2,FALSE)</f>
        <v>Valore aggiunto aziendale</v>
      </c>
      <c r="D29" s="9" t="str">
        <f>VLOOKUP(11,Textbausteine_201[],Hilfsgrössen!$D$2,FALSE)</f>
        <v>mln di CHF</v>
      </c>
      <c r="E29" s="11">
        <v>3</v>
      </c>
      <c r="F29" s="11" t="s">
        <v>106</v>
      </c>
      <c r="G29" s="49"/>
      <c r="H29" s="178" t="s">
        <v>30</v>
      </c>
      <c r="I29" s="104">
        <v>532</v>
      </c>
      <c r="J29" s="104">
        <v>532</v>
      </c>
      <c r="K29" s="104">
        <v>559</v>
      </c>
      <c r="L29" s="104">
        <v>416</v>
      </c>
      <c r="M29" s="20">
        <v>272</v>
      </c>
      <c r="N29" s="20">
        <v>452</v>
      </c>
      <c r="O29" s="20">
        <v>390</v>
      </c>
      <c r="P29" s="136">
        <v>269</v>
      </c>
      <c r="Q29" s="20" t="s">
        <v>110</v>
      </c>
      <c r="R29" s="20" t="s">
        <v>110</v>
      </c>
      <c r="S29" s="106">
        <v>207</v>
      </c>
      <c r="T29" s="106">
        <v>169</v>
      </c>
      <c r="U29" s="106">
        <v>169</v>
      </c>
      <c r="V29" s="106">
        <v>121</v>
      </c>
      <c r="W29" s="106">
        <v>102</v>
      </c>
      <c r="X29" s="106">
        <v>102</v>
      </c>
      <c r="Y29" s="106">
        <v>-24</v>
      </c>
      <c r="Z29" s="106">
        <v>-17</v>
      </c>
      <c r="AA29" s="258">
        <v>-101</v>
      </c>
      <c r="AB29" s="9"/>
    </row>
    <row r="30" spans="1:28" ht="13" customHeight="1">
      <c r="C30" s="9"/>
      <c r="D30" s="9"/>
      <c r="E30" s="11"/>
      <c r="F30" s="11"/>
      <c r="G30" s="49"/>
      <c r="H30" s="104"/>
      <c r="I30" s="104"/>
      <c r="J30" s="104"/>
      <c r="K30" s="104"/>
      <c r="L30" s="104"/>
      <c r="M30" s="20"/>
      <c r="N30" s="106"/>
      <c r="O30" s="106"/>
      <c r="P30" s="106"/>
      <c r="Q30" s="106"/>
      <c r="R30" s="106"/>
      <c r="S30" s="106"/>
      <c r="T30" s="106"/>
      <c r="U30" s="106"/>
      <c r="V30" s="106"/>
      <c r="W30" s="106"/>
      <c r="X30" s="106"/>
      <c r="Y30" s="106"/>
      <c r="Z30" s="106"/>
      <c r="AA30" s="258"/>
      <c r="AB30" s="9"/>
    </row>
    <row r="31" spans="1:28" ht="13" customHeight="1">
      <c r="B31" s="8" t="str">
        <f>VLOOKUP(45,Textbausteine_Menu[],Hilfsgrössen!$D$2,FALSE)</f>
        <v>PostMail</v>
      </c>
      <c r="D31" s="9"/>
      <c r="E31" s="11"/>
      <c r="F31" s="13"/>
      <c r="G31" s="50"/>
      <c r="H31" s="104"/>
      <c r="I31" s="104"/>
      <c r="J31" s="104"/>
      <c r="K31" s="104"/>
      <c r="L31" s="106"/>
      <c r="M31" s="20"/>
      <c r="N31" s="106"/>
      <c r="O31" s="106"/>
      <c r="P31" s="20"/>
      <c r="Q31" s="20"/>
      <c r="R31" s="20"/>
      <c r="S31" s="20"/>
      <c r="T31" s="20"/>
      <c r="U31" s="20"/>
      <c r="V31" s="106"/>
      <c r="W31" s="106"/>
      <c r="X31" s="106"/>
      <c r="Y31" s="106"/>
      <c r="Z31" s="106"/>
      <c r="AA31" s="258"/>
      <c r="AB31" s="9"/>
    </row>
    <row r="32" spans="1:28" ht="13" customHeight="1">
      <c r="C32" s="9" t="str">
        <f>VLOOKUP(31,Textbausteine_201[],Hilfsgrössen!$D$2,FALSE)</f>
        <v>Ricavi d'esercizio</v>
      </c>
      <c r="D32" s="9" t="str">
        <f>VLOOKUP(11,Textbausteine_201[],Hilfsgrössen!$D$2,FALSE)</f>
        <v>mln di CHF</v>
      </c>
      <c r="E32" s="11"/>
      <c r="F32" s="11" t="s">
        <v>106</v>
      </c>
      <c r="G32" s="49"/>
      <c r="H32" s="178" t="s">
        <v>30</v>
      </c>
      <c r="I32" s="14">
        <v>3178</v>
      </c>
      <c r="J32" s="14">
        <v>3028</v>
      </c>
      <c r="K32" s="14">
        <v>3008</v>
      </c>
      <c r="L32" s="14">
        <v>2916</v>
      </c>
      <c r="M32" s="14">
        <v>2808</v>
      </c>
      <c r="N32" s="14">
        <v>2619</v>
      </c>
      <c r="O32" s="14">
        <v>3141</v>
      </c>
      <c r="P32" s="14">
        <v>3102</v>
      </c>
      <c r="Q32" s="14">
        <v>2959</v>
      </c>
      <c r="R32" s="14">
        <v>2959</v>
      </c>
      <c r="S32" s="14">
        <v>2887</v>
      </c>
      <c r="T32" s="14">
        <v>2820</v>
      </c>
      <c r="U32" s="14">
        <v>2820</v>
      </c>
      <c r="V32" s="14">
        <v>2906</v>
      </c>
      <c r="W32" s="14">
        <v>2779</v>
      </c>
      <c r="X32" s="14">
        <v>2835</v>
      </c>
      <c r="Y32" s="14">
        <v>2721</v>
      </c>
      <c r="Z32" s="14">
        <v>2615</v>
      </c>
      <c r="AA32" s="410">
        <v>2526</v>
      </c>
      <c r="AB32" s="9"/>
    </row>
    <row r="33" spans="2:28" ht="13" customHeight="1">
      <c r="C33" s="15" t="str">
        <f>VLOOKUP(33,Textbausteine_201[],Hilfsgrössen!$D$2,FALSE)</f>
        <v>Servizi riservati</v>
      </c>
      <c r="D33" s="9" t="str">
        <f>VLOOKUP(12,Textbausteine_201[],Hilfsgrössen!$D$2,FALSE)</f>
        <v>%</v>
      </c>
      <c r="E33" s="11" t="s">
        <v>111</v>
      </c>
      <c r="F33" s="11" t="s">
        <v>106</v>
      </c>
      <c r="G33" s="49"/>
      <c r="H33" s="178" t="s">
        <v>30</v>
      </c>
      <c r="I33" s="106">
        <v>68.3</v>
      </c>
      <c r="J33" s="106">
        <v>59.5</v>
      </c>
      <c r="K33" s="106">
        <v>56.800000000000004</v>
      </c>
      <c r="L33" s="106">
        <v>58.1</v>
      </c>
      <c r="M33" s="20">
        <v>53.5</v>
      </c>
      <c r="N33" s="20">
        <v>39.1</v>
      </c>
      <c r="O33" s="20">
        <v>34</v>
      </c>
      <c r="P33" s="106">
        <v>34.4</v>
      </c>
      <c r="Q33" s="136">
        <v>33</v>
      </c>
      <c r="R33" s="136">
        <v>33</v>
      </c>
      <c r="S33" s="106">
        <v>33.4</v>
      </c>
      <c r="T33" s="106">
        <v>34.799999999999997</v>
      </c>
      <c r="U33" s="106">
        <v>34.799999999999997</v>
      </c>
      <c r="V33" s="106">
        <v>40</v>
      </c>
      <c r="W33" s="106">
        <v>41.5</v>
      </c>
      <c r="X33" s="106">
        <v>41.5</v>
      </c>
      <c r="Y33" s="106">
        <v>40.6</v>
      </c>
      <c r="Z33" s="106">
        <v>40</v>
      </c>
      <c r="AA33" s="258">
        <v>39.4</v>
      </c>
      <c r="AB33" s="9"/>
    </row>
    <row r="34" spans="2:28" ht="13" customHeight="1">
      <c r="C34" s="9" t="str">
        <f>VLOOKUP(36,Textbausteine_201[],Hilfsgrössen!$D$2,FALSE)</f>
        <v>Risultato d'esercizio</v>
      </c>
      <c r="D34" s="9" t="str">
        <f>VLOOKUP(11,Textbausteine_201[],Hilfsgrössen!$D$2,FALSE)</f>
        <v>mln di CHF</v>
      </c>
      <c r="E34" s="11"/>
      <c r="F34" s="11" t="s">
        <v>106</v>
      </c>
      <c r="G34" s="49"/>
      <c r="H34" s="178" t="s">
        <v>30</v>
      </c>
      <c r="I34" s="106">
        <v>218</v>
      </c>
      <c r="J34" s="106">
        <v>383</v>
      </c>
      <c r="K34" s="106">
        <v>236</v>
      </c>
      <c r="L34" s="106">
        <v>249</v>
      </c>
      <c r="M34" s="20">
        <v>198</v>
      </c>
      <c r="N34" s="20">
        <v>199</v>
      </c>
      <c r="O34" s="20">
        <v>251</v>
      </c>
      <c r="P34" s="106">
        <v>346</v>
      </c>
      <c r="Q34" s="136">
        <v>491</v>
      </c>
      <c r="R34" s="136">
        <v>324</v>
      </c>
      <c r="S34" s="106">
        <v>334</v>
      </c>
      <c r="T34" s="106">
        <v>383</v>
      </c>
      <c r="U34" s="106">
        <v>358</v>
      </c>
      <c r="V34" s="106">
        <v>317</v>
      </c>
      <c r="W34" s="106">
        <v>315</v>
      </c>
      <c r="X34" s="106">
        <v>370</v>
      </c>
      <c r="Y34" s="106">
        <v>388</v>
      </c>
      <c r="Z34" s="106">
        <v>370</v>
      </c>
      <c r="AA34" s="258">
        <v>293</v>
      </c>
      <c r="AB34" s="9"/>
    </row>
    <row r="35" spans="2:28" ht="13" customHeight="1">
      <c r="C35" s="9"/>
      <c r="D35" s="9"/>
      <c r="E35" s="11"/>
      <c r="F35" s="13"/>
      <c r="G35" s="50"/>
      <c r="H35" s="104"/>
      <c r="I35" s="104"/>
      <c r="J35" s="104"/>
      <c r="K35" s="104"/>
      <c r="L35" s="106"/>
      <c r="M35" s="106"/>
      <c r="N35" s="106"/>
      <c r="O35" s="106"/>
      <c r="P35" s="20"/>
      <c r="Q35" s="139"/>
      <c r="R35" s="139"/>
      <c r="S35" s="20"/>
      <c r="T35" s="20"/>
      <c r="U35" s="20"/>
      <c r="V35" s="106"/>
      <c r="W35" s="106"/>
      <c r="X35" s="106"/>
      <c r="Y35" s="106"/>
      <c r="Z35" s="106"/>
      <c r="AA35" s="258"/>
      <c r="AB35" s="9"/>
    </row>
    <row r="36" spans="2:28" ht="13" customHeight="1">
      <c r="B36" s="8" t="str">
        <f>VLOOKUP(46,Textbausteine_Menu[],Hilfsgrössen!$D$2,FALSE)</f>
        <v>Swiss Post Solutions</v>
      </c>
      <c r="D36" s="8"/>
      <c r="E36" s="13"/>
      <c r="F36" s="13"/>
      <c r="G36" s="50"/>
      <c r="H36" s="104"/>
      <c r="I36" s="104"/>
      <c r="J36" s="104"/>
      <c r="K36" s="104"/>
      <c r="L36" s="106"/>
      <c r="M36" s="20"/>
      <c r="N36" s="20"/>
      <c r="O36" s="20"/>
      <c r="P36" s="20"/>
      <c r="Q36" s="139"/>
      <c r="R36" s="139"/>
      <c r="S36" s="20"/>
      <c r="T36" s="20"/>
      <c r="U36" s="20"/>
      <c r="V36" s="106"/>
      <c r="W36" s="106"/>
      <c r="X36" s="106"/>
      <c r="Y36" s="106"/>
      <c r="Z36" s="106"/>
      <c r="AA36" s="258"/>
      <c r="AB36" s="9"/>
    </row>
    <row r="37" spans="2:28" ht="13" customHeight="1">
      <c r="C37" s="9" t="str">
        <f>VLOOKUP(31,Textbausteine_201[],Hilfsgrössen!$D$2,FALSE)</f>
        <v>Ricavi d'esercizio</v>
      </c>
      <c r="D37" s="18" t="str">
        <f>VLOOKUP(11,Textbausteine_201[],Hilfsgrössen!$D$2,FALSE)</f>
        <v>mln di CHF</v>
      </c>
      <c r="E37" s="13">
        <v>5</v>
      </c>
      <c r="F37" s="11" t="s">
        <v>106</v>
      </c>
      <c r="G37" s="49"/>
      <c r="H37" s="178" t="s">
        <v>30</v>
      </c>
      <c r="I37" s="178" t="s">
        <v>30</v>
      </c>
      <c r="J37" s="178" t="s">
        <v>30</v>
      </c>
      <c r="K37" s="104">
        <v>692</v>
      </c>
      <c r="L37" s="106">
        <v>708</v>
      </c>
      <c r="M37" s="20">
        <v>696</v>
      </c>
      <c r="N37" s="20">
        <v>665</v>
      </c>
      <c r="O37" s="20">
        <v>549</v>
      </c>
      <c r="P37" s="106">
        <v>549</v>
      </c>
      <c r="Q37" s="136">
        <v>616</v>
      </c>
      <c r="R37" s="136">
        <v>616</v>
      </c>
      <c r="S37" s="106">
        <v>659</v>
      </c>
      <c r="T37" s="106">
        <v>609</v>
      </c>
      <c r="U37" s="106">
        <v>609</v>
      </c>
      <c r="V37" s="106">
        <v>558</v>
      </c>
      <c r="W37" s="106">
        <v>551</v>
      </c>
      <c r="X37" s="106">
        <v>551</v>
      </c>
      <c r="Y37" s="106">
        <v>583</v>
      </c>
      <c r="Z37" s="106">
        <v>599</v>
      </c>
      <c r="AA37" s="258">
        <v>539</v>
      </c>
      <c r="AB37" s="9"/>
    </row>
    <row r="38" spans="2:28" ht="13" customHeight="1">
      <c r="C38" s="9" t="str">
        <f>VLOOKUP(36,Textbausteine_201[],Hilfsgrössen!$D$2,FALSE)</f>
        <v>Risultato d'esercizio</v>
      </c>
      <c r="D38" s="18" t="str">
        <f>VLOOKUP(11,Textbausteine_201[],Hilfsgrössen!$D$2,FALSE)</f>
        <v>mln di CHF</v>
      </c>
      <c r="E38" s="13">
        <v>5</v>
      </c>
      <c r="F38" s="11" t="s">
        <v>106</v>
      </c>
      <c r="G38" s="49"/>
      <c r="H38" s="178" t="s">
        <v>30</v>
      </c>
      <c r="I38" s="178" t="s">
        <v>30</v>
      </c>
      <c r="J38" s="373" t="s">
        <v>30</v>
      </c>
      <c r="K38" s="372">
        <v>-1</v>
      </c>
      <c r="L38" s="347">
        <v>9</v>
      </c>
      <c r="M38" s="354">
        <v>-25</v>
      </c>
      <c r="N38" s="354">
        <v>7</v>
      </c>
      <c r="O38" s="354">
        <v>11</v>
      </c>
      <c r="P38" s="347">
        <v>3</v>
      </c>
      <c r="Q38" s="406">
        <v>15</v>
      </c>
      <c r="R38" s="406">
        <v>5</v>
      </c>
      <c r="S38" s="347">
        <v>12</v>
      </c>
      <c r="T38" s="347">
        <v>16</v>
      </c>
      <c r="U38" s="347">
        <v>15</v>
      </c>
      <c r="V38" s="347">
        <v>20</v>
      </c>
      <c r="W38" s="347">
        <v>25</v>
      </c>
      <c r="X38" s="347">
        <v>25</v>
      </c>
      <c r="Y38" s="347">
        <v>31</v>
      </c>
      <c r="Z38" s="347">
        <v>32</v>
      </c>
      <c r="AA38" s="407">
        <v>25</v>
      </c>
      <c r="AB38" s="9"/>
    </row>
    <row r="39" spans="2:28" ht="13" customHeight="1">
      <c r="C39" s="9"/>
      <c r="D39" s="9"/>
      <c r="E39" s="11"/>
      <c r="F39" s="13"/>
      <c r="G39" s="50"/>
      <c r="H39" s="104"/>
      <c r="I39" s="104"/>
      <c r="J39" s="104"/>
      <c r="K39" s="104"/>
      <c r="L39" s="106"/>
      <c r="M39" s="106"/>
      <c r="N39" s="106"/>
      <c r="O39" s="106"/>
      <c r="P39" s="20"/>
      <c r="Q39" s="139"/>
      <c r="R39" s="139"/>
      <c r="S39" s="20"/>
      <c r="T39" s="20"/>
      <c r="U39" s="20"/>
      <c r="V39" s="106"/>
      <c r="W39" s="106"/>
      <c r="X39" s="106"/>
      <c r="Y39" s="106"/>
      <c r="Z39" s="106"/>
      <c r="AA39" s="258"/>
      <c r="AB39" s="9"/>
    </row>
    <row r="40" spans="2:28" ht="13" customHeight="1">
      <c r="B40" s="8" t="str">
        <f>VLOOKUP(47,Textbausteine_Menu[],Hilfsgrössen!$D$2,FALSE)</f>
        <v>RetePostale</v>
      </c>
      <c r="D40" s="9"/>
      <c r="E40" s="13"/>
      <c r="F40" s="13"/>
      <c r="G40" s="50"/>
      <c r="H40" s="104"/>
      <c r="I40" s="104"/>
      <c r="J40" s="104"/>
      <c r="K40" s="104"/>
      <c r="L40" s="106"/>
      <c r="M40" s="20"/>
      <c r="N40" s="20"/>
      <c r="O40" s="20"/>
      <c r="P40" s="20"/>
      <c r="Q40" s="139"/>
      <c r="R40" s="139"/>
      <c r="S40" s="20"/>
      <c r="T40" s="20"/>
      <c r="U40" s="20"/>
      <c r="V40" s="106"/>
      <c r="W40" s="106"/>
      <c r="X40" s="106"/>
      <c r="Y40" s="106"/>
      <c r="Z40" s="106"/>
      <c r="AA40" s="258"/>
      <c r="AB40" s="9"/>
    </row>
    <row r="41" spans="2:28" ht="13" customHeight="1">
      <c r="C41" s="9" t="str">
        <f>VLOOKUP(31,Textbausteine_201[],Hilfsgrössen!$D$2,FALSE)</f>
        <v>Ricavi d'esercizio</v>
      </c>
      <c r="D41" s="9" t="str">
        <f>VLOOKUP(11,Textbausteine_201[],Hilfsgrössen!$D$2,FALSE)</f>
        <v>mln di CHF</v>
      </c>
      <c r="E41" s="13"/>
      <c r="F41" s="11" t="s">
        <v>106</v>
      </c>
      <c r="G41" s="49"/>
      <c r="H41" s="178" t="s">
        <v>30</v>
      </c>
      <c r="I41" s="14">
        <v>1875</v>
      </c>
      <c r="J41" s="14">
        <v>1651</v>
      </c>
      <c r="K41" s="14">
        <v>1736</v>
      </c>
      <c r="L41" s="14">
        <v>1337</v>
      </c>
      <c r="M41" s="14">
        <v>1359</v>
      </c>
      <c r="N41" s="14">
        <v>1769</v>
      </c>
      <c r="O41" s="14">
        <v>1706</v>
      </c>
      <c r="P41" s="14">
        <v>1509</v>
      </c>
      <c r="Q41" s="14">
        <v>1592</v>
      </c>
      <c r="R41" s="14">
        <v>1697</v>
      </c>
      <c r="S41" s="14">
        <v>1663</v>
      </c>
      <c r="T41" s="14">
        <v>1601</v>
      </c>
      <c r="U41" s="14">
        <v>1601</v>
      </c>
      <c r="V41" s="14">
        <v>1196</v>
      </c>
      <c r="W41" s="14">
        <v>1102</v>
      </c>
      <c r="X41" s="14">
        <v>1102</v>
      </c>
      <c r="Y41" s="14">
        <v>753</v>
      </c>
      <c r="Z41" s="14">
        <v>693</v>
      </c>
      <c r="AA41" s="410">
        <v>631</v>
      </c>
      <c r="AB41" s="9"/>
    </row>
    <row r="42" spans="2:28" ht="13" customHeight="1">
      <c r="C42" s="19" t="str">
        <f>VLOOKUP(33,Textbausteine_201[],Hilfsgrössen!$D$2,FALSE)</f>
        <v>Servizi riservati</v>
      </c>
      <c r="D42" s="9" t="str">
        <f>VLOOKUP(12,Textbausteine_201[],Hilfsgrössen!$D$2,FALSE)</f>
        <v>%</v>
      </c>
      <c r="E42" s="13">
        <v>4</v>
      </c>
      <c r="F42" s="11" t="s">
        <v>106</v>
      </c>
      <c r="G42" s="49"/>
      <c r="H42" s="178" t="s">
        <v>30</v>
      </c>
      <c r="I42" s="20" t="s">
        <v>86</v>
      </c>
      <c r="J42" s="20" t="s">
        <v>86</v>
      </c>
      <c r="K42" s="20" t="s">
        <v>86</v>
      </c>
      <c r="L42" s="180" t="s">
        <v>86</v>
      </c>
      <c r="M42" s="20" t="s">
        <v>86</v>
      </c>
      <c r="N42" s="20" t="s">
        <v>86</v>
      </c>
      <c r="O42" s="20">
        <v>18.2</v>
      </c>
      <c r="P42" s="106">
        <v>17.3</v>
      </c>
      <c r="Q42" s="136">
        <v>16.5</v>
      </c>
      <c r="R42" s="136">
        <v>15.5</v>
      </c>
      <c r="S42" s="106">
        <v>15</v>
      </c>
      <c r="T42" s="106">
        <v>15.2</v>
      </c>
      <c r="U42" s="106">
        <v>15.2</v>
      </c>
      <c r="V42" s="106" t="s">
        <v>86</v>
      </c>
      <c r="W42" s="106" t="s">
        <v>86</v>
      </c>
      <c r="X42" s="106" t="s">
        <v>86</v>
      </c>
      <c r="Y42" s="106" t="s">
        <v>86</v>
      </c>
      <c r="Z42" s="106" t="s">
        <v>86</v>
      </c>
      <c r="AA42" s="258" t="s">
        <v>86</v>
      </c>
      <c r="AB42" s="9"/>
    </row>
    <row r="43" spans="2:28" ht="13" customHeight="1">
      <c r="C43" s="15" t="str">
        <f>VLOOKUP(43,Textbausteine_201[],Hilfsgrössen!$D$2,FALSE)</f>
        <v>Fatturato netto altri articoli di marca</v>
      </c>
      <c r="D43" s="9" t="str">
        <f>VLOOKUP(11,Textbausteine_201[],Hilfsgrössen!$D$2,FALSE)</f>
        <v>mln di CHF</v>
      </c>
      <c r="E43" s="13"/>
      <c r="F43" s="11" t="s">
        <v>106</v>
      </c>
      <c r="G43" s="49"/>
      <c r="H43" s="178" t="s">
        <v>30</v>
      </c>
      <c r="I43" s="104">
        <v>390</v>
      </c>
      <c r="J43" s="104">
        <v>405</v>
      </c>
      <c r="K43" s="104">
        <v>420</v>
      </c>
      <c r="L43" s="180">
        <v>444</v>
      </c>
      <c r="M43" s="20">
        <v>462</v>
      </c>
      <c r="N43" s="20">
        <v>482</v>
      </c>
      <c r="O43" s="20">
        <v>495</v>
      </c>
      <c r="P43" s="106">
        <v>498</v>
      </c>
      <c r="Q43" s="136">
        <v>497</v>
      </c>
      <c r="R43" s="136">
        <v>497</v>
      </c>
      <c r="S43" s="136">
        <v>509</v>
      </c>
      <c r="T43" s="106">
        <v>480</v>
      </c>
      <c r="U43" s="106">
        <v>480</v>
      </c>
      <c r="V43" s="106">
        <v>473</v>
      </c>
      <c r="W43" s="106">
        <v>425</v>
      </c>
      <c r="X43" s="106">
        <v>425</v>
      </c>
      <c r="Y43" s="106">
        <v>97.1</v>
      </c>
      <c r="Z43" s="106">
        <v>78.2</v>
      </c>
      <c r="AA43" s="258">
        <v>55.7</v>
      </c>
    </row>
    <row r="44" spans="2:28" ht="13" customHeight="1">
      <c r="C44" s="9" t="str">
        <f>VLOOKUP(36,Textbausteine_201[],Hilfsgrössen!$D$2,FALSE)</f>
        <v>Risultato d'esercizio</v>
      </c>
      <c r="D44" s="9" t="str">
        <f>VLOOKUP(11,Textbausteine_201[],Hilfsgrössen!$D$2,FALSE)</f>
        <v>mln di CHF</v>
      </c>
      <c r="E44" s="13"/>
      <c r="F44" s="11" t="s">
        <v>106</v>
      </c>
      <c r="G44" s="49"/>
      <c r="H44" s="178" t="s">
        <v>30</v>
      </c>
      <c r="I44" s="408">
        <v>27</v>
      </c>
      <c r="J44" s="408">
        <v>-111</v>
      </c>
      <c r="K44" s="408">
        <v>-25</v>
      </c>
      <c r="L44" s="409">
        <v>-95</v>
      </c>
      <c r="M44" s="14">
        <v>-113</v>
      </c>
      <c r="N44" s="14">
        <v>-108</v>
      </c>
      <c r="O44" s="14">
        <v>-151</v>
      </c>
      <c r="P44" s="17">
        <v>-307</v>
      </c>
      <c r="Q44" s="356">
        <v>-110</v>
      </c>
      <c r="R44" s="356">
        <v>-91</v>
      </c>
      <c r="S44" s="356">
        <v>-100</v>
      </c>
      <c r="T44" s="17">
        <v>-100</v>
      </c>
      <c r="U44" s="17">
        <v>-110</v>
      </c>
      <c r="V44" s="17">
        <v>-193</v>
      </c>
      <c r="W44" s="17">
        <v>-159</v>
      </c>
      <c r="X44" s="17">
        <v>-159</v>
      </c>
      <c r="Y44" s="17">
        <v>-94</v>
      </c>
      <c r="Z44" s="17">
        <v>-132</v>
      </c>
      <c r="AA44" s="410">
        <v>-105</v>
      </c>
    </row>
    <row r="45" spans="2:28" ht="13" customHeight="1">
      <c r="C45" s="9"/>
      <c r="D45" s="9"/>
      <c r="E45" s="11"/>
      <c r="F45" s="11"/>
      <c r="G45" s="49"/>
      <c r="H45" s="104"/>
      <c r="I45" s="104"/>
      <c r="J45" s="104"/>
      <c r="K45" s="104"/>
      <c r="L45" s="106"/>
      <c r="M45" s="106"/>
      <c r="N45" s="106"/>
      <c r="O45" s="106"/>
      <c r="P45" s="104"/>
      <c r="Q45" s="181"/>
      <c r="R45" s="181"/>
      <c r="S45" s="104"/>
      <c r="T45" s="104"/>
      <c r="U45" s="104"/>
      <c r="V45" s="106"/>
      <c r="W45" s="106"/>
      <c r="X45" s="106"/>
      <c r="Y45" s="106"/>
      <c r="Z45" s="106"/>
      <c r="AA45" s="258"/>
    </row>
    <row r="46" spans="2:28" ht="13" customHeight="1">
      <c r="B46" s="8" t="str">
        <f>VLOOKUP(48,Textbausteine_Menu[],Hilfsgrössen!$D$2,FALSE)</f>
        <v>PostLogistics</v>
      </c>
      <c r="D46" s="9"/>
      <c r="E46" s="11"/>
      <c r="F46" s="13"/>
      <c r="G46" s="50"/>
      <c r="H46" s="178"/>
      <c r="I46" s="106"/>
      <c r="J46" s="106"/>
      <c r="K46" s="106"/>
      <c r="L46" s="106"/>
      <c r="M46" s="20"/>
      <c r="N46" s="106"/>
      <c r="O46" s="106"/>
      <c r="P46" s="20"/>
      <c r="Q46" s="139"/>
      <c r="R46" s="139"/>
      <c r="S46" s="20"/>
      <c r="T46" s="20"/>
      <c r="U46" s="20"/>
      <c r="V46" s="106"/>
      <c r="W46" s="106"/>
      <c r="X46" s="106"/>
      <c r="Y46" s="106"/>
      <c r="Z46" s="106"/>
      <c r="AA46" s="258"/>
    </row>
    <row r="47" spans="2:28" ht="13" customHeight="1">
      <c r="C47" s="9" t="str">
        <f>VLOOKUP(31,Textbausteine_201[],Hilfsgrössen!$D$2,FALSE)</f>
        <v>Ricavi d'esercizio</v>
      </c>
      <c r="D47" s="9" t="str">
        <f>VLOOKUP(11,Textbausteine_201[],Hilfsgrössen!$D$2,FALSE)</f>
        <v>mln di CHF</v>
      </c>
      <c r="E47" s="11"/>
      <c r="F47" s="11" t="s">
        <v>106</v>
      </c>
      <c r="G47" s="49"/>
      <c r="H47" s="178" t="s">
        <v>30</v>
      </c>
      <c r="I47" s="14">
        <v>1368</v>
      </c>
      <c r="J47" s="14">
        <v>1375</v>
      </c>
      <c r="K47" s="14">
        <v>1461</v>
      </c>
      <c r="L47" s="14">
        <v>1516</v>
      </c>
      <c r="M47" s="14">
        <v>1488</v>
      </c>
      <c r="N47" s="14">
        <v>1478</v>
      </c>
      <c r="O47" s="14">
        <v>1501</v>
      </c>
      <c r="P47" s="14">
        <v>1535</v>
      </c>
      <c r="Q47" s="14">
        <v>1581</v>
      </c>
      <c r="R47" s="14">
        <v>1581</v>
      </c>
      <c r="S47" s="14">
        <v>1562</v>
      </c>
      <c r="T47" s="14">
        <v>1552</v>
      </c>
      <c r="U47" s="14">
        <v>1552</v>
      </c>
      <c r="V47" s="14">
        <v>1572</v>
      </c>
      <c r="W47" s="14">
        <v>1618</v>
      </c>
      <c r="X47" s="14">
        <v>1619</v>
      </c>
      <c r="Y47" s="14">
        <v>1664</v>
      </c>
      <c r="Z47" s="14">
        <v>1712</v>
      </c>
      <c r="AA47" s="410">
        <v>1933</v>
      </c>
    </row>
    <row r="48" spans="2:28" ht="13" customHeight="1">
      <c r="C48" s="9" t="str">
        <f>VLOOKUP(36,Textbausteine_201[],Hilfsgrössen!$D$2,FALSE)</f>
        <v>Risultato d'esercizio</v>
      </c>
      <c r="D48" s="9" t="str">
        <f>VLOOKUP(11,Textbausteine_201[],Hilfsgrössen!$D$2,FALSE)</f>
        <v>mln di CHF</v>
      </c>
      <c r="E48" s="11"/>
      <c r="F48" s="11" t="s">
        <v>106</v>
      </c>
      <c r="G48" s="49"/>
      <c r="H48" s="178" t="s">
        <v>30</v>
      </c>
      <c r="I48" s="106">
        <v>87</v>
      </c>
      <c r="J48" s="106">
        <v>93</v>
      </c>
      <c r="K48" s="106">
        <v>76</v>
      </c>
      <c r="L48" s="106">
        <v>39</v>
      </c>
      <c r="M48" s="20">
        <v>45</v>
      </c>
      <c r="N48" s="20">
        <v>164</v>
      </c>
      <c r="O48" s="20">
        <v>162</v>
      </c>
      <c r="P48" s="106">
        <v>149</v>
      </c>
      <c r="Q48" s="136">
        <v>189</v>
      </c>
      <c r="R48" s="136">
        <v>133</v>
      </c>
      <c r="S48" s="136">
        <v>141</v>
      </c>
      <c r="T48" s="106">
        <v>152</v>
      </c>
      <c r="U48" s="106">
        <v>145</v>
      </c>
      <c r="V48" s="106">
        <v>117</v>
      </c>
      <c r="W48" s="106">
        <v>117</v>
      </c>
      <c r="X48" s="106">
        <v>119</v>
      </c>
      <c r="Y48" s="106">
        <v>145</v>
      </c>
      <c r="Z48" s="106">
        <v>128</v>
      </c>
      <c r="AA48" s="258">
        <v>201</v>
      </c>
    </row>
    <row r="49" spans="1:27" ht="13" customHeight="1">
      <c r="A49" s="58"/>
      <c r="C49" s="9"/>
      <c r="D49" s="9"/>
      <c r="E49" s="11"/>
      <c r="F49" s="13"/>
      <c r="G49" s="50"/>
      <c r="H49" s="104"/>
      <c r="I49" s="104"/>
      <c r="J49" s="104"/>
      <c r="K49" s="104"/>
      <c r="L49" s="106"/>
      <c r="M49" s="106"/>
      <c r="N49" s="106"/>
      <c r="O49" s="106"/>
      <c r="P49" s="20"/>
      <c r="Q49" s="139"/>
      <c r="R49" s="139"/>
      <c r="S49" s="139"/>
      <c r="T49" s="20"/>
      <c r="U49" s="20"/>
      <c r="V49" s="106"/>
      <c r="W49" s="106"/>
      <c r="X49" s="106"/>
      <c r="Y49" s="106"/>
      <c r="Z49" s="106"/>
      <c r="AA49" s="258"/>
    </row>
    <row r="50" spans="1:27" ht="13" customHeight="1">
      <c r="B50" s="8" t="str">
        <f>VLOOKUP(49,Textbausteine_Menu[],Hilfsgrössen!$D$2,FALSE)</f>
        <v>PostFinance</v>
      </c>
      <c r="D50" s="9"/>
      <c r="E50" s="11"/>
      <c r="F50" s="11"/>
      <c r="G50" s="49"/>
      <c r="H50" s="104"/>
      <c r="I50" s="104"/>
      <c r="J50" s="104"/>
      <c r="K50" s="104"/>
      <c r="L50" s="106"/>
      <c r="M50" s="20"/>
      <c r="N50" s="106"/>
      <c r="O50" s="106"/>
      <c r="P50" s="104"/>
      <c r="Q50" s="181"/>
      <c r="R50" s="181"/>
      <c r="S50" s="181"/>
      <c r="T50" s="104"/>
      <c r="U50" s="104"/>
      <c r="V50" s="106"/>
      <c r="W50" s="106"/>
      <c r="X50" s="106"/>
      <c r="Y50" s="106"/>
      <c r="Z50" s="106"/>
      <c r="AA50" s="258"/>
    </row>
    <row r="51" spans="1:27" ht="13" customHeight="1">
      <c r="C51" s="9" t="str">
        <f>VLOOKUP(31,Textbausteine_201[],Hilfsgrössen!$D$2,FALSE)</f>
        <v>Ricavi d'esercizio</v>
      </c>
      <c r="D51" s="9" t="str">
        <f>VLOOKUP(11,Textbausteine_201[],Hilfsgrössen!$D$2,FALSE)</f>
        <v>mln di CHF</v>
      </c>
      <c r="E51" s="11"/>
      <c r="F51" s="11" t="s">
        <v>106</v>
      </c>
      <c r="G51" s="49"/>
      <c r="H51" s="178" t="s">
        <v>30</v>
      </c>
      <c r="I51" s="14">
        <v>1529</v>
      </c>
      <c r="J51" s="14">
        <v>1587</v>
      </c>
      <c r="K51" s="14">
        <v>1937</v>
      </c>
      <c r="L51" s="14">
        <v>2191</v>
      </c>
      <c r="M51" s="14">
        <v>2160</v>
      </c>
      <c r="N51" s="14">
        <v>2389</v>
      </c>
      <c r="O51" s="14">
        <v>2451</v>
      </c>
      <c r="P51" s="14">
        <v>2356</v>
      </c>
      <c r="Q51" s="14">
        <v>2377</v>
      </c>
      <c r="R51" s="14">
        <v>2377</v>
      </c>
      <c r="S51" s="14" t="s">
        <v>112</v>
      </c>
      <c r="T51" s="14">
        <v>2143</v>
      </c>
      <c r="U51" s="14">
        <v>2143</v>
      </c>
      <c r="V51" s="14">
        <v>2155</v>
      </c>
      <c r="W51" s="14">
        <v>2076</v>
      </c>
      <c r="X51" s="14">
        <v>2076</v>
      </c>
      <c r="Y51" s="14">
        <v>1704</v>
      </c>
      <c r="Z51" s="14">
        <v>1660</v>
      </c>
      <c r="AA51" s="410">
        <v>1566</v>
      </c>
    </row>
    <row r="52" spans="1:27" ht="13" customHeight="1">
      <c r="C52" s="9" t="str">
        <f>VLOOKUP(36,Textbausteine_201[],Hilfsgrössen!$D$2,FALSE)</f>
        <v>Risultato d'esercizio</v>
      </c>
      <c r="D52" s="9" t="str">
        <f>VLOOKUP(11,Textbausteine_201[],Hilfsgrössen!$D$2,FALSE)</f>
        <v>mln di CHF</v>
      </c>
      <c r="E52" s="11"/>
      <c r="F52" s="11" t="s">
        <v>106</v>
      </c>
      <c r="G52" s="49"/>
      <c r="H52" s="178" t="s">
        <v>30</v>
      </c>
      <c r="I52" s="181">
        <v>312</v>
      </c>
      <c r="J52" s="181">
        <v>245</v>
      </c>
      <c r="K52" s="181">
        <v>318</v>
      </c>
      <c r="L52" s="182">
        <v>229</v>
      </c>
      <c r="M52" s="20">
        <v>441</v>
      </c>
      <c r="N52" s="20">
        <v>571</v>
      </c>
      <c r="O52" s="20">
        <v>591</v>
      </c>
      <c r="P52" s="106">
        <v>623</v>
      </c>
      <c r="Q52" s="136">
        <v>588</v>
      </c>
      <c r="R52" s="136">
        <v>537</v>
      </c>
      <c r="S52" s="136">
        <v>382</v>
      </c>
      <c r="T52" s="106">
        <v>463</v>
      </c>
      <c r="U52" s="106">
        <v>459</v>
      </c>
      <c r="V52" s="106">
        <v>542</v>
      </c>
      <c r="W52" s="106">
        <v>549</v>
      </c>
      <c r="X52" s="106">
        <v>549</v>
      </c>
      <c r="Y52" s="106">
        <v>220</v>
      </c>
      <c r="Z52" s="106">
        <v>240</v>
      </c>
      <c r="AA52" s="258">
        <v>161</v>
      </c>
    </row>
    <row r="53" spans="1:27" ht="13" customHeight="1">
      <c r="C53" s="9"/>
      <c r="D53" s="9"/>
      <c r="E53" s="11"/>
      <c r="F53" s="11"/>
      <c r="G53" s="49"/>
      <c r="H53" s="104"/>
      <c r="I53" s="104"/>
      <c r="J53" s="104"/>
      <c r="K53" s="104"/>
      <c r="L53" s="106"/>
      <c r="M53" s="106"/>
      <c r="N53" s="106"/>
      <c r="O53" s="106"/>
      <c r="P53" s="106"/>
      <c r="Q53" s="136"/>
      <c r="R53" s="136"/>
      <c r="S53" s="136"/>
      <c r="T53" s="106"/>
      <c r="U53" s="106"/>
      <c r="V53" s="106"/>
      <c r="W53" s="106"/>
      <c r="X53" s="106"/>
      <c r="Y53" s="106"/>
      <c r="Z53" s="106"/>
      <c r="AA53" s="258"/>
    </row>
    <row r="54" spans="1:27" ht="13" customHeight="1">
      <c r="B54" s="8" t="str">
        <f>VLOOKUP(50,Textbausteine_Menu[],Hilfsgrössen!$D$2,FALSE)</f>
        <v>AutoPostale</v>
      </c>
      <c r="D54" s="9"/>
      <c r="E54" s="11"/>
      <c r="F54" s="11"/>
      <c r="G54" s="49"/>
      <c r="H54" s="104"/>
      <c r="I54" s="104"/>
      <c r="J54" s="104"/>
      <c r="K54" s="104"/>
      <c r="L54" s="106"/>
      <c r="M54" s="20"/>
      <c r="N54" s="106"/>
      <c r="O54" s="106"/>
      <c r="P54" s="106"/>
      <c r="Q54" s="136"/>
      <c r="R54" s="136"/>
      <c r="S54" s="136"/>
      <c r="T54" s="106"/>
      <c r="U54" s="106"/>
      <c r="V54" s="106"/>
      <c r="W54" s="106"/>
      <c r="X54" s="106"/>
      <c r="Y54" s="106"/>
      <c r="Z54" s="106"/>
      <c r="AA54" s="258"/>
    </row>
    <row r="55" spans="1:27" ht="13" customHeight="1">
      <c r="C55" s="9" t="str">
        <f>VLOOKUP(31,Textbausteine_201[],Hilfsgrössen!$D$2,FALSE)</f>
        <v>Ricavi d'esercizio</v>
      </c>
      <c r="D55" s="9" t="str">
        <f>VLOOKUP(11,Textbausteine_201[],Hilfsgrössen!$D$2,FALSE)</f>
        <v>mln di CHF</v>
      </c>
      <c r="E55" s="11"/>
      <c r="F55" s="11" t="s">
        <v>106</v>
      </c>
      <c r="G55" s="49"/>
      <c r="H55" s="178" t="s">
        <v>30</v>
      </c>
      <c r="I55" s="106">
        <v>559</v>
      </c>
      <c r="J55" s="106">
        <v>579</v>
      </c>
      <c r="K55" s="106">
        <v>585</v>
      </c>
      <c r="L55" s="106">
        <v>604</v>
      </c>
      <c r="M55" s="20">
        <v>640</v>
      </c>
      <c r="N55" s="20">
        <v>702</v>
      </c>
      <c r="O55" s="20">
        <v>719</v>
      </c>
      <c r="P55" s="106">
        <v>778</v>
      </c>
      <c r="Q55" s="136">
        <v>812</v>
      </c>
      <c r="R55" s="136">
        <v>812</v>
      </c>
      <c r="S55" s="136">
        <v>835</v>
      </c>
      <c r="T55" s="106">
        <v>849</v>
      </c>
      <c r="U55" s="106">
        <v>849</v>
      </c>
      <c r="V55" s="106">
        <v>923</v>
      </c>
      <c r="W55" s="106">
        <v>925</v>
      </c>
      <c r="X55" s="106">
        <v>925</v>
      </c>
      <c r="Y55" s="106">
        <v>823</v>
      </c>
      <c r="Z55" s="106">
        <v>841</v>
      </c>
      <c r="AA55" s="410">
        <v>809</v>
      </c>
    </row>
    <row r="56" spans="1:27" ht="13" customHeight="1">
      <c r="C56" s="15" t="str">
        <f>VLOOKUP(32,Textbausteine_201[],Hilfsgrössen!$D$2,FALSE)</f>
        <v>conseguiti all’estero e zone transforntaliere</v>
      </c>
      <c r="D56" s="9" t="str">
        <f>VLOOKUP(12,Textbausteine_201[],Hilfsgrössen!$D$2,FALSE)</f>
        <v>%</v>
      </c>
      <c r="E56" s="11"/>
      <c r="F56" s="11" t="s">
        <v>106</v>
      </c>
      <c r="G56" s="49"/>
      <c r="H56" s="338" t="s">
        <v>30</v>
      </c>
      <c r="I56" s="411">
        <v>3.2</v>
      </c>
      <c r="J56" s="411">
        <v>4.7</v>
      </c>
      <c r="K56" s="411">
        <v>5.6</v>
      </c>
      <c r="L56" s="411">
        <v>5.4</v>
      </c>
      <c r="M56" s="16">
        <v>7.2</v>
      </c>
      <c r="N56" s="16">
        <v>9.3000000000000007</v>
      </c>
      <c r="O56" s="16">
        <v>9</v>
      </c>
      <c r="P56" s="411">
        <v>10.9</v>
      </c>
      <c r="Q56" s="412">
        <v>12</v>
      </c>
      <c r="R56" s="412">
        <v>12</v>
      </c>
      <c r="S56" s="412">
        <v>13.2</v>
      </c>
      <c r="T56" s="412">
        <v>13</v>
      </c>
      <c r="U56" s="411">
        <v>12.2</v>
      </c>
      <c r="V56" s="411">
        <v>14.3</v>
      </c>
      <c r="W56" s="411">
        <v>14.7</v>
      </c>
      <c r="X56" s="411">
        <v>14.7</v>
      </c>
      <c r="Y56" s="411">
        <v>2.2000000000000002</v>
      </c>
      <c r="Z56" s="411">
        <v>2.1</v>
      </c>
      <c r="AA56" s="449">
        <v>2.1</v>
      </c>
    </row>
    <row r="57" spans="1:27" ht="13" customHeight="1">
      <c r="C57" s="9" t="str">
        <f>VLOOKUP(36,Textbausteine_201[],Hilfsgrössen!$D$2,FALSE)</f>
        <v>Risultato d'esercizio</v>
      </c>
      <c r="D57" s="9" t="str">
        <f>VLOOKUP(11,Textbausteine_201[],Hilfsgrössen!$D$2,FALSE)</f>
        <v>mln di CHF</v>
      </c>
      <c r="E57" s="11"/>
      <c r="F57" s="11" t="s">
        <v>106</v>
      </c>
      <c r="G57" s="49"/>
      <c r="H57" s="373" t="s">
        <v>30</v>
      </c>
      <c r="I57" s="347">
        <v>29</v>
      </c>
      <c r="J57" s="347">
        <v>28</v>
      </c>
      <c r="K57" s="347">
        <v>32</v>
      </c>
      <c r="L57" s="347">
        <v>27</v>
      </c>
      <c r="M57" s="354">
        <v>27</v>
      </c>
      <c r="N57" s="354">
        <v>28</v>
      </c>
      <c r="O57" s="354">
        <v>33</v>
      </c>
      <c r="P57" s="347">
        <v>35</v>
      </c>
      <c r="Q57" s="406">
        <v>65</v>
      </c>
      <c r="R57" s="406">
        <v>28</v>
      </c>
      <c r="S57" s="406">
        <v>30</v>
      </c>
      <c r="T57" s="347">
        <v>33</v>
      </c>
      <c r="U57" s="347">
        <v>29</v>
      </c>
      <c r="V57" s="347">
        <v>36</v>
      </c>
      <c r="W57" s="347">
        <v>19</v>
      </c>
      <c r="X57" s="347">
        <v>19</v>
      </c>
      <c r="Y57" s="347">
        <v>-51</v>
      </c>
      <c r="Z57" s="347">
        <v>-24</v>
      </c>
      <c r="AA57" s="407">
        <v>-79</v>
      </c>
    </row>
    <row r="58" spans="1:27" ht="13" customHeight="1">
      <c r="C58" s="9"/>
      <c r="D58" s="9"/>
      <c r="E58" s="11"/>
      <c r="F58" s="11"/>
      <c r="G58" s="49"/>
      <c r="H58" s="104"/>
      <c r="I58" s="104"/>
      <c r="J58" s="104"/>
      <c r="K58" s="104"/>
      <c r="L58" s="106"/>
      <c r="M58" s="106"/>
      <c r="N58" s="106"/>
      <c r="O58" s="106"/>
      <c r="P58" s="106"/>
      <c r="Q58" s="136"/>
      <c r="R58" s="136"/>
      <c r="S58" s="136"/>
      <c r="T58" s="106"/>
      <c r="U58" s="106"/>
      <c r="V58" s="106"/>
      <c r="W58" s="106"/>
      <c r="X58" s="106"/>
      <c r="Y58" s="106"/>
      <c r="Z58" s="106"/>
      <c r="AA58" s="258"/>
    </row>
    <row r="59" spans="1:27" ht="13" customHeight="1">
      <c r="B59" s="8" t="str">
        <f>VLOOKUP(51,Textbausteine_Menu[],Hilfsgrössen!$D$2,FALSE)</f>
        <v>Altri</v>
      </c>
      <c r="D59" s="9"/>
      <c r="E59" s="13"/>
      <c r="F59" s="11"/>
      <c r="G59" s="49"/>
      <c r="H59" s="104"/>
      <c r="I59" s="104"/>
      <c r="J59" s="104"/>
      <c r="K59" s="104"/>
      <c r="L59" s="106"/>
      <c r="M59" s="20"/>
      <c r="N59" s="20"/>
      <c r="O59" s="20"/>
      <c r="P59" s="106"/>
      <c r="Q59" s="136"/>
      <c r="R59" s="136"/>
      <c r="S59" s="136"/>
      <c r="T59" s="106"/>
      <c r="U59" s="106"/>
      <c r="V59" s="106"/>
      <c r="W59" s="106"/>
      <c r="X59" s="106"/>
      <c r="Y59" s="106"/>
      <c r="Z59" s="106"/>
      <c r="AA59" s="258"/>
    </row>
    <row r="60" spans="1:27" ht="13" customHeight="1">
      <c r="C60" s="9" t="str">
        <f>VLOOKUP(31,Textbausteine_201[],Hilfsgrössen!$D$2,FALSE)</f>
        <v>Ricavi d'esercizio</v>
      </c>
      <c r="D60" s="9" t="str">
        <f>VLOOKUP(11,Textbausteine_201[],Hilfsgrössen!$D$2,FALSE)</f>
        <v>mln di CHF</v>
      </c>
      <c r="E60" s="13"/>
      <c r="F60" s="11" t="s">
        <v>106</v>
      </c>
      <c r="G60" s="49"/>
      <c r="H60" s="178" t="s">
        <v>30</v>
      </c>
      <c r="I60" s="20">
        <v>858</v>
      </c>
      <c r="J60" s="20">
        <v>882</v>
      </c>
      <c r="K60" s="20">
        <v>1018</v>
      </c>
      <c r="L60" s="20">
        <v>1176</v>
      </c>
      <c r="M60" s="20">
        <v>1030</v>
      </c>
      <c r="N60" s="20">
        <v>968</v>
      </c>
      <c r="O60" s="20">
        <v>945</v>
      </c>
      <c r="P60" s="106">
        <v>937</v>
      </c>
      <c r="Q60" s="136">
        <v>897</v>
      </c>
      <c r="R60" s="136">
        <v>897</v>
      </c>
      <c r="S60" s="136">
        <v>886</v>
      </c>
      <c r="T60" s="106">
        <v>941</v>
      </c>
      <c r="U60" s="106">
        <v>941</v>
      </c>
      <c r="V60" s="106">
        <v>919</v>
      </c>
      <c r="W60" s="106">
        <v>889</v>
      </c>
      <c r="X60" s="106">
        <v>889</v>
      </c>
      <c r="Y60" s="106">
        <v>926</v>
      </c>
      <c r="Z60" s="106">
        <v>929</v>
      </c>
      <c r="AA60" s="258">
        <v>930</v>
      </c>
    </row>
    <row r="61" spans="1:27" ht="13" customHeight="1">
      <c r="C61" s="9" t="str">
        <f>VLOOKUP(36,Textbausteine_201[],Hilfsgrössen!$D$2,FALSE)</f>
        <v>Risultato d'esercizio</v>
      </c>
      <c r="D61" s="9" t="str">
        <f>VLOOKUP(11,Textbausteine_201[],Hilfsgrössen!$D$2,FALSE)</f>
        <v>mln di CHF</v>
      </c>
      <c r="E61" s="13"/>
      <c r="F61" s="11" t="s">
        <v>106</v>
      </c>
      <c r="G61" s="49"/>
      <c r="H61" s="178" t="s">
        <v>30</v>
      </c>
      <c r="I61" s="20">
        <v>92</v>
      </c>
      <c r="J61" s="20">
        <v>136</v>
      </c>
      <c r="K61" s="20">
        <v>196</v>
      </c>
      <c r="L61" s="20">
        <v>318</v>
      </c>
      <c r="M61" s="20">
        <v>95</v>
      </c>
      <c r="N61" s="20">
        <v>20</v>
      </c>
      <c r="O61" s="20">
        <v>11</v>
      </c>
      <c r="P61" s="106">
        <v>7</v>
      </c>
      <c r="Q61" s="136">
        <v>3</v>
      </c>
      <c r="R61" s="136">
        <v>-25</v>
      </c>
      <c r="S61" s="136">
        <v>4</v>
      </c>
      <c r="T61" s="106">
        <v>-71</v>
      </c>
      <c r="U61" s="106">
        <v>-73</v>
      </c>
      <c r="V61" s="106">
        <v>-135</v>
      </c>
      <c r="W61" s="106">
        <v>-201</v>
      </c>
      <c r="X61" s="106">
        <v>-201</v>
      </c>
      <c r="Y61" s="106">
        <v>-130</v>
      </c>
      <c r="Z61" s="106">
        <v>-163</v>
      </c>
      <c r="AA61" s="258">
        <v>-223</v>
      </c>
    </row>
    <row r="62" spans="1:27" ht="13" customHeight="1">
      <c r="B62" s="9"/>
      <c r="C62" s="9"/>
      <c r="D62" s="9"/>
      <c r="E62" s="11"/>
      <c r="F62" s="11"/>
      <c r="G62" s="49"/>
      <c r="H62" s="104"/>
      <c r="I62" s="104"/>
      <c r="J62" s="104"/>
      <c r="K62" s="104"/>
      <c r="L62" s="104"/>
      <c r="M62" s="104"/>
      <c r="N62" s="106"/>
      <c r="O62" s="106"/>
      <c r="P62" s="106"/>
      <c r="Q62" s="106"/>
      <c r="R62" s="106"/>
      <c r="S62" s="106"/>
      <c r="T62" s="106"/>
      <c r="U62" s="106"/>
      <c r="V62" s="106"/>
      <c r="W62" s="106"/>
    </row>
    <row r="63" spans="1:27" ht="13" customHeight="1">
      <c r="B63" s="22" t="str">
        <f>VLOOKUP(131,Textbausteine_201[],Hilfsgrössen!$D$2,FALSE)</f>
        <v>1) In conformità con il prospetto per segmento nel rapporto finanziario, quindi estero = incl. traffico transfrontaliero</v>
      </c>
      <c r="C63" s="9"/>
      <c r="D63" s="9"/>
      <c r="E63" s="11"/>
      <c r="F63" s="11"/>
      <c r="G63" s="49"/>
      <c r="H63" s="104"/>
      <c r="I63" s="104"/>
      <c r="J63" s="104"/>
      <c r="K63" s="104"/>
      <c r="L63" s="104"/>
      <c r="M63" s="104"/>
      <c r="N63" s="106"/>
      <c r="O63" s="106"/>
      <c r="P63" s="106"/>
      <c r="Q63" s="106"/>
      <c r="R63" s="104"/>
      <c r="S63" s="104"/>
      <c r="T63" s="104"/>
      <c r="U63" s="104"/>
      <c r="V63" s="106"/>
      <c r="W63" s="106"/>
    </row>
    <row r="64" spans="1:27" s="21" customFormat="1" ht="13" customHeight="1">
      <c r="A64" s="85"/>
      <c r="B64" s="22" t="str">
        <f>VLOOKUP(132,Textbausteine_201[],Hilfsgrössen!$D$2,FALSE)</f>
        <v>2) Il servizio riservato consiste nelle prestazioni del servizio postale di base offerte esclusivamente dalla Posta e che essa è tenuta ad erogare. Il servizio riservato corrisponde al settore protetto da monopolio.</v>
      </c>
      <c r="D64" s="23"/>
      <c r="E64" s="41"/>
      <c r="F64" s="41"/>
      <c r="G64" s="51"/>
      <c r="H64" s="183"/>
      <c r="I64" s="183"/>
      <c r="J64" s="183"/>
      <c r="K64" s="183"/>
      <c r="L64" s="183"/>
      <c r="M64" s="183"/>
      <c r="N64" s="183"/>
      <c r="O64" s="183"/>
      <c r="P64" s="183"/>
      <c r="Q64" s="183"/>
      <c r="R64" s="183"/>
      <c r="S64" s="183"/>
      <c r="T64" s="183"/>
      <c r="U64" s="183"/>
      <c r="V64" s="106"/>
      <c r="W64" s="106"/>
      <c r="X64" s="367"/>
      <c r="Y64" s="367"/>
      <c r="Z64" s="367"/>
    </row>
    <row r="65" spans="1:31" s="21" customFormat="1" ht="13" customHeight="1">
      <c r="A65" s="85"/>
      <c r="B65" s="22" t="str">
        <f>VLOOKUP(133,Textbausteine_201[],Hilfsgrössen!$D$2,FALSE)</f>
        <v>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v>
      </c>
      <c r="D65" s="23"/>
      <c r="E65" s="41"/>
      <c r="F65" s="41"/>
      <c r="G65" s="51"/>
      <c r="H65" s="183"/>
      <c r="I65" s="183"/>
      <c r="J65" s="183"/>
      <c r="K65" s="183"/>
      <c r="L65" s="183"/>
      <c r="M65" s="183"/>
      <c r="N65" s="183"/>
      <c r="O65" s="183"/>
      <c r="P65" s="183"/>
      <c r="Q65" s="183"/>
      <c r="R65" s="183"/>
      <c r="S65" s="183"/>
      <c r="T65" s="183"/>
      <c r="U65" s="183"/>
      <c r="V65" s="106"/>
      <c r="W65" s="106"/>
      <c r="X65" s="367"/>
      <c r="Y65" s="367"/>
      <c r="Z65" s="367"/>
    </row>
    <row r="66" spans="1:31" s="21" customFormat="1" ht="13" customHeight="1">
      <c r="A66" s="85"/>
      <c r="B66" s="22" t="str">
        <f>VLOOKUP(134,Textbausteine_201[],Hilfsgrössen!$D$2,FALSE)</f>
        <v>4) A partire dal 1o gennaio 2016 la responsabilità dei prodotti per i clienti privati è stata trasferita da RetePostale a PostMail e PostLogistics. Di conseguenza RetePostale non presenta più la voce «Ricavi d'esercizio servizi riservati», che si trova esclusivamente nei ricavi d'esercizio di PostMail.</v>
      </c>
      <c r="D66" s="23"/>
      <c r="E66" s="41"/>
      <c r="F66" s="41"/>
      <c r="G66" s="51"/>
      <c r="H66" s="183"/>
      <c r="I66" s="183"/>
      <c r="J66" s="183"/>
      <c r="K66" s="183"/>
      <c r="L66" s="183"/>
      <c r="M66" s="183"/>
      <c r="N66" s="183"/>
      <c r="O66" s="183"/>
      <c r="P66" s="183"/>
      <c r="Q66" s="183"/>
      <c r="R66" s="183"/>
      <c r="S66" s="183"/>
      <c r="T66" s="183"/>
      <c r="U66" s="183"/>
      <c r="V66" s="106"/>
      <c r="W66" s="106"/>
      <c r="X66" s="367"/>
      <c r="Y66" s="367"/>
      <c r="Z66" s="367"/>
    </row>
    <row r="67" spans="1:31" s="21" customFormat="1" ht="13" customHeight="1">
      <c r="A67" s="85"/>
      <c r="B67" s="22" t="str">
        <f>VLOOKUP(135,Textbausteine_201[],Hilfsgrössen!$D$2,FALSE)</f>
        <v>5) Nel 2007 alcune società del gruppo dei segmenti PostMail (DocumentServices AG, SwissSign AG) e PostLogistics (yellowworld AG) sono state assegnate al segmento Swiss Post Solutions.</v>
      </c>
      <c r="D67" s="25"/>
      <c r="E67" s="42"/>
      <c r="F67" s="42"/>
      <c r="G67" s="52"/>
      <c r="H67" s="184"/>
      <c r="I67" s="184"/>
      <c r="J67" s="184"/>
      <c r="K67" s="184"/>
      <c r="L67" s="184"/>
      <c r="M67" s="184"/>
      <c r="N67" s="184"/>
      <c r="O67" s="184"/>
      <c r="P67" s="184"/>
      <c r="Q67" s="184"/>
      <c r="R67" s="184"/>
      <c r="S67" s="184"/>
      <c r="T67" s="184"/>
      <c r="U67" s="184"/>
      <c r="V67" s="20"/>
      <c r="W67" s="20"/>
      <c r="X67" s="367"/>
      <c r="Y67" s="367"/>
      <c r="Z67" s="367"/>
    </row>
    <row r="68" spans="1:31" s="21" customFormat="1" ht="13" customHeight="1">
      <c r="A68" s="85"/>
      <c r="B68" s="22" t="str">
        <f>VLOOKUP(136,Textbausteine_201[],Hilfsgrössen!$D$2,FALSE)</f>
        <v>6) Valori 2017, 2015 e 2013 normalizzati.</v>
      </c>
      <c r="D68" s="25"/>
      <c r="E68" s="42"/>
      <c r="F68" s="42"/>
      <c r="G68" s="52"/>
      <c r="H68" s="184"/>
      <c r="I68" s="184"/>
      <c r="J68" s="184"/>
      <c r="K68" s="184"/>
      <c r="L68" s="184"/>
      <c r="M68" s="184"/>
      <c r="N68" s="184"/>
      <c r="O68" s="184"/>
      <c r="P68" s="184"/>
      <c r="Q68" s="184"/>
      <c r="R68" s="184"/>
      <c r="S68" s="184"/>
      <c r="T68" s="184"/>
      <c r="U68" s="184"/>
      <c r="V68" s="20"/>
      <c r="W68" s="20"/>
      <c r="X68" s="367"/>
      <c r="Y68" s="367"/>
      <c r="Z68" s="367"/>
    </row>
    <row r="69" spans="1:31" ht="13" customHeight="1">
      <c r="B69" s="22" t="str">
        <f>VLOOKUP(137,Textbausteine_201[],Hilfsgrössen!$D$2,FALSE)</f>
        <v>7) Valori dell'anno precedente in parte adattati.</v>
      </c>
    </row>
    <row r="72" spans="1:31" s="31" customFormat="1" ht="13" customHeight="1">
      <c r="A72" s="80" t="s">
        <v>27</v>
      </c>
      <c r="B72" s="496" t="str">
        <f>$C$8</f>
        <v>Distribuzione del valore aggiunto</v>
      </c>
      <c r="C72" s="496"/>
      <c r="D72" s="6" t="str">
        <f>VLOOKUP(32,Textbausteine_Menu[],Hilfsgrössen!$D$2,FALSE)</f>
        <v>Unità</v>
      </c>
      <c r="E72" s="40" t="str">
        <f>VLOOKUP(33,Textbausteine_Menu[],Hilfsgrössen!$D$2,FALSE)</f>
        <v>Note</v>
      </c>
      <c r="F72" s="40" t="str">
        <f>VLOOKUP(34,Textbausteine_Menu[],Hilfsgrössen!$D$2,FALSE)</f>
        <v>GRI</v>
      </c>
      <c r="G72" s="48"/>
      <c r="H72" s="94">
        <v>2004</v>
      </c>
      <c r="I72" s="94">
        <v>2005</v>
      </c>
      <c r="J72" s="116">
        <v>2006</v>
      </c>
      <c r="K72" s="116">
        <v>2007</v>
      </c>
      <c r="L72" s="116">
        <v>2008</v>
      </c>
      <c r="M72" s="116">
        <v>2009</v>
      </c>
      <c r="N72" s="116">
        <v>2010</v>
      </c>
      <c r="O72" s="116">
        <v>2011</v>
      </c>
      <c r="P72" s="116">
        <v>2012</v>
      </c>
      <c r="Q72" s="116">
        <v>2013</v>
      </c>
      <c r="R72" s="116" t="s">
        <v>113</v>
      </c>
      <c r="S72" s="103">
        <v>2014</v>
      </c>
      <c r="T72" s="103">
        <v>2015</v>
      </c>
      <c r="U72" s="116" t="s">
        <v>114</v>
      </c>
      <c r="V72" s="116">
        <v>2016</v>
      </c>
      <c r="W72" s="368">
        <v>2017</v>
      </c>
      <c r="X72" s="369" t="s">
        <v>115</v>
      </c>
      <c r="Y72" s="369" t="s">
        <v>116</v>
      </c>
      <c r="Z72" s="369">
        <v>2019</v>
      </c>
      <c r="AA72" s="340" t="s">
        <v>117</v>
      </c>
      <c r="AB72" s="40"/>
    </row>
    <row r="73" spans="1:31" s="31" customFormat="1" ht="13" customHeight="1">
      <c r="A73" s="85"/>
      <c r="B73" s="496"/>
      <c r="C73" s="496"/>
      <c r="D73" s="6"/>
      <c r="E73" s="40"/>
      <c r="F73" s="40"/>
      <c r="G73" s="48"/>
      <c r="H73" s="94"/>
      <c r="I73" s="94"/>
      <c r="J73" s="116"/>
      <c r="K73" s="116"/>
      <c r="L73" s="116"/>
      <c r="M73" s="116"/>
      <c r="N73" s="116"/>
      <c r="O73" s="116"/>
      <c r="P73" s="116"/>
      <c r="Q73" s="116"/>
      <c r="R73" s="116"/>
      <c r="S73" s="103"/>
      <c r="T73" s="103"/>
      <c r="U73" s="103"/>
      <c r="V73" s="20"/>
      <c r="W73" s="354"/>
      <c r="X73" s="370"/>
      <c r="Y73" s="370"/>
      <c r="Z73" s="370"/>
      <c r="AA73" s="341"/>
      <c r="AB73" s="6"/>
    </row>
    <row r="74" spans="1:31" ht="13" customHeight="1">
      <c r="A74" s="62"/>
      <c r="C74" s="27"/>
      <c r="D74" s="18"/>
      <c r="E74" s="13"/>
      <c r="F74" s="11"/>
      <c r="G74" s="49"/>
      <c r="J74" s="20"/>
      <c r="K74" s="20"/>
      <c r="L74" s="20"/>
      <c r="M74" s="20"/>
      <c r="N74" s="20"/>
      <c r="O74" s="20"/>
      <c r="P74" s="20"/>
      <c r="Q74" s="20"/>
      <c r="R74" s="106"/>
      <c r="S74" s="106"/>
      <c r="T74" s="106"/>
      <c r="U74" s="106"/>
      <c r="V74" s="118"/>
      <c r="W74" s="371"/>
      <c r="X74" s="372"/>
      <c r="Y74" s="372"/>
      <c r="Z74" s="372"/>
      <c r="AA74" s="342"/>
      <c r="AB74" s="9"/>
    </row>
    <row r="75" spans="1:31" s="31" customFormat="1" ht="13" customHeight="1">
      <c r="A75" s="86"/>
      <c r="B75" s="8" t="str">
        <f>VLOOKUP(36,Textbausteine_Menu[],Hilfsgrössen!$D$2,FALSE)</f>
        <v>Gruppo</v>
      </c>
      <c r="E75" s="39"/>
      <c r="F75" s="39"/>
      <c r="G75" s="46"/>
      <c r="H75" s="94"/>
      <c r="I75" s="94"/>
      <c r="J75" s="94"/>
      <c r="K75" s="94"/>
      <c r="L75" s="94"/>
      <c r="M75" s="94"/>
      <c r="N75" s="94"/>
      <c r="O75" s="94"/>
      <c r="P75" s="94"/>
      <c r="Q75" s="94"/>
      <c r="R75" s="94"/>
      <c r="S75" s="94"/>
      <c r="T75" s="94"/>
      <c r="U75" s="94"/>
      <c r="V75" s="118"/>
      <c r="W75" s="371"/>
      <c r="X75" s="370"/>
      <c r="Y75" s="370"/>
      <c r="Z75" s="370"/>
      <c r="AA75" s="341"/>
      <c r="AB75" s="6"/>
    </row>
    <row r="76" spans="1:31" ht="13" customHeight="1">
      <c r="A76" s="86"/>
      <c r="B76" s="18"/>
      <c r="C76" s="1" t="str">
        <f>VLOOKUP(61,Textbausteine_201[],Hilfsgrössen!$D$2,FALSE)</f>
        <v>Creazione di valore aggiunto</v>
      </c>
      <c r="D76" s="1" t="str">
        <f>VLOOKUP(11,Textbausteine_201[],Hilfsgrössen!$D$2,FALSE)</f>
        <v>mln di CHF</v>
      </c>
      <c r="E76" s="37">
        <v>1</v>
      </c>
      <c r="F76" s="37" t="s">
        <v>106</v>
      </c>
      <c r="H76" s="413">
        <v>4786</v>
      </c>
      <c r="I76" s="413">
        <v>4716</v>
      </c>
      <c r="J76" s="413">
        <v>4735</v>
      </c>
      <c r="K76" s="413">
        <v>4925</v>
      </c>
      <c r="L76" s="413">
        <v>4875</v>
      </c>
      <c r="M76" s="413">
        <v>4983</v>
      </c>
      <c r="N76" s="413">
        <v>5268</v>
      </c>
      <c r="O76" s="413">
        <v>5187</v>
      </c>
      <c r="P76" s="413">
        <v>5314</v>
      </c>
      <c r="Q76" s="414" t="s">
        <v>30</v>
      </c>
      <c r="R76" s="413">
        <v>5328</v>
      </c>
      <c r="S76" s="413">
        <v>5220</v>
      </c>
      <c r="T76" s="414" t="s">
        <v>30</v>
      </c>
      <c r="U76" s="413">
        <v>5193</v>
      </c>
      <c r="V76" s="358">
        <v>5145</v>
      </c>
      <c r="W76" s="414" t="s">
        <v>30</v>
      </c>
      <c r="X76" s="358">
        <v>5143</v>
      </c>
      <c r="Y76" s="358">
        <v>4613</v>
      </c>
      <c r="Z76" s="358">
        <v>4616</v>
      </c>
      <c r="AA76" s="415">
        <v>4521</v>
      </c>
      <c r="AB76" s="9"/>
    </row>
    <row r="77" spans="1:31" ht="13" customHeight="1">
      <c r="A77" s="86"/>
      <c r="B77" s="18"/>
      <c r="C77" s="36" t="str">
        <f>VLOOKUP(62,Textbausteine_201[],Hilfsgrössen!$D$2,FALSE)</f>
        <v>di cui a: collaboratori</v>
      </c>
      <c r="D77" s="1" t="str">
        <f>VLOOKUP(11,Textbausteine_201[],Hilfsgrössen!$D$2,FALSE)</f>
        <v>mln di CHF</v>
      </c>
      <c r="E77" s="37">
        <v>2</v>
      </c>
      <c r="F77" s="37" t="s">
        <v>106</v>
      </c>
      <c r="H77" s="413">
        <v>3738</v>
      </c>
      <c r="I77" s="413">
        <v>3704</v>
      </c>
      <c r="J77" s="413">
        <v>3711</v>
      </c>
      <c r="K77" s="413">
        <v>3851</v>
      </c>
      <c r="L77" s="413">
        <v>3873</v>
      </c>
      <c r="M77" s="413">
        <v>4032</v>
      </c>
      <c r="N77" s="413">
        <v>4076</v>
      </c>
      <c r="O77" s="413">
        <v>4026</v>
      </c>
      <c r="P77" s="413">
        <v>4161</v>
      </c>
      <c r="Q77" s="414" t="s">
        <v>30</v>
      </c>
      <c r="R77" s="413">
        <v>4131</v>
      </c>
      <c r="S77" s="413">
        <v>4108</v>
      </c>
      <c r="T77" s="414" t="s">
        <v>30</v>
      </c>
      <c r="U77" s="413">
        <v>4074</v>
      </c>
      <c r="V77" s="358">
        <v>4034</v>
      </c>
      <c r="W77" s="414" t="s">
        <v>30</v>
      </c>
      <c r="X77" s="358">
        <v>3989</v>
      </c>
      <c r="Y77" s="358">
        <v>3802</v>
      </c>
      <c r="Z77" s="358">
        <v>3764</v>
      </c>
      <c r="AA77" s="415">
        <v>3833</v>
      </c>
      <c r="AB77" s="9"/>
      <c r="AE77" s="178"/>
    </row>
    <row r="78" spans="1:31" ht="13" customHeight="1">
      <c r="A78" s="86"/>
      <c r="B78" s="18"/>
      <c r="C78" s="36" t="str">
        <f>VLOOKUP(63,Textbausteine_201[],Hilfsgrössen!$D$2,FALSE)</f>
        <v>di cui a: investitori esterni</v>
      </c>
      <c r="D78" s="1" t="str">
        <f>VLOOKUP(11,Textbausteine_201[],Hilfsgrössen!$D$2,FALSE)</f>
        <v>mln di CHF</v>
      </c>
      <c r="E78" s="37">
        <v>3</v>
      </c>
      <c r="F78" s="37" t="s">
        <v>106</v>
      </c>
      <c r="H78" s="413">
        <v>11</v>
      </c>
      <c r="I78" s="413">
        <v>9</v>
      </c>
      <c r="J78" s="413">
        <v>11</v>
      </c>
      <c r="K78" s="413">
        <v>20</v>
      </c>
      <c r="L78" s="413">
        <v>22</v>
      </c>
      <c r="M78" s="413">
        <v>14</v>
      </c>
      <c r="N78" s="413">
        <v>20</v>
      </c>
      <c r="O78" s="413">
        <v>19</v>
      </c>
      <c r="P78" s="413">
        <v>82</v>
      </c>
      <c r="Q78" s="414" t="s">
        <v>30</v>
      </c>
      <c r="R78" s="413">
        <v>93</v>
      </c>
      <c r="S78" s="413">
        <v>57</v>
      </c>
      <c r="T78" s="414" t="s">
        <v>30</v>
      </c>
      <c r="U78" s="413">
        <v>69</v>
      </c>
      <c r="V78" s="358">
        <v>64</v>
      </c>
      <c r="W78" s="414" t="s">
        <v>30</v>
      </c>
      <c r="X78" s="358">
        <v>48</v>
      </c>
      <c r="Y78" s="358">
        <v>48</v>
      </c>
      <c r="Z78" s="358">
        <v>75</v>
      </c>
      <c r="AA78" s="415">
        <v>52</v>
      </c>
      <c r="AB78" s="9"/>
      <c r="AE78" s="178"/>
    </row>
    <row r="79" spans="1:31" ht="13" customHeight="1">
      <c r="A79" s="86"/>
      <c r="B79" s="18"/>
      <c r="C79" s="36" t="str">
        <f>VLOOKUP(64,Textbausteine_201[],Hilfsgrössen!$D$2,FALSE)</f>
        <v>di cui per: amministrazione pubblica</v>
      </c>
      <c r="D79" s="1" t="str">
        <f>VLOOKUP(11,Textbausteine_201[],Hilfsgrössen!$D$2,FALSE)</f>
        <v>mln di CHF</v>
      </c>
      <c r="E79" s="37">
        <v>4</v>
      </c>
      <c r="F79" s="37" t="s">
        <v>106</v>
      </c>
      <c r="H79" s="413">
        <v>2</v>
      </c>
      <c r="I79" s="413">
        <v>4</v>
      </c>
      <c r="J79" s="413">
        <v>9</v>
      </c>
      <c r="K79" s="413">
        <v>13</v>
      </c>
      <c r="L79" s="413">
        <v>10</v>
      </c>
      <c r="M79" s="413">
        <v>9</v>
      </c>
      <c r="N79" s="413">
        <v>12</v>
      </c>
      <c r="O79" s="413">
        <v>13</v>
      </c>
      <c r="P79" s="413">
        <v>34</v>
      </c>
      <c r="Q79" s="414" t="s">
        <v>30</v>
      </c>
      <c r="R79" s="413">
        <v>94</v>
      </c>
      <c r="S79" s="413">
        <v>79</v>
      </c>
      <c r="T79" s="414" t="s">
        <v>30</v>
      </c>
      <c r="U79" s="413">
        <v>94</v>
      </c>
      <c r="V79" s="358">
        <v>118</v>
      </c>
      <c r="W79" s="414" t="s">
        <v>30</v>
      </c>
      <c r="X79" s="358">
        <f>74-11</f>
        <v>63</v>
      </c>
      <c r="Y79" s="358">
        <v>42</v>
      </c>
      <c r="Z79" s="358">
        <v>32</v>
      </c>
      <c r="AA79" s="415">
        <v>33</v>
      </c>
      <c r="AB79" s="9"/>
      <c r="AE79" s="178"/>
    </row>
    <row r="80" spans="1:31">
      <c r="A80" s="86"/>
      <c r="B80" s="18"/>
      <c r="C80" s="36" t="str">
        <f>VLOOKUP(65,Textbausteine_201[],Hilfsgrössen!$D$2,FALSE)</f>
        <v>di cui a: proprietaria</v>
      </c>
      <c r="D80" s="1" t="str">
        <f>VLOOKUP(11,Textbausteine_201[],Hilfsgrössen!$D$2,FALSE)</f>
        <v>mln di CHF</v>
      </c>
      <c r="E80" s="37">
        <v>5</v>
      </c>
      <c r="F80" s="37" t="s">
        <v>106</v>
      </c>
      <c r="H80" s="413">
        <v>0</v>
      </c>
      <c r="I80" s="413">
        <v>0</v>
      </c>
      <c r="J80" s="413">
        <v>0</v>
      </c>
      <c r="K80" s="413">
        <v>300</v>
      </c>
      <c r="L80" s="413">
        <v>200</v>
      </c>
      <c r="M80" s="413">
        <v>200</v>
      </c>
      <c r="N80" s="413">
        <v>200</v>
      </c>
      <c r="O80" s="413">
        <v>200</v>
      </c>
      <c r="P80" s="413">
        <v>200</v>
      </c>
      <c r="Q80" s="414" t="s">
        <v>30</v>
      </c>
      <c r="R80" s="413">
        <v>180</v>
      </c>
      <c r="S80" s="413">
        <v>200</v>
      </c>
      <c r="T80" s="414" t="s">
        <v>30</v>
      </c>
      <c r="U80" s="413">
        <v>200</v>
      </c>
      <c r="V80" s="358">
        <v>200</v>
      </c>
      <c r="W80" s="414" t="s">
        <v>30</v>
      </c>
      <c r="X80" s="358">
        <v>200</v>
      </c>
      <c r="Y80" s="358">
        <v>200</v>
      </c>
      <c r="Z80" s="358">
        <v>50</v>
      </c>
      <c r="AA80" s="415">
        <v>50</v>
      </c>
      <c r="AB80" s="9"/>
      <c r="AE80" s="178"/>
    </row>
    <row r="81" spans="1:31" ht="13" customHeight="1">
      <c r="A81" s="86"/>
      <c r="B81" s="18"/>
      <c r="C81" s="36" t="str">
        <f>VLOOKUP(66,Textbausteine_201[],Hilfsgrössen!$D$2,FALSE)</f>
        <v>di cui a: aziende</v>
      </c>
      <c r="D81" s="1" t="str">
        <f>VLOOKUP(11,Textbausteine_201[],Hilfsgrössen!$D$2,FALSE)</f>
        <v>mln di CHF</v>
      </c>
      <c r="E81" s="37">
        <v>7</v>
      </c>
      <c r="F81" s="37" t="s">
        <v>106</v>
      </c>
      <c r="H81" s="413">
        <v>1036</v>
      </c>
      <c r="I81" s="413">
        <v>999</v>
      </c>
      <c r="J81" s="413">
        <v>1004</v>
      </c>
      <c r="K81" s="413">
        <v>741</v>
      </c>
      <c r="L81" s="413">
        <v>770</v>
      </c>
      <c r="M81" s="413">
        <v>728</v>
      </c>
      <c r="N81" s="413">
        <v>960</v>
      </c>
      <c r="O81" s="413">
        <v>929</v>
      </c>
      <c r="P81" s="413">
        <v>837</v>
      </c>
      <c r="Q81" s="414" t="s">
        <v>30</v>
      </c>
      <c r="R81" s="413">
        <v>830</v>
      </c>
      <c r="S81" s="413">
        <v>776</v>
      </c>
      <c r="T81" s="414" t="s">
        <v>30</v>
      </c>
      <c r="U81" s="413">
        <v>756</v>
      </c>
      <c r="V81" s="358">
        <v>729</v>
      </c>
      <c r="W81" s="414" t="s">
        <v>30</v>
      </c>
      <c r="X81" s="358">
        <v>843</v>
      </c>
      <c r="Y81" s="358">
        <v>521</v>
      </c>
      <c r="Z81" s="358">
        <v>695</v>
      </c>
      <c r="AA81" s="415">
        <v>553</v>
      </c>
      <c r="AB81" s="9"/>
      <c r="AE81" s="178"/>
    </row>
    <row r="82" spans="1:31" ht="13" customHeight="1">
      <c r="A82" s="86"/>
      <c r="B82" s="18"/>
      <c r="C82" s="143" t="str">
        <f>VLOOKUP(67,Textbausteine_201[],Hilfsgrössen!$D$2,FALSE)</f>
        <v>di cui per: ammortamenti</v>
      </c>
      <c r="D82" s="1" t="str">
        <f>VLOOKUP(11,Textbausteine_201[],Hilfsgrössen!$D$2,FALSE)</f>
        <v>mln di CHF</v>
      </c>
      <c r="F82" s="37" t="s">
        <v>106</v>
      </c>
      <c r="H82" s="413">
        <v>255</v>
      </c>
      <c r="I82" s="413">
        <v>252</v>
      </c>
      <c r="J82" s="413">
        <v>257</v>
      </c>
      <c r="K82" s="413">
        <v>284</v>
      </c>
      <c r="L82" s="413">
        <v>279</v>
      </c>
      <c r="M82" s="413">
        <v>325</v>
      </c>
      <c r="N82" s="413">
        <v>309</v>
      </c>
      <c r="O82" s="413">
        <v>293</v>
      </c>
      <c r="P82" s="413">
        <v>312</v>
      </c>
      <c r="Q82" s="414" t="s">
        <v>30</v>
      </c>
      <c r="R82" s="413">
        <v>333</v>
      </c>
      <c r="S82" s="413">
        <v>329</v>
      </c>
      <c r="T82" s="414" t="s">
        <v>30</v>
      </c>
      <c r="U82" s="413">
        <v>336</v>
      </c>
      <c r="V82" s="358">
        <v>447</v>
      </c>
      <c r="W82" s="414" t="s">
        <v>30</v>
      </c>
      <c r="X82" s="358">
        <v>467</v>
      </c>
      <c r="Y82" s="358">
        <v>348</v>
      </c>
      <c r="Z82" s="358">
        <v>451</v>
      </c>
      <c r="AA82" s="415">
        <v>448</v>
      </c>
      <c r="AB82" s="9"/>
      <c r="AE82" s="178"/>
    </row>
    <row r="83" spans="1:31" ht="13" customHeight="1">
      <c r="A83" s="86"/>
      <c r="B83" s="18"/>
      <c r="C83" s="143" t="str">
        <f>VLOOKUP(68,Textbausteine_201[],Hilfsgrössen!$D$2,FALSE)</f>
        <v>di cui per: consolidamento della Cassa pensioni Posta</v>
      </c>
      <c r="D83" s="1" t="str">
        <f>VLOOKUP(11,Textbausteine_201[],Hilfsgrössen!$D$2,FALSE)</f>
        <v>mln di CHF</v>
      </c>
      <c r="F83" s="37" t="s">
        <v>106</v>
      </c>
      <c r="H83" s="413">
        <v>350</v>
      </c>
      <c r="I83" s="413">
        <v>350</v>
      </c>
      <c r="J83" s="413">
        <v>212</v>
      </c>
      <c r="K83" s="413">
        <v>250</v>
      </c>
      <c r="L83" s="413">
        <v>250</v>
      </c>
      <c r="M83" s="413">
        <v>250</v>
      </c>
      <c r="N83" s="413">
        <v>100</v>
      </c>
      <c r="O83" s="413">
        <v>100</v>
      </c>
      <c r="P83" s="413">
        <v>100</v>
      </c>
      <c r="Q83" s="414" t="s">
        <v>30</v>
      </c>
      <c r="R83" s="413">
        <v>0</v>
      </c>
      <c r="S83" s="413">
        <v>0</v>
      </c>
      <c r="T83" s="414" t="s">
        <v>30</v>
      </c>
      <c r="U83" s="413">
        <v>0</v>
      </c>
      <c r="V83" s="358">
        <v>0</v>
      </c>
      <c r="W83" s="414" t="s">
        <v>30</v>
      </c>
      <c r="X83" s="358">
        <v>0</v>
      </c>
      <c r="Y83" s="358">
        <v>0</v>
      </c>
      <c r="Z83" s="358">
        <v>0</v>
      </c>
      <c r="AA83" s="415">
        <v>0</v>
      </c>
      <c r="AB83" s="9"/>
      <c r="AE83" s="178"/>
    </row>
    <row r="84" spans="1:31" ht="13" customHeight="1">
      <c r="A84" s="86"/>
      <c r="B84" s="18"/>
      <c r="C84" s="143" t="str">
        <f>VLOOKUP(69,Textbausteine_201[],Hilfsgrössen!$D$2,FALSE)</f>
        <v>di cui per: costituzione capitale proprio</v>
      </c>
      <c r="D84" s="1" t="str">
        <f>VLOOKUP(11,Textbausteine_201[],Hilfsgrössen!$D$2,FALSE)</f>
        <v>mln di CHF</v>
      </c>
      <c r="F84" s="37" t="s">
        <v>106</v>
      </c>
      <c r="H84" s="413">
        <v>480</v>
      </c>
      <c r="I84" s="413">
        <v>461</v>
      </c>
      <c r="J84" s="413">
        <v>625</v>
      </c>
      <c r="K84" s="413">
        <v>359</v>
      </c>
      <c r="L84" s="413">
        <v>375</v>
      </c>
      <c r="M84" s="413">
        <v>261</v>
      </c>
      <c r="N84" s="413">
        <v>610</v>
      </c>
      <c r="O84" s="413">
        <v>604</v>
      </c>
      <c r="P84" s="413">
        <v>472</v>
      </c>
      <c r="Q84" s="414" t="s">
        <v>30</v>
      </c>
      <c r="R84" s="413">
        <v>446</v>
      </c>
      <c r="S84" s="413">
        <v>552</v>
      </c>
      <c r="T84" s="414" t="s">
        <v>30</v>
      </c>
      <c r="U84" s="413">
        <v>610</v>
      </c>
      <c r="V84" s="358">
        <v>394</v>
      </c>
      <c r="W84" s="414" t="s">
        <v>30</v>
      </c>
      <c r="X84" s="358">
        <v>504</v>
      </c>
      <c r="Y84" s="358">
        <v>339</v>
      </c>
      <c r="Z84" s="358">
        <v>428</v>
      </c>
      <c r="AA84" s="415">
        <v>233</v>
      </c>
      <c r="AB84" s="9"/>
      <c r="AE84" s="178"/>
    </row>
    <row r="85" spans="1:31" ht="13" customHeight="1">
      <c r="A85" s="86"/>
      <c r="B85" s="18"/>
      <c r="C85" s="143" t="str">
        <f>VLOOKUP(70,Textbausteine_201[],Hilfsgrössen!$D$2,FALSE)</f>
        <v>di cui per: altri</v>
      </c>
      <c r="D85" s="1" t="str">
        <f>VLOOKUP(11,Textbausteine_201[],Hilfsgrössen!$D$2,FALSE)</f>
        <v>mln di CHF</v>
      </c>
      <c r="E85" s="37">
        <v>6</v>
      </c>
      <c r="F85" s="37" t="s">
        <v>106</v>
      </c>
      <c r="H85" s="413">
        <v>-49</v>
      </c>
      <c r="I85" s="413">
        <v>-64</v>
      </c>
      <c r="J85" s="413">
        <v>-90</v>
      </c>
      <c r="K85" s="413">
        <v>-152</v>
      </c>
      <c r="L85" s="413">
        <v>-134</v>
      </c>
      <c r="M85" s="413">
        <v>-108</v>
      </c>
      <c r="N85" s="413">
        <v>-59</v>
      </c>
      <c r="O85" s="413">
        <v>-68</v>
      </c>
      <c r="P85" s="413">
        <v>-47</v>
      </c>
      <c r="Q85" s="414" t="s">
        <v>30</v>
      </c>
      <c r="R85" s="413">
        <v>51</v>
      </c>
      <c r="S85" s="413">
        <v>-105</v>
      </c>
      <c r="T85" s="414" t="s">
        <v>30</v>
      </c>
      <c r="U85" s="413">
        <v>-190</v>
      </c>
      <c r="V85" s="358">
        <v>-112</v>
      </c>
      <c r="W85" s="414" t="s">
        <v>30</v>
      </c>
      <c r="X85" s="358">
        <v>-128</v>
      </c>
      <c r="Y85" s="358">
        <v>-166</v>
      </c>
      <c r="Z85" s="358">
        <v>-184</v>
      </c>
      <c r="AA85" s="415">
        <v>-128</v>
      </c>
      <c r="AB85" s="9"/>
      <c r="AE85" s="178"/>
    </row>
    <row r="86" spans="1:31" ht="13" customHeight="1">
      <c r="A86" s="86"/>
      <c r="B86" s="18"/>
      <c r="V86" s="118"/>
      <c r="W86" s="372"/>
      <c r="X86" s="371"/>
      <c r="Y86" s="371"/>
      <c r="Z86" s="371"/>
      <c r="AA86" s="339"/>
      <c r="AB86" s="9"/>
      <c r="AE86" s="178"/>
    </row>
    <row r="87" spans="1:31" ht="13" customHeight="1">
      <c r="A87" s="86"/>
      <c r="B87" s="18"/>
      <c r="C87" s="1" t="str">
        <f>VLOOKUP(61,Textbausteine_201[],Hilfsgrössen!$D$2,FALSE)</f>
        <v>Creazione di valore aggiunto</v>
      </c>
      <c r="D87" s="9" t="str">
        <f>VLOOKUP(12,Textbausteine_201[],Hilfsgrössen!$D$2,FALSE)</f>
        <v>%</v>
      </c>
      <c r="E87" s="37">
        <v>1</v>
      </c>
      <c r="F87" s="37" t="s">
        <v>106</v>
      </c>
      <c r="H87" s="416">
        <v>100</v>
      </c>
      <c r="I87" s="416">
        <v>100</v>
      </c>
      <c r="J87" s="416">
        <v>100</v>
      </c>
      <c r="K87" s="416">
        <v>100</v>
      </c>
      <c r="L87" s="416">
        <v>100</v>
      </c>
      <c r="M87" s="416">
        <v>100</v>
      </c>
      <c r="N87" s="416">
        <v>100</v>
      </c>
      <c r="O87" s="416">
        <v>100</v>
      </c>
      <c r="P87" s="416">
        <v>100</v>
      </c>
      <c r="Q87" s="402" t="s">
        <v>30</v>
      </c>
      <c r="R87" s="416">
        <v>100</v>
      </c>
      <c r="S87" s="416">
        <f t="shared" ref="S87" si="0">S76/S$76*100</f>
        <v>100</v>
      </c>
      <c r="T87" s="402" t="s">
        <v>30</v>
      </c>
      <c r="U87" s="416">
        <f t="shared" ref="U87" si="1">U76/U$76*100</f>
        <v>100</v>
      </c>
      <c r="V87" s="417">
        <f t="shared" ref="V87" si="2">V76/V$76*100</f>
        <v>100</v>
      </c>
      <c r="W87" s="402" t="s">
        <v>30</v>
      </c>
      <c r="X87" s="417">
        <f>X76/X$76*100</f>
        <v>100</v>
      </c>
      <c r="Y87" s="417">
        <v>100</v>
      </c>
      <c r="Z87" s="417">
        <v>100</v>
      </c>
      <c r="AA87" s="418">
        <v>100</v>
      </c>
      <c r="AB87" s="9"/>
      <c r="AE87" s="100"/>
    </row>
    <row r="88" spans="1:31" ht="13" customHeight="1">
      <c r="A88" s="86"/>
      <c r="B88" s="18"/>
      <c r="C88" s="36" t="str">
        <f>VLOOKUP(62,Textbausteine_201[],Hilfsgrössen!$D$2,FALSE)</f>
        <v>di cui a: collaboratori</v>
      </c>
      <c r="D88" s="9" t="str">
        <f>VLOOKUP(12,Textbausteine_201[],Hilfsgrössen!$D$2,FALSE)</f>
        <v>%</v>
      </c>
      <c r="E88" s="37">
        <v>2</v>
      </c>
      <c r="F88" s="37" t="s">
        <v>106</v>
      </c>
      <c r="H88" s="416">
        <v>78.102799832845804</v>
      </c>
      <c r="I88" s="416">
        <v>78.541136556403728</v>
      </c>
      <c r="J88" s="416">
        <v>78.373812038014776</v>
      </c>
      <c r="K88" s="416">
        <v>78.192893401015226</v>
      </c>
      <c r="L88" s="416">
        <v>79.446153846153848</v>
      </c>
      <c r="M88" s="416">
        <v>80.915111378687541</v>
      </c>
      <c r="N88" s="416">
        <v>77.372817008352314</v>
      </c>
      <c r="O88" s="416">
        <v>77.617119722382881</v>
      </c>
      <c r="P88" s="416">
        <v>78.302596913812579</v>
      </c>
      <c r="Q88" s="402" t="s">
        <v>30</v>
      </c>
      <c r="R88" s="416">
        <v>77.53378378378379</v>
      </c>
      <c r="S88" s="416">
        <f t="shared" ref="S88" si="3">S77/S$76*100</f>
        <v>78.69731800766283</v>
      </c>
      <c r="T88" s="402" t="s">
        <v>30</v>
      </c>
      <c r="U88" s="416">
        <f t="shared" ref="U88" si="4">U77/U$76*100</f>
        <v>78.451761987290581</v>
      </c>
      <c r="V88" s="417">
        <f t="shared" ref="V88:V96" si="5">V77/V$76*100</f>
        <v>78.40621963070943</v>
      </c>
      <c r="W88" s="402" t="s">
        <v>30</v>
      </c>
      <c r="X88" s="417">
        <f>X77/X$76*100</f>
        <v>77.561734396266772</v>
      </c>
      <c r="Y88" s="417">
        <v>82.419249945805333</v>
      </c>
      <c r="Z88" s="417">
        <v>81.5424610051993</v>
      </c>
      <c r="AA88" s="418">
        <v>84.8</v>
      </c>
      <c r="AB88" s="9"/>
      <c r="AE88" s="178"/>
    </row>
    <row r="89" spans="1:31" ht="13" customHeight="1">
      <c r="A89" s="86"/>
      <c r="B89" s="18"/>
      <c r="C89" s="36" t="str">
        <f>VLOOKUP(63,Textbausteine_201[],Hilfsgrössen!$D$2,FALSE)</f>
        <v>di cui a: investitori esterni</v>
      </c>
      <c r="D89" s="9" t="str">
        <f>VLOOKUP(12,Textbausteine_201[],Hilfsgrössen!$D$2,FALSE)</f>
        <v>%</v>
      </c>
      <c r="E89" s="37">
        <v>3</v>
      </c>
      <c r="F89" s="37" t="s">
        <v>106</v>
      </c>
      <c r="H89" s="416">
        <v>0.22983702465524447</v>
      </c>
      <c r="I89" s="416">
        <v>0.19083969465648853</v>
      </c>
      <c r="J89" s="416">
        <v>0.23231256599788808</v>
      </c>
      <c r="K89" s="416">
        <v>0.40609137055837563</v>
      </c>
      <c r="L89" s="416">
        <v>0.45128205128205123</v>
      </c>
      <c r="M89" s="416">
        <v>0.28095524784266507</v>
      </c>
      <c r="N89" s="416">
        <v>0.37965072133637051</v>
      </c>
      <c r="O89" s="416">
        <v>0.36630036630036628</v>
      </c>
      <c r="P89" s="416">
        <v>1.543093714715845</v>
      </c>
      <c r="Q89" s="402" t="s">
        <v>30</v>
      </c>
      <c r="R89" s="416">
        <v>1.7454954954954953</v>
      </c>
      <c r="S89" s="416">
        <f t="shared" ref="S89" si="6">S78/S$76*100</f>
        <v>1.0919540229885056</v>
      </c>
      <c r="T89" s="402" t="s">
        <v>30</v>
      </c>
      <c r="U89" s="416">
        <f t="shared" ref="U89" si="7">U78/U$76*100</f>
        <v>1.3287117273252456</v>
      </c>
      <c r="V89" s="417">
        <f t="shared" si="5"/>
        <v>1.2439261418853256</v>
      </c>
      <c r="W89" s="402" t="s">
        <v>30</v>
      </c>
      <c r="X89" s="417">
        <f t="shared" ref="X89" si="8">X78/X$76*100</f>
        <v>0.93330740812755197</v>
      </c>
      <c r="Y89" s="417">
        <v>1.0405376110990678</v>
      </c>
      <c r="Z89" s="417">
        <v>1.6247833622183712</v>
      </c>
      <c r="AA89" s="418">
        <v>1.2</v>
      </c>
      <c r="AB89" s="9"/>
      <c r="AE89" s="178"/>
    </row>
    <row r="90" spans="1:31" ht="13" customHeight="1">
      <c r="A90" s="86"/>
      <c r="B90" s="18"/>
      <c r="C90" s="36" t="str">
        <f>VLOOKUP(64,Textbausteine_201[],Hilfsgrössen!$D$2,FALSE)</f>
        <v>di cui per: amministrazione pubblica</v>
      </c>
      <c r="D90" s="9" t="str">
        <f>VLOOKUP(12,Textbausteine_201[],Hilfsgrössen!$D$2,FALSE)</f>
        <v>%</v>
      </c>
      <c r="E90" s="37">
        <v>4</v>
      </c>
      <c r="F90" s="37" t="s">
        <v>106</v>
      </c>
      <c r="H90" s="416">
        <v>4.1788549937317176E-2</v>
      </c>
      <c r="I90" s="416">
        <v>8.4817642069550461E-2</v>
      </c>
      <c r="J90" s="416">
        <v>0.19007391763463569</v>
      </c>
      <c r="K90" s="416">
        <v>0.26395939086294418</v>
      </c>
      <c r="L90" s="416">
        <v>0.20512820512820512</v>
      </c>
      <c r="M90" s="416">
        <v>0.18061408789885611</v>
      </c>
      <c r="N90" s="416">
        <v>0.22779043280182232</v>
      </c>
      <c r="O90" s="416">
        <v>0.25062656641604009</v>
      </c>
      <c r="P90" s="416">
        <v>0.63981934512608207</v>
      </c>
      <c r="Q90" s="402" t="s">
        <v>30</v>
      </c>
      <c r="R90" s="416">
        <v>1.7642642642642643</v>
      </c>
      <c r="S90" s="416">
        <f t="shared" ref="S90" si="9">S79/S$76*100</f>
        <v>1.5134099616858239</v>
      </c>
      <c r="T90" s="402" t="s">
        <v>30</v>
      </c>
      <c r="U90" s="416">
        <f t="shared" ref="U90" si="10">U79/U$76*100</f>
        <v>1.8101290198343924</v>
      </c>
      <c r="V90" s="417">
        <f t="shared" si="5"/>
        <v>2.2934888241010691</v>
      </c>
      <c r="W90" s="402" t="s">
        <v>30</v>
      </c>
      <c r="X90" s="417">
        <f t="shared" ref="X90" si="11">X79/X$76*100</f>
        <v>1.2249659731674121</v>
      </c>
      <c r="Y90" s="417">
        <v>0.91047040971168436</v>
      </c>
      <c r="Z90" s="417">
        <v>0.6932409012131715</v>
      </c>
      <c r="AA90" s="418">
        <v>0.7</v>
      </c>
      <c r="AB90" s="9"/>
      <c r="AE90" s="178"/>
    </row>
    <row r="91" spans="1:31" ht="13" customHeight="1">
      <c r="A91" s="86"/>
      <c r="B91" s="18"/>
      <c r="C91" s="36" t="str">
        <f>VLOOKUP(65,Textbausteine_201[],Hilfsgrössen!$D$2,FALSE)</f>
        <v>di cui a: proprietaria</v>
      </c>
      <c r="D91" s="9" t="str">
        <f>VLOOKUP(12,Textbausteine_201[],Hilfsgrössen!$D$2,FALSE)</f>
        <v>%</v>
      </c>
      <c r="E91" s="37">
        <v>5</v>
      </c>
      <c r="F91" s="37" t="s">
        <v>106</v>
      </c>
      <c r="H91" s="416">
        <v>0</v>
      </c>
      <c r="I91" s="416">
        <v>0</v>
      </c>
      <c r="J91" s="416">
        <v>0</v>
      </c>
      <c r="K91" s="416">
        <v>6.091370558375635</v>
      </c>
      <c r="L91" s="416">
        <v>4.1025641025641022</v>
      </c>
      <c r="M91" s="416">
        <v>4.0136463977523578</v>
      </c>
      <c r="N91" s="416">
        <v>3.7965072133637054</v>
      </c>
      <c r="O91" s="416">
        <v>3.8557933294775402</v>
      </c>
      <c r="P91" s="416">
        <v>3.7636432066240122</v>
      </c>
      <c r="Q91" s="402" t="s">
        <v>30</v>
      </c>
      <c r="R91" s="416">
        <v>3.3783783783783785</v>
      </c>
      <c r="S91" s="416">
        <f t="shared" ref="S91" si="12">S80/S$76*100</f>
        <v>3.8314176245210727</v>
      </c>
      <c r="T91" s="402" t="s">
        <v>30</v>
      </c>
      <c r="U91" s="416">
        <f t="shared" ref="U91" si="13">U80/U$76*100</f>
        <v>3.8513383400731751</v>
      </c>
      <c r="V91" s="417">
        <f t="shared" si="5"/>
        <v>3.8872691933916426</v>
      </c>
      <c r="W91" s="402" t="s">
        <v>30</v>
      </c>
      <c r="X91" s="417">
        <f t="shared" ref="X91" si="14">X80/X$76*100</f>
        <v>3.8887808671981334</v>
      </c>
      <c r="Y91" s="417">
        <v>4.3355733795794489</v>
      </c>
      <c r="Z91" s="417">
        <v>1.0831889081455806</v>
      </c>
      <c r="AA91" s="418">
        <v>1.1000000000000001</v>
      </c>
      <c r="AB91" s="9"/>
      <c r="AE91" s="178"/>
    </row>
    <row r="92" spans="1:31" ht="13" customHeight="1">
      <c r="A92" s="86"/>
      <c r="B92" s="18"/>
      <c r="C92" s="36" t="str">
        <f>VLOOKUP(66,Textbausteine_201[],Hilfsgrössen!$D$2,FALSE)</f>
        <v>di cui a: aziende</v>
      </c>
      <c r="D92" s="9" t="str">
        <f>VLOOKUP(12,Textbausteine_201[],Hilfsgrössen!$D$2,FALSE)</f>
        <v>%</v>
      </c>
      <c r="E92" s="37">
        <v>7</v>
      </c>
      <c r="F92" s="37" t="s">
        <v>106</v>
      </c>
      <c r="H92" s="416">
        <v>21.646468867530295</v>
      </c>
      <c r="I92" s="416">
        <v>21.183206106870227</v>
      </c>
      <c r="J92" s="416">
        <v>21.203801478352695</v>
      </c>
      <c r="K92" s="416">
        <v>15.045685279187818</v>
      </c>
      <c r="L92" s="416">
        <v>15.794871794871796</v>
      </c>
      <c r="M92" s="416">
        <v>14.609672887818585</v>
      </c>
      <c r="N92" s="416">
        <v>18.223234624145785</v>
      </c>
      <c r="O92" s="416">
        <v>17.910160015423173</v>
      </c>
      <c r="P92" s="416">
        <v>15.75084681972149</v>
      </c>
      <c r="Q92" s="402" t="s">
        <v>30</v>
      </c>
      <c r="R92" s="416">
        <v>15.578078078078079</v>
      </c>
      <c r="S92" s="416">
        <f t="shared" ref="S92" si="15">S81/S$76*100</f>
        <v>14.865900383141762</v>
      </c>
      <c r="T92" s="402" t="s">
        <v>30</v>
      </c>
      <c r="U92" s="416">
        <f t="shared" ref="U92" si="16">U81/U$76*100</f>
        <v>14.558058925476603</v>
      </c>
      <c r="V92" s="417">
        <f t="shared" si="5"/>
        <v>14.169096209912539</v>
      </c>
      <c r="W92" s="402" t="s">
        <v>30</v>
      </c>
      <c r="X92" s="417">
        <f t="shared" ref="X92" si="17">X81/X$76*100</f>
        <v>16.391211355240131</v>
      </c>
      <c r="Y92" s="417">
        <v>11.294168653804466</v>
      </c>
      <c r="Z92" s="417">
        <v>15.05632582322357</v>
      </c>
      <c r="AA92" s="418">
        <v>12.2</v>
      </c>
      <c r="AB92" s="9"/>
      <c r="AE92" s="178"/>
    </row>
    <row r="93" spans="1:31" ht="13" customHeight="1">
      <c r="A93" s="86"/>
      <c r="B93" s="18"/>
      <c r="C93" s="143" t="str">
        <f>VLOOKUP(67,Textbausteine_201[],Hilfsgrössen!$D$2,FALSE)</f>
        <v>di cui per: ammortamenti</v>
      </c>
      <c r="D93" s="9" t="str">
        <f>VLOOKUP(12,Textbausteine_201[],Hilfsgrössen!$D$2,FALSE)</f>
        <v>%</v>
      </c>
      <c r="F93" s="37" t="s">
        <v>106</v>
      </c>
      <c r="H93" s="416">
        <v>5.3280401170079399</v>
      </c>
      <c r="I93" s="416">
        <v>5.343511450381679</v>
      </c>
      <c r="J93" s="416">
        <v>5.4276663146779303</v>
      </c>
      <c r="K93" s="416">
        <v>5.7664974619289344</v>
      </c>
      <c r="L93" s="416">
        <v>5.7230769230769232</v>
      </c>
      <c r="M93" s="416">
        <v>6.5221753963475821</v>
      </c>
      <c r="N93" s="416">
        <v>5.8656036446469244</v>
      </c>
      <c r="O93" s="416">
        <v>5.6487372276845962</v>
      </c>
      <c r="P93" s="416">
        <v>5.871283402333459</v>
      </c>
      <c r="Q93" s="402" t="s">
        <v>30</v>
      </c>
      <c r="R93" s="416">
        <v>6.25</v>
      </c>
      <c r="S93" s="416">
        <f t="shared" ref="S93" si="18">S82/S$76*100</f>
        <v>6.3026819923371642</v>
      </c>
      <c r="T93" s="402" t="s">
        <v>30</v>
      </c>
      <c r="U93" s="416">
        <f t="shared" ref="U93" si="19">U82/U$76*100</f>
        <v>6.4702484113229346</v>
      </c>
      <c r="V93" s="417">
        <f t="shared" si="5"/>
        <v>8.6880466472303208</v>
      </c>
      <c r="W93" s="402" t="s">
        <v>30</v>
      </c>
      <c r="X93" s="417">
        <f t="shared" ref="X93" si="20">X82/X$76*100</f>
        <v>9.080303324907641</v>
      </c>
      <c r="Y93" s="417">
        <v>7.5438976804682421</v>
      </c>
      <c r="Z93" s="417">
        <v>9.7703639514731364</v>
      </c>
      <c r="AA93" s="418">
        <v>9.9</v>
      </c>
      <c r="AB93" s="9"/>
      <c r="AE93" s="178"/>
    </row>
    <row r="94" spans="1:31" ht="13" customHeight="1">
      <c r="A94" s="86"/>
      <c r="B94" s="18"/>
      <c r="C94" s="143" t="str">
        <f>VLOOKUP(68,Textbausteine_201[],Hilfsgrössen!$D$2,FALSE)</f>
        <v>di cui per: consolidamento della Cassa pensioni Posta</v>
      </c>
      <c r="D94" s="9" t="str">
        <f>VLOOKUP(12,Textbausteine_201[],Hilfsgrössen!$D$2,FALSE)</f>
        <v>%</v>
      </c>
      <c r="F94" s="37" t="s">
        <v>106</v>
      </c>
      <c r="H94" s="416">
        <v>7.3129962390305057</v>
      </c>
      <c r="I94" s="416">
        <v>7.4215436810856659</v>
      </c>
      <c r="J94" s="416">
        <v>4.4772967265047514</v>
      </c>
      <c r="K94" s="416">
        <v>5.0761421319796955</v>
      </c>
      <c r="L94" s="416">
        <v>5.1282051282051277</v>
      </c>
      <c r="M94" s="416">
        <v>5.017057997190447</v>
      </c>
      <c r="N94" s="416">
        <v>1.8982536066818527</v>
      </c>
      <c r="O94" s="416">
        <v>1.9278966647387701</v>
      </c>
      <c r="P94" s="416">
        <v>1.8818216033120061</v>
      </c>
      <c r="Q94" s="402" t="s">
        <v>30</v>
      </c>
      <c r="R94" s="416">
        <v>0</v>
      </c>
      <c r="S94" s="416">
        <f t="shared" ref="S94" si="21">S83/S$76*100</f>
        <v>0</v>
      </c>
      <c r="T94" s="402" t="s">
        <v>30</v>
      </c>
      <c r="U94" s="416">
        <f t="shared" ref="U94" si="22">U83/U$76*100</f>
        <v>0</v>
      </c>
      <c r="V94" s="417">
        <f t="shared" si="5"/>
        <v>0</v>
      </c>
      <c r="W94" s="402" t="s">
        <v>30</v>
      </c>
      <c r="X94" s="417">
        <f t="shared" ref="X94" si="23">X83/X$76*100</f>
        <v>0</v>
      </c>
      <c r="Y94" s="417">
        <v>0</v>
      </c>
      <c r="Z94" s="417">
        <v>0</v>
      </c>
      <c r="AA94" s="418">
        <v>0</v>
      </c>
      <c r="AB94" s="9"/>
      <c r="AE94" s="178"/>
    </row>
    <row r="95" spans="1:31" ht="13" customHeight="1">
      <c r="A95" s="86"/>
      <c r="B95" s="18"/>
      <c r="C95" s="143" t="str">
        <f>VLOOKUP(69,Textbausteine_201[],Hilfsgrössen!$D$2,FALSE)</f>
        <v>di cui per: costituzione capitale proprio</v>
      </c>
      <c r="D95" s="9" t="str">
        <f>VLOOKUP(12,Textbausteine_201[],Hilfsgrössen!$D$2,FALSE)</f>
        <v>%</v>
      </c>
      <c r="F95" s="37" t="s">
        <v>106</v>
      </c>
      <c r="H95" s="416">
        <v>10.029251984956122</v>
      </c>
      <c r="I95" s="416">
        <v>9.7752332485156916</v>
      </c>
      <c r="J95" s="416">
        <v>13.199577613516366</v>
      </c>
      <c r="K95" s="416">
        <v>7.2893401015228427</v>
      </c>
      <c r="L95" s="416">
        <v>7.6923076923076925</v>
      </c>
      <c r="M95" s="416">
        <v>5.2378085490668278</v>
      </c>
      <c r="N95" s="416">
        <v>11.579347000759302</v>
      </c>
      <c r="O95" s="416">
        <v>11.64449585502217</v>
      </c>
      <c r="P95" s="416">
        <v>8.8821979676326688</v>
      </c>
      <c r="Q95" s="402" t="s">
        <v>30</v>
      </c>
      <c r="R95" s="416">
        <v>8.3708708708708706</v>
      </c>
      <c r="S95" s="416">
        <f t="shared" ref="S95" si="24">S84/S$76*100</f>
        <v>10.574712643678161</v>
      </c>
      <c r="T95" s="402" t="s">
        <v>30</v>
      </c>
      <c r="U95" s="416">
        <f t="shared" ref="U95" si="25">U84/U$76*100</f>
        <v>11.746581937223185</v>
      </c>
      <c r="V95" s="417">
        <f t="shared" si="5"/>
        <v>7.6579203109815346</v>
      </c>
      <c r="W95" s="402" t="s">
        <v>30</v>
      </c>
      <c r="X95" s="417">
        <f t="shared" ref="X95" si="26">X84/X$76*100</f>
        <v>9.7997277853392966</v>
      </c>
      <c r="Y95" s="417">
        <v>7.3487968783871667</v>
      </c>
      <c r="Z95" s="417">
        <v>9.3000000000000007</v>
      </c>
      <c r="AA95" s="418">
        <v>5.0999999999999996</v>
      </c>
      <c r="AB95" s="9"/>
      <c r="AE95" s="178"/>
    </row>
    <row r="96" spans="1:31" ht="13" customHeight="1">
      <c r="A96" s="86"/>
      <c r="B96" s="18"/>
      <c r="C96" s="143" t="str">
        <f>VLOOKUP(70,Textbausteine_201[],Hilfsgrössen!$D$2,FALSE)</f>
        <v>di cui per: altri</v>
      </c>
      <c r="D96" s="9" t="str">
        <f>VLOOKUP(12,Textbausteine_201[],Hilfsgrössen!$D$2,FALSE)</f>
        <v>%</v>
      </c>
      <c r="E96" s="37">
        <v>6</v>
      </c>
      <c r="F96" s="37" t="s">
        <v>106</v>
      </c>
      <c r="H96" s="416">
        <v>-1.0238194734642709</v>
      </c>
      <c r="I96" s="416">
        <v>-1.3570822731128074</v>
      </c>
      <c r="J96" s="416">
        <v>-1.9007391763463568</v>
      </c>
      <c r="K96" s="416">
        <v>-3.0862944162436547</v>
      </c>
      <c r="L96" s="416">
        <v>-2.7487179487179487</v>
      </c>
      <c r="M96" s="416">
        <v>-2.1673690547862732</v>
      </c>
      <c r="N96" s="416">
        <v>-1.119969627942293</v>
      </c>
      <c r="O96" s="416">
        <v>-1.3109697320223637</v>
      </c>
      <c r="P96" s="416">
        <v>-0.88445615355664287</v>
      </c>
      <c r="Q96" s="402" t="s">
        <v>30</v>
      </c>
      <c r="R96" s="416">
        <v>0.95720720720720709</v>
      </c>
      <c r="S96" s="416">
        <f t="shared" ref="S96" si="27">S85/S$76*100</f>
        <v>-2.0114942528735633</v>
      </c>
      <c r="T96" s="402" t="s">
        <v>30</v>
      </c>
      <c r="U96" s="416">
        <f t="shared" ref="U96" si="28">U85/U$76*100</f>
        <v>-3.6587714230695165</v>
      </c>
      <c r="V96" s="417">
        <f t="shared" si="5"/>
        <v>-2.1768707482993195</v>
      </c>
      <c r="W96" s="402" t="s">
        <v>30</v>
      </c>
      <c r="X96" s="417">
        <f t="shared" ref="X96" si="29">X85/X$76*100</f>
        <v>-2.4888197550068054</v>
      </c>
      <c r="Y96" s="417">
        <v>-3.5985259050509431</v>
      </c>
      <c r="Z96" s="417">
        <v>-4</v>
      </c>
      <c r="AA96" s="418">
        <v>-2.8</v>
      </c>
      <c r="AB96" s="9"/>
      <c r="AE96" s="178"/>
    </row>
    <row r="97" spans="1:31" ht="13" customHeight="1">
      <c r="AE97" s="178"/>
    </row>
    <row r="98" spans="1:31" ht="13" customHeight="1">
      <c r="B98" s="22" t="str">
        <f>VLOOKUP(151,Textbausteine_201[],Hilfsgrössen!$D$2,FALSE)</f>
        <v>1) Creazione di valore aggiunto = risultato d'esercizio + costi per il personale + ammortamenti – risultato dalla vendita di immobilizzazioni materiali, immateriali e partecipazioni.</v>
      </c>
      <c r="C98" s="29"/>
      <c r="D98" s="18"/>
      <c r="E98" s="13"/>
      <c r="F98" s="11"/>
      <c r="G98" s="49"/>
      <c r="K98" s="106"/>
      <c r="L98" s="106"/>
      <c r="M98" s="106"/>
      <c r="N98" s="106"/>
      <c r="O98" s="20"/>
      <c r="P98" s="20"/>
      <c r="Q98" s="20"/>
      <c r="R98" s="20"/>
      <c r="S98" s="179"/>
      <c r="T98" s="179"/>
      <c r="U98" s="179"/>
      <c r="V98" s="106"/>
      <c r="W98" s="106"/>
    </row>
    <row r="99" spans="1:31" ht="13" customHeight="1">
      <c r="B99" s="22" t="str">
        <f>VLOOKUP(152,Textbausteine_201[],Hilfsgrössen!$D$2,FALSE)</f>
        <v>2) Salari, stipendi, oneri sociali legali e facoltativi, prestazioni previdenziali, formazione e perfezionamento.</v>
      </c>
      <c r="C99" s="29"/>
      <c r="D99" s="18"/>
      <c r="E99" s="13"/>
      <c r="F99" s="11"/>
      <c r="G99" s="49"/>
      <c r="K99" s="106"/>
      <c r="L99" s="106"/>
      <c r="M99" s="106"/>
      <c r="N99" s="106"/>
      <c r="O99" s="20"/>
      <c r="P99" s="20"/>
      <c r="Q99" s="20"/>
      <c r="R99" s="20"/>
      <c r="S99" s="179"/>
      <c r="T99" s="179"/>
      <c r="U99" s="179"/>
      <c r="V99" s="106"/>
      <c r="W99" s="106"/>
    </row>
    <row r="100" spans="1:31" ht="13" customHeight="1">
      <c r="B100" s="22" t="str">
        <f>VLOOKUP(153,Textbausteine_201[],Hilfsgrössen!$D$2,FALSE)</f>
        <v>3) Interessi e altri oneri.</v>
      </c>
      <c r="C100" s="29"/>
      <c r="D100" s="18"/>
      <c r="E100" s="13"/>
      <c r="F100" s="11"/>
      <c r="G100" s="49"/>
      <c r="K100" s="106"/>
      <c r="L100" s="106"/>
      <c r="M100" s="106"/>
      <c r="N100" s="106"/>
      <c r="O100" s="20"/>
      <c r="P100" s="20"/>
      <c r="Q100" s="20"/>
      <c r="R100" s="20"/>
      <c r="S100" s="179"/>
      <c r="T100" s="179"/>
      <c r="U100" s="179"/>
      <c r="V100" s="106"/>
      <c r="W100" s="106"/>
    </row>
    <row r="101" spans="1:31" ht="13" customHeight="1">
      <c r="B101" s="22" t="str">
        <f>VLOOKUP(154,Textbausteine_201[],Hilfsgrössen!$D$2,FALSE)</f>
        <v>4) Imposte sull'utile.</v>
      </c>
      <c r="C101" s="29"/>
      <c r="D101" s="18"/>
      <c r="E101" s="13"/>
      <c r="F101" s="11"/>
      <c r="G101" s="49"/>
      <c r="K101" s="106"/>
      <c r="L101" s="106"/>
      <c r="M101" s="106"/>
      <c r="N101" s="106"/>
      <c r="O101" s="20"/>
      <c r="P101" s="20"/>
      <c r="Q101" s="20"/>
      <c r="R101" s="20"/>
      <c r="S101" s="179"/>
      <c r="T101" s="179"/>
      <c r="U101" s="179"/>
      <c r="V101" s="106"/>
      <c r="W101" s="106"/>
    </row>
    <row r="102" spans="1:31" ht="13" customHeight="1">
      <c r="B102" s="22" t="str">
        <f>VLOOKUP(155,Textbausteine_201[],Hilfsgrössen!$D$2,FALSE)</f>
        <v>5) Versamento dell'utile alla Confederazione.</v>
      </c>
      <c r="C102" s="29"/>
      <c r="D102" s="18"/>
      <c r="E102" s="13"/>
      <c r="F102" s="11"/>
      <c r="G102" s="49"/>
      <c r="K102" s="106"/>
      <c r="L102" s="106"/>
      <c r="M102" s="106"/>
      <c r="N102" s="106"/>
      <c r="O102" s="20"/>
      <c r="P102" s="20"/>
      <c r="Q102" s="20"/>
      <c r="R102" s="20"/>
      <c r="S102" s="179"/>
      <c r="T102" s="179"/>
      <c r="U102" s="179"/>
      <c r="V102" s="106"/>
      <c r="W102" s="106"/>
    </row>
    <row r="103" spans="1:31" ht="13" customHeight="1">
      <c r="B103" s="22" t="str">
        <f>VLOOKUP(156,Textbausteine_201[],Hilfsgrössen!$D$2,FALSE)</f>
        <v>6) La voce «Altri» comprende gli utili conseguiti dalla vendita di beni materiali, i ricavi derivanti dalle società associate, i ricavi finanziari e le imposte latenti.</v>
      </c>
      <c r="C103" s="29"/>
      <c r="D103" s="18"/>
      <c r="E103" s="13"/>
      <c r="F103" s="11"/>
      <c r="G103" s="49"/>
      <c r="K103" s="106"/>
      <c r="L103" s="106"/>
      <c r="M103" s="106"/>
      <c r="N103" s="106"/>
      <c r="O103" s="20"/>
      <c r="P103" s="20"/>
      <c r="Q103" s="20"/>
      <c r="R103" s="20"/>
      <c r="S103" s="179"/>
      <c r="T103" s="179"/>
      <c r="U103" s="179"/>
      <c r="V103" s="106"/>
      <c r="W103" s="106"/>
    </row>
    <row r="104" spans="1:31" ht="13" customHeight="1">
      <c r="B104" s="22" t="str">
        <f>VLOOKUP(157,Textbausteine_201[],Hilfsgrössen!$D$2,FALSE)</f>
        <v>7) Destinazione richiesta degli utili della Posta (vedi anche rapporto di gestione chiusura annuale La Posta Svizzera SA).</v>
      </c>
      <c r="C104" s="29"/>
      <c r="D104" s="18"/>
      <c r="E104" s="13"/>
      <c r="F104" s="11"/>
      <c r="G104" s="49"/>
      <c r="K104" s="106"/>
      <c r="L104" s="106"/>
      <c r="M104" s="106"/>
      <c r="N104" s="106"/>
      <c r="O104" s="20"/>
      <c r="P104" s="20"/>
      <c r="Q104" s="20"/>
      <c r="R104" s="20"/>
      <c r="S104" s="179"/>
      <c r="T104" s="179"/>
      <c r="U104" s="179"/>
      <c r="V104" s="106"/>
      <c r="W104" s="106"/>
    </row>
    <row r="105" spans="1:31" ht="13" customHeight="1">
      <c r="B105" s="22" t="str">
        <f>VLOOKUP(158,Textbausteine_201[],Hilfsgrössen!$D$2,FALSE)</f>
        <v>8) Valori 2017, 2015 e 2013 normalizzati.</v>
      </c>
    </row>
    <row r="106" spans="1:31" ht="13" customHeight="1">
      <c r="B106" s="22" t="str">
        <f>VLOOKUP(159,Textbausteine_201[],Hilfsgrössen!$D$2,FALSE)</f>
        <v>9) Valori dell'anno precedente in parte adattati.</v>
      </c>
    </row>
    <row r="107" spans="1:31" ht="13" customHeight="1">
      <c r="B107" s="22"/>
    </row>
    <row r="109" spans="1:31" s="31" customFormat="1" ht="13" customHeight="1">
      <c r="A109" s="80" t="s">
        <v>27</v>
      </c>
      <c r="B109" s="492" t="str">
        <f>$C$9</f>
        <v>Cassa pensioni</v>
      </c>
      <c r="C109" s="492"/>
      <c r="D109" s="6" t="str">
        <f>VLOOKUP(32,Textbausteine_Menu[],Hilfsgrössen!$D$2,FALSE)</f>
        <v>Unità</v>
      </c>
      <c r="E109" s="40" t="str">
        <f>VLOOKUP(33,Textbausteine_Menu[],Hilfsgrössen!$D$2,FALSE)</f>
        <v>Note</v>
      </c>
      <c r="F109" s="40" t="str">
        <f>VLOOKUP(34,Textbausteine_Menu[],Hilfsgrössen!$D$2,FALSE)</f>
        <v>GRI</v>
      </c>
      <c r="G109" s="48"/>
      <c r="H109" s="116">
        <v>2004</v>
      </c>
      <c r="I109" s="116">
        <v>2005</v>
      </c>
      <c r="J109" s="116">
        <v>2006</v>
      </c>
      <c r="K109" s="116">
        <v>2007</v>
      </c>
      <c r="L109" s="116">
        <v>2008</v>
      </c>
      <c r="M109" s="116">
        <v>2009</v>
      </c>
      <c r="N109" s="116">
        <v>2010</v>
      </c>
      <c r="O109" s="116">
        <v>2011</v>
      </c>
      <c r="P109" s="116">
        <v>2012</v>
      </c>
      <c r="Q109" s="116">
        <v>2013</v>
      </c>
      <c r="R109" s="116" t="s">
        <v>100</v>
      </c>
      <c r="S109" s="103">
        <v>2014</v>
      </c>
      <c r="T109" s="103">
        <v>2015</v>
      </c>
      <c r="U109" s="116" t="s">
        <v>101</v>
      </c>
      <c r="V109" s="116">
        <v>2016</v>
      </c>
      <c r="W109" s="116">
        <v>2017</v>
      </c>
      <c r="X109" s="40" t="s">
        <v>118</v>
      </c>
      <c r="Y109" s="40">
        <v>2018</v>
      </c>
      <c r="Z109" s="40">
        <v>2019</v>
      </c>
      <c r="AA109" s="343">
        <v>2020</v>
      </c>
      <c r="AB109" s="6"/>
    </row>
    <row r="110" spans="1:31" s="31" customFormat="1" ht="13" customHeight="1">
      <c r="A110" s="85"/>
      <c r="B110" s="492"/>
      <c r="C110" s="492"/>
      <c r="D110" s="6"/>
      <c r="E110" s="40"/>
      <c r="F110" s="40"/>
      <c r="G110" s="48"/>
      <c r="H110" s="116"/>
      <c r="I110" s="116"/>
      <c r="J110" s="116"/>
      <c r="K110" s="116"/>
      <c r="L110" s="116"/>
      <c r="M110" s="116"/>
      <c r="N110" s="116"/>
      <c r="O110" s="116"/>
      <c r="P110" s="116"/>
      <c r="Q110" s="116"/>
      <c r="R110" s="116"/>
      <c r="S110" s="116"/>
      <c r="T110" s="103"/>
      <c r="U110" s="103"/>
      <c r="V110" s="20"/>
      <c r="W110" s="20"/>
      <c r="X110" s="6"/>
      <c r="Y110" s="6"/>
      <c r="Z110" s="6"/>
      <c r="AA110" s="344"/>
      <c r="AB110" s="6"/>
    </row>
    <row r="111" spans="1:31" ht="13" customHeight="1">
      <c r="A111" s="62"/>
      <c r="C111" s="27"/>
      <c r="D111" s="18"/>
      <c r="E111" s="13"/>
      <c r="F111" s="11"/>
      <c r="G111" s="49"/>
      <c r="H111" s="20"/>
      <c r="I111" s="20"/>
      <c r="J111" s="20"/>
      <c r="K111" s="20"/>
      <c r="L111" s="20"/>
      <c r="M111" s="20"/>
      <c r="N111" s="20"/>
      <c r="O111" s="20"/>
      <c r="P111" s="106"/>
      <c r="Q111" s="106"/>
      <c r="R111" s="106"/>
      <c r="S111" s="106"/>
      <c r="T111" s="106"/>
      <c r="U111" s="106"/>
      <c r="V111" s="118"/>
      <c r="W111" s="118"/>
      <c r="AA111" s="345"/>
      <c r="AB111" s="9"/>
    </row>
    <row r="112" spans="1:31" s="31" customFormat="1" ht="13" customHeight="1">
      <c r="A112" s="86"/>
      <c r="B112" s="8" t="str">
        <f>VLOOKUP(37,Textbausteine_Menu[],Hilfsgrössen!$D$2,FALSE)</f>
        <v>Gruppo Svizzera</v>
      </c>
      <c r="E112" s="39"/>
      <c r="F112" s="39"/>
      <c r="G112" s="46"/>
      <c r="H112" s="94"/>
      <c r="I112" s="94"/>
      <c r="J112" s="94"/>
      <c r="K112" s="94"/>
      <c r="L112" s="94"/>
      <c r="M112" s="94"/>
      <c r="N112" s="94"/>
      <c r="O112" s="94"/>
      <c r="P112" s="94"/>
      <c r="Q112" s="94"/>
      <c r="R112" s="94"/>
      <c r="S112" s="94"/>
      <c r="T112" s="94"/>
      <c r="U112" s="94"/>
      <c r="V112" s="118"/>
      <c r="W112" s="118"/>
      <c r="X112" s="6"/>
      <c r="Y112" s="6"/>
      <c r="Z112" s="6"/>
      <c r="AA112" s="344"/>
      <c r="AB112" s="6"/>
    </row>
    <row r="113" spans="1:28" ht="13" customHeight="1">
      <c r="C113" s="28" t="str">
        <f>VLOOKUP(51,Textbausteine_201[],Hilfsgrössen!$D$2,FALSE)</f>
        <v>Sottocopertura obblighi previdenziali iscritti a bilancio secondo gli IFRS</v>
      </c>
      <c r="D113" s="18" t="str">
        <f>VLOOKUP(11,Textbausteine_201[],Hilfsgrössen!$D$2,FALSE)</f>
        <v>mln di CHF</v>
      </c>
      <c r="E113" s="13">
        <v>1</v>
      </c>
      <c r="F113" s="11" t="s">
        <v>119</v>
      </c>
      <c r="G113" s="49"/>
      <c r="H113" s="464">
        <v>3153</v>
      </c>
      <c r="I113" s="464">
        <v>2876</v>
      </c>
      <c r="J113" s="464">
        <v>2021</v>
      </c>
      <c r="K113" s="464">
        <v>1642</v>
      </c>
      <c r="L113" s="465">
        <v>3541</v>
      </c>
      <c r="M113" s="465">
        <v>2221</v>
      </c>
      <c r="N113" s="465">
        <v>2555</v>
      </c>
      <c r="O113" s="465">
        <v>2980</v>
      </c>
      <c r="P113" s="356">
        <v>2991</v>
      </c>
      <c r="Q113" s="356">
        <v>2042</v>
      </c>
      <c r="R113" s="414" t="s">
        <v>30</v>
      </c>
      <c r="S113" s="356">
        <v>3489</v>
      </c>
      <c r="T113" s="356">
        <v>4847</v>
      </c>
      <c r="U113" s="414" t="s">
        <v>30</v>
      </c>
      <c r="V113" s="14">
        <v>5080</v>
      </c>
      <c r="W113" s="14">
        <v>2626</v>
      </c>
      <c r="X113" s="414" t="s">
        <v>30</v>
      </c>
      <c r="Y113" s="414">
        <v>2611</v>
      </c>
      <c r="Z113" s="414">
        <v>2824</v>
      </c>
      <c r="AA113" s="466">
        <v>2971</v>
      </c>
      <c r="AB113" s="9"/>
    </row>
    <row r="114" spans="1:28" ht="13" customHeight="1">
      <c r="C114" s="28" t="str">
        <f>VLOOKUP(52,Textbausteine_201[],Hilfsgrössen!$D$2,FALSE)</f>
        <v>Grado di copertura della Cassa pensioni Posta secondo la LPP</v>
      </c>
      <c r="D114" s="9" t="str">
        <f>VLOOKUP(12,Textbausteine_201[],Hilfsgrössen!$D$2,FALSE)</f>
        <v>%</v>
      </c>
      <c r="E114" s="13" t="s">
        <v>120</v>
      </c>
      <c r="F114" s="11" t="s">
        <v>119</v>
      </c>
      <c r="G114" s="49"/>
      <c r="H114" s="462">
        <v>94.5</v>
      </c>
      <c r="I114" s="462">
        <v>101.1</v>
      </c>
      <c r="J114" s="462">
        <v>103.9</v>
      </c>
      <c r="K114" s="462">
        <v>102.1</v>
      </c>
      <c r="L114" s="463">
        <v>88.1</v>
      </c>
      <c r="M114" s="463">
        <v>95.7</v>
      </c>
      <c r="N114" s="463">
        <v>98.9</v>
      </c>
      <c r="O114" s="463">
        <v>96.7</v>
      </c>
      <c r="P114" s="406">
        <v>98.8</v>
      </c>
      <c r="Q114" s="406">
        <v>101.4</v>
      </c>
      <c r="R114" s="373" t="s">
        <v>30</v>
      </c>
      <c r="S114" s="406">
        <v>101.4</v>
      </c>
      <c r="T114" s="406">
        <v>99.4</v>
      </c>
      <c r="U114" s="373" t="s">
        <v>30</v>
      </c>
      <c r="V114" s="347">
        <v>102.2</v>
      </c>
      <c r="W114" s="406">
        <v>106.3</v>
      </c>
      <c r="X114" s="373" t="s">
        <v>30</v>
      </c>
      <c r="Y114" s="373">
        <v>101.9</v>
      </c>
      <c r="Z114" s="373">
        <v>108</v>
      </c>
      <c r="AA114" s="346">
        <v>105.3</v>
      </c>
      <c r="AB114" s="9"/>
    </row>
    <row r="115" spans="1:28" ht="13" customHeight="1">
      <c r="C115" s="28"/>
      <c r="D115" s="18"/>
      <c r="E115" s="13"/>
      <c r="F115" s="11"/>
      <c r="G115" s="49"/>
      <c r="M115" s="106"/>
      <c r="R115" s="20"/>
      <c r="S115" s="179"/>
      <c r="T115" s="106"/>
      <c r="U115" s="106"/>
      <c r="V115" s="106"/>
      <c r="W115" s="106"/>
      <c r="AB115" s="18"/>
    </row>
    <row r="116" spans="1:28" ht="13" customHeight="1">
      <c r="B116" s="22" t="str">
        <f>VLOOKUP(141,Textbausteine_201[],Hilfsgrössen!$D$2,FALSE)</f>
        <v>1) Copertura secondo gli IFRS (cfr. Rapporto finanziario)</v>
      </c>
      <c r="C116" s="29"/>
      <c r="D116" s="18"/>
      <c r="E116" s="13"/>
      <c r="F116" s="11"/>
      <c r="G116" s="49"/>
      <c r="K116" s="106"/>
      <c r="L116" s="106"/>
      <c r="M116" s="106"/>
      <c r="N116" s="106"/>
      <c r="O116" s="20"/>
      <c r="P116" s="20"/>
      <c r="Q116" s="20"/>
      <c r="R116" s="20"/>
      <c r="S116" s="179"/>
      <c r="T116" s="179"/>
      <c r="U116" s="179"/>
      <c r="V116" s="106"/>
      <c r="W116" s="106"/>
    </row>
    <row r="117" spans="1:28" s="21" customFormat="1" ht="13" customHeight="1">
      <c r="A117" s="85"/>
      <c r="B117" s="22" t="str">
        <f>VLOOKUP(142,Textbausteine_201[],Hilfsgrössen!$D$2,FALSE)</f>
        <v>2) Grado di copertura secondo l'art. 44 dell'Ordinanza sulla previdenza professionale per la vecchiaia, i superstiti e l'invalidità (OPP2)</v>
      </c>
      <c r="D117" s="24"/>
      <c r="E117" s="44"/>
      <c r="F117" s="44"/>
      <c r="G117" s="54"/>
      <c r="H117" s="185"/>
      <c r="I117" s="185"/>
      <c r="J117" s="185"/>
      <c r="K117" s="185"/>
      <c r="L117" s="185"/>
      <c r="M117" s="185"/>
      <c r="N117" s="185"/>
      <c r="O117" s="185"/>
      <c r="P117" s="185"/>
      <c r="Q117" s="185"/>
      <c r="R117" s="185"/>
      <c r="S117" s="185"/>
      <c r="T117" s="185"/>
      <c r="U117" s="185"/>
      <c r="V117" s="106"/>
      <c r="W117" s="106"/>
      <c r="X117" s="367"/>
      <c r="Y117" s="367"/>
      <c r="Z117" s="367"/>
    </row>
    <row r="118" spans="1:28" s="21" customFormat="1" ht="13" customHeight="1">
      <c r="A118" s="85"/>
      <c r="B118" s="22" t="str">
        <f>VLOOKUP(143,Textbausteine_201[],Hilfsgrössen!$D$2,FALSE)</f>
        <v>3) Grado di copertura non verificato in 2020</v>
      </c>
      <c r="D118" s="24"/>
      <c r="E118" s="44"/>
      <c r="F118" s="44"/>
      <c r="G118" s="54"/>
      <c r="H118" s="185"/>
      <c r="I118" s="185"/>
      <c r="J118" s="185"/>
      <c r="K118" s="185"/>
      <c r="L118" s="185"/>
      <c r="M118" s="185"/>
      <c r="N118" s="185"/>
      <c r="O118" s="185"/>
      <c r="P118" s="185"/>
      <c r="Q118" s="185"/>
      <c r="R118" s="185"/>
      <c r="S118" s="185"/>
      <c r="T118" s="185"/>
      <c r="U118" s="185"/>
      <c r="V118" s="106"/>
      <c r="W118" s="106"/>
      <c r="X118" s="367"/>
      <c r="Y118" s="367"/>
      <c r="Z118" s="367"/>
    </row>
    <row r="119" spans="1:28" s="21" customFormat="1" ht="13" customHeight="1">
      <c r="A119" s="85"/>
      <c r="D119" s="24"/>
      <c r="E119" s="44"/>
      <c r="F119" s="44"/>
      <c r="G119" s="54"/>
      <c r="H119" s="185"/>
      <c r="I119" s="185"/>
      <c r="J119" s="185"/>
      <c r="K119" s="185"/>
      <c r="L119" s="185"/>
      <c r="M119" s="185"/>
      <c r="N119" s="185"/>
      <c r="O119" s="185"/>
      <c r="P119" s="185"/>
      <c r="Q119" s="185"/>
      <c r="R119" s="185"/>
      <c r="S119" s="185"/>
      <c r="T119" s="185"/>
      <c r="U119" s="185"/>
      <c r="V119" s="106"/>
      <c r="W119" s="106"/>
      <c r="X119" s="367"/>
      <c r="Y119" s="367"/>
      <c r="Z119" s="367"/>
    </row>
    <row r="120" spans="1:28" ht="13" customHeight="1">
      <c r="V120" s="106"/>
      <c r="W120" s="106"/>
    </row>
    <row r="121" spans="1:28" ht="13" customHeight="1">
      <c r="V121" s="106"/>
      <c r="W121" s="106"/>
    </row>
    <row r="122" spans="1:28" ht="13" customHeight="1">
      <c r="A122" s="62"/>
      <c r="V122" s="118"/>
      <c r="W122" s="118"/>
    </row>
    <row r="123" spans="1:28" ht="13" customHeight="1">
      <c r="A123" s="86"/>
      <c r="V123" s="118"/>
      <c r="W123" s="118"/>
    </row>
    <row r="127" spans="1:28" ht="13" customHeight="1">
      <c r="V127" s="106"/>
      <c r="W127" s="106"/>
    </row>
    <row r="128" spans="1:28" ht="13" customHeight="1">
      <c r="V128" s="106"/>
      <c r="W128" s="106"/>
    </row>
    <row r="129" spans="22:23" ht="13" customHeight="1">
      <c r="V129" s="106"/>
      <c r="W129" s="106"/>
    </row>
    <row r="130" spans="22:23" ht="13" customHeight="1">
      <c r="V130" s="106"/>
      <c r="W130" s="106"/>
    </row>
    <row r="131" spans="22:23" ht="13" customHeight="1">
      <c r="V131" s="106"/>
      <c r="W131" s="106"/>
    </row>
    <row r="132" spans="22:23" ht="13" customHeight="1">
      <c r="V132" s="106"/>
      <c r="W132" s="106"/>
    </row>
    <row r="133" spans="22:23" ht="13" customHeight="1">
      <c r="V133" s="106"/>
      <c r="W133" s="106"/>
    </row>
    <row r="134" spans="22:23" ht="13" customHeight="1">
      <c r="V134" s="106"/>
      <c r="W134" s="106"/>
    </row>
    <row r="135" spans="22:23" ht="13" customHeight="1">
      <c r="V135" s="106"/>
      <c r="W135" s="106"/>
    </row>
    <row r="136" spans="22:23" ht="13" customHeight="1">
      <c r="V136" s="106"/>
      <c r="W136" s="106"/>
    </row>
    <row r="137" spans="22:23" ht="13" customHeight="1">
      <c r="V137" s="106"/>
      <c r="W137" s="106"/>
    </row>
    <row r="138" spans="22:23" ht="13" customHeight="1">
      <c r="V138" s="106"/>
      <c r="W138" s="106"/>
    </row>
    <row r="139" spans="22:23" ht="13" customHeight="1">
      <c r="V139" s="106"/>
      <c r="W139" s="106"/>
    </row>
    <row r="140" spans="22:23" ht="13" customHeight="1">
      <c r="V140" s="106"/>
      <c r="W140" s="106"/>
    </row>
    <row r="141" spans="22:23" ht="13" customHeight="1">
      <c r="V141" s="106"/>
      <c r="W141" s="106"/>
    </row>
    <row r="142" spans="22:23" ht="13" customHeight="1">
      <c r="V142" s="106"/>
      <c r="W142" s="106"/>
    </row>
    <row r="143" spans="22:23" ht="13" customHeight="1">
      <c r="V143" s="106"/>
      <c r="W143" s="106"/>
    </row>
    <row r="144" spans="22:23" ht="13" customHeight="1">
      <c r="V144" s="106"/>
      <c r="W144" s="106"/>
    </row>
    <row r="151" spans="1:23" ht="13" customHeight="1">
      <c r="A151" s="62"/>
      <c r="V151" s="118"/>
      <c r="W151" s="118"/>
    </row>
    <row r="152" spans="1:23" ht="13" customHeight="1">
      <c r="A152" s="86"/>
      <c r="V152" s="118"/>
      <c r="W152" s="118"/>
    </row>
    <row r="156" spans="1:23" ht="13" customHeight="1">
      <c r="V156" s="139"/>
      <c r="W156" s="139"/>
    </row>
    <row r="157" spans="1:23" ht="13" customHeight="1">
      <c r="V157" s="139"/>
      <c r="W157" s="139"/>
    </row>
    <row r="158" spans="1:23" ht="13" customHeight="1">
      <c r="V158" s="139"/>
      <c r="W158" s="139"/>
    </row>
    <row r="159" spans="1:23" ht="13" customHeight="1">
      <c r="V159" s="139"/>
      <c r="W159" s="139"/>
    </row>
    <row r="160" spans="1:23" ht="13" customHeight="1">
      <c r="V160" s="139"/>
      <c r="W160" s="139"/>
    </row>
    <row r="161" spans="22:23" ht="13" customHeight="1">
      <c r="V161" s="139"/>
      <c r="W161" s="139"/>
    </row>
    <row r="162" spans="22:23" ht="13" customHeight="1">
      <c r="V162" s="139"/>
      <c r="W162" s="139"/>
    </row>
    <row r="163" spans="22:23" ht="13" customHeight="1">
      <c r="V163" s="139"/>
      <c r="W163" s="139"/>
    </row>
  </sheetData>
  <sheetProtection algorithmName="SHA-512" hashValue="/3gxsHKq6gYKIL5uI1fQhnves5eOw65UoLLDIf4xyfYrx/otY/BbPWyaQW0CiyL0rqgYmnac24UWBb7aW3YFgQ==" saltValue="yB52lG0F8De6yLgmEMZ1Xg==" spinCount="100000" sheet="1" objects="1" scenarios="1"/>
  <mergeCells count="6">
    <mergeCell ref="D2:E2"/>
    <mergeCell ref="B3:C3"/>
    <mergeCell ref="B2:C2"/>
    <mergeCell ref="B12:C13"/>
    <mergeCell ref="B109:C110"/>
    <mergeCell ref="B72:C73"/>
  </mergeCells>
  <dataValidations count="2">
    <dataValidation type="list" allowBlank="1" showInputMessage="1" showErrorMessage="1" sqref="G2" xr:uid="{00000000-0002-0000-0200-000000000000}">
      <formula1>Sprache</formula1>
    </dataValidation>
    <dataValidation allowBlank="1" showInputMessage="1" showErrorMessage="1" sqref="F2" xr:uid="{00000000-0002-0000-0200-000001000000}"/>
  </dataValidations>
  <hyperlinks>
    <hyperlink ref="C7" location="GRI_201_1a" display="GRI_201_1a" xr:uid="{00000000-0004-0000-0200-000000000000}"/>
    <hyperlink ref="C9" location="GRI_201_3" display="201-3 – Defined benefit plan obligations and other retirement plans" xr:uid="{00000000-0004-0000-0200-000001000000}"/>
    <hyperlink ref="A12" location="GRI_201" display="Ó" xr:uid="{00000000-0004-0000-0200-000002000000}"/>
    <hyperlink ref="A109" location="GRI_201" display="Ó" xr:uid="{00000000-0004-0000-0200-000003000000}"/>
    <hyperlink ref="A72" location="GRI_201" display="Ó" xr:uid="{00000000-0004-0000-0200-000004000000}"/>
    <hyperlink ref="C8" location="GRI_201_1b" display="GRI_201_1b" xr:uid="{00000000-0004-0000-0200-000005000000}"/>
    <hyperlink ref="D2" location="Home" display="Home" xr:uid="{00000000-0004-0000-0200-000006000000}"/>
  </hyperlinks>
  <pageMargins left="0.7" right="0.7" top="0.78740157499999996" bottom="0.78740157499999996" header="0.3" footer="0.3"/>
  <pageSetup paperSize="9" orientation="portrait" r:id="rId1"/>
  <ignoredErrors>
    <ignoredError sqref="C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523178"/>
  </sheetPr>
  <dimension ref="A2:X126"/>
  <sheetViews>
    <sheetView showGridLines="0" showRowColHeaders="0" zoomScale="90" zoomScaleNormal="90" workbookViewId="0">
      <pane xSplit="7" topLeftCell="K1" activePane="topRight" state="frozen"/>
      <selection activeCell="B3" sqref="B3:C3"/>
      <selection pane="topRight" activeCell="X19" sqref="X19"/>
    </sheetView>
  </sheetViews>
  <sheetFormatPr baseColWidth="10" defaultColWidth="10.796875" defaultRowHeight="13" customHeight="1"/>
  <cols>
    <col min="1" max="1" width="2.3984375" style="90" customWidth="1"/>
    <col min="2" max="2" width="2.3984375" style="1" customWidth="1"/>
    <col min="3" max="3" width="73.19921875" style="1" customWidth="1"/>
    <col min="4" max="4" width="23.59765625" style="1" customWidth="1"/>
    <col min="5" max="5" width="9.3984375" style="37" customWidth="1"/>
    <col min="6" max="6" width="14.19921875" style="37" customWidth="1"/>
    <col min="7" max="7" width="2.19921875" style="47" customWidth="1"/>
    <col min="8" max="19" width="11.796875" style="100" customWidth="1"/>
    <col min="20" max="24" width="11.796875" style="20" customWidth="1"/>
    <col min="25" max="82" width="11.796875" style="1" customWidth="1"/>
    <col min="83" max="16384" width="10.796875" style="1"/>
  </cols>
  <sheetData>
    <row r="2" spans="1:24" s="152" customFormat="1" ht="26" customHeight="1">
      <c r="A2" s="87"/>
      <c r="B2" s="493" t="str">
        <f>UPPER(RIGHT(Inhaltsverzeichnis!$C$13,LEN(Inhaltsverzeichnis!$C$13)-FIND(" – ",Inhaltsverzeichnis!$C$13,1)-2))</f>
        <v>PRESENZA SUL MERCATO</v>
      </c>
      <c r="C2" s="493"/>
      <c r="D2" s="489" t="str">
        <f>VLOOKUP(35,Textbausteine_Menu[],Hilfsgrössen!$D$2,FALSE)</f>
        <v>torna alla tabella dei contenuti</v>
      </c>
      <c r="E2" s="490"/>
      <c r="F2" s="144" t="s">
        <v>0</v>
      </c>
      <c r="G2" s="168"/>
      <c r="H2" s="482"/>
      <c r="I2" s="482"/>
      <c r="J2" s="482"/>
      <c r="K2" s="482"/>
      <c r="L2" s="482"/>
      <c r="M2" s="482"/>
      <c r="N2" s="482"/>
      <c r="O2" s="482"/>
      <c r="P2" s="482"/>
      <c r="Q2" s="482"/>
      <c r="R2" s="482"/>
      <c r="S2" s="482"/>
      <c r="T2" s="115"/>
      <c r="U2" s="115"/>
      <c r="V2" s="115"/>
      <c r="W2" s="115"/>
      <c r="X2" s="115"/>
    </row>
    <row r="3" spans="1:24" s="153" customFormat="1" ht="26" customHeight="1">
      <c r="A3" s="88"/>
      <c r="B3" s="494" t="str">
        <f>UPPER("GRI "&amp;LEFT(Inhaltsverzeichnis!$C$13,3))</f>
        <v>GRI 202</v>
      </c>
      <c r="C3" s="494"/>
      <c r="D3" s="481"/>
      <c r="E3" s="38"/>
      <c r="F3" s="38"/>
      <c r="G3" s="45"/>
      <c r="H3" s="483"/>
      <c r="I3" s="483"/>
      <c r="J3" s="483"/>
      <c r="K3" s="483"/>
      <c r="L3" s="483"/>
      <c r="M3" s="483"/>
      <c r="N3" s="483"/>
      <c r="O3" s="483"/>
      <c r="P3" s="483"/>
      <c r="Q3" s="483"/>
      <c r="R3" s="483"/>
      <c r="S3" s="483"/>
      <c r="T3" s="115"/>
      <c r="U3" s="115"/>
      <c r="V3" s="115"/>
      <c r="W3" s="115"/>
      <c r="X3" s="115"/>
    </row>
    <row r="6" spans="1:24" s="31" customFormat="1" ht="13" customHeight="1">
      <c r="A6" s="89"/>
      <c r="B6" s="31" t="str">
        <f>VLOOKUP(31,Textbausteine_Menu[],Hilfsgrössen!$D$2,FALSE)</f>
        <v>Divulgazioni</v>
      </c>
      <c r="E6" s="39"/>
      <c r="F6" s="39"/>
      <c r="G6" s="46"/>
      <c r="H6" s="94"/>
      <c r="I6" s="94"/>
      <c r="J6" s="94"/>
      <c r="K6" s="94"/>
      <c r="L6" s="94"/>
      <c r="M6" s="94"/>
      <c r="N6" s="94"/>
      <c r="O6" s="94"/>
      <c r="P6" s="94"/>
      <c r="Q6" s="94"/>
      <c r="R6" s="94"/>
      <c r="S6" s="94"/>
      <c r="T6" s="20"/>
      <c r="U6" s="20"/>
      <c r="V6" s="20"/>
      <c r="W6" s="20"/>
      <c r="X6" s="20"/>
    </row>
    <row r="7" spans="1:24" ht="13" customHeight="1">
      <c r="B7" s="2"/>
      <c r="C7" s="5" t="str">
        <f>VLOOKUP(1,Textbausteine_202[],Hilfsgrössen!$D$2,FALSE)</f>
        <v>Indennità</v>
      </c>
      <c r="D7" s="4"/>
    </row>
    <row r="8" spans="1:24" ht="13" customHeight="1">
      <c r="B8" s="2"/>
    </row>
    <row r="9" spans="1:24" ht="13" customHeight="1">
      <c r="B9" s="2"/>
    </row>
    <row r="10" spans="1:24" s="31" customFormat="1" ht="13" customHeight="1">
      <c r="A10" s="56" t="s">
        <v>27</v>
      </c>
      <c r="B10" s="495" t="str">
        <f>$C$7</f>
        <v>Indennità</v>
      </c>
      <c r="C10" s="495"/>
      <c r="D10" s="6" t="str">
        <f>VLOOKUP(32,Textbausteine_Menu[],Hilfsgrössen!$D$2,FALSE)</f>
        <v>Unità</v>
      </c>
      <c r="E10" s="39" t="str">
        <f>VLOOKUP(33,Textbausteine_Menu[],Hilfsgrössen!$D$2,FALSE)</f>
        <v>Note</v>
      </c>
      <c r="F10" s="39" t="str">
        <f>VLOOKUP(34,Textbausteine_Menu[],Hilfsgrössen!$D$2,FALSE)</f>
        <v>GRI</v>
      </c>
      <c r="G10" s="46"/>
      <c r="H10" s="103">
        <v>2004</v>
      </c>
      <c r="I10" s="103">
        <v>2005</v>
      </c>
      <c r="J10" s="103">
        <v>2006</v>
      </c>
      <c r="K10" s="103">
        <v>2007</v>
      </c>
      <c r="L10" s="103">
        <v>2008</v>
      </c>
      <c r="M10" s="103">
        <v>2009</v>
      </c>
      <c r="N10" s="116">
        <v>2010</v>
      </c>
      <c r="O10" s="103">
        <v>2011</v>
      </c>
      <c r="P10" s="116">
        <v>2012</v>
      </c>
      <c r="Q10" s="103">
        <v>2013</v>
      </c>
      <c r="R10" s="103">
        <v>2014</v>
      </c>
      <c r="S10" s="116">
        <v>2015</v>
      </c>
      <c r="T10" s="116">
        <v>2016</v>
      </c>
      <c r="U10" s="116">
        <v>2017</v>
      </c>
      <c r="V10" s="116">
        <v>2018</v>
      </c>
      <c r="W10" s="116">
        <v>2019</v>
      </c>
      <c r="X10" s="255">
        <v>2020</v>
      </c>
    </row>
    <row r="11" spans="1:24" ht="13" customHeight="1">
      <c r="B11" s="495"/>
      <c r="C11" s="495"/>
      <c r="D11" s="9"/>
      <c r="E11" s="40"/>
      <c r="F11" s="40"/>
      <c r="G11" s="48"/>
      <c r="H11" s="103"/>
      <c r="I11" s="103"/>
      <c r="J11" s="103"/>
      <c r="K11" s="103"/>
      <c r="L11" s="105"/>
      <c r="M11" s="105"/>
      <c r="N11" s="106"/>
      <c r="O11" s="106"/>
      <c r="P11" s="106"/>
      <c r="Q11" s="106"/>
      <c r="R11" s="106"/>
      <c r="S11" s="106"/>
      <c r="X11" s="256"/>
    </row>
    <row r="12" spans="1:24" ht="13" customHeight="1">
      <c r="B12" s="33"/>
      <c r="C12" s="33"/>
      <c r="D12" s="9"/>
      <c r="E12" s="40"/>
      <c r="F12" s="40"/>
      <c r="G12" s="48"/>
      <c r="H12" s="103"/>
      <c r="I12" s="103"/>
      <c r="J12" s="103"/>
      <c r="K12" s="103"/>
      <c r="L12" s="105"/>
      <c r="M12" s="105"/>
      <c r="N12" s="106"/>
      <c r="O12" s="106"/>
      <c r="P12" s="106"/>
      <c r="Q12" s="106"/>
      <c r="R12" s="106"/>
      <c r="S12" s="106"/>
      <c r="X12" s="256"/>
    </row>
    <row r="13" spans="1:24" ht="13" customHeight="1">
      <c r="B13" s="8" t="str">
        <f>VLOOKUP(36,Textbausteine_Menu[],Hilfsgrössen!$D$2,FALSE)</f>
        <v>Gruppo</v>
      </c>
      <c r="C13" s="30"/>
      <c r="D13" s="9"/>
      <c r="E13" s="12"/>
      <c r="F13" s="11"/>
      <c r="G13" s="49"/>
      <c r="H13" s="104"/>
      <c r="I13" s="104"/>
      <c r="J13" s="104"/>
      <c r="K13" s="104"/>
      <c r="L13" s="106"/>
      <c r="M13" s="106"/>
      <c r="N13" s="106"/>
      <c r="O13" s="106"/>
      <c r="P13" s="106"/>
      <c r="Q13" s="106"/>
      <c r="R13" s="106"/>
      <c r="S13" s="106"/>
      <c r="X13" s="256"/>
    </row>
    <row r="14" spans="1:24" ht="13" customHeight="1">
      <c r="C14" s="74" t="str">
        <f>VLOOKUP(31,Textbausteine_202[],Hilfsgrössen!$D$2,FALSE)</f>
        <v>Indennità a Presidenti di Consigli d'amministrazione</v>
      </c>
      <c r="D14" s="66" t="str">
        <f>VLOOKUP(11,Textbausteine_202[],Hilfsgrössen!$D$2,FALSE)</f>
        <v>CHF</v>
      </c>
      <c r="E14" s="11">
        <v>1</v>
      </c>
      <c r="F14" s="11"/>
      <c r="G14" s="49"/>
      <c r="H14" s="170">
        <v>231750</v>
      </c>
      <c r="I14" s="170">
        <v>251500</v>
      </c>
      <c r="J14" s="170">
        <v>250000</v>
      </c>
      <c r="K14" s="170">
        <v>245000</v>
      </c>
      <c r="L14" s="20">
        <v>248560</v>
      </c>
      <c r="M14" s="20">
        <v>292785</v>
      </c>
      <c r="N14" s="20">
        <v>254859</v>
      </c>
      <c r="O14" s="20">
        <v>252650</v>
      </c>
      <c r="P14" s="106">
        <v>251700</v>
      </c>
      <c r="Q14" s="106">
        <v>252000</v>
      </c>
      <c r="R14" s="159">
        <v>252000</v>
      </c>
      <c r="S14" s="159">
        <v>252135</v>
      </c>
      <c r="T14" s="20">
        <v>253025</v>
      </c>
      <c r="U14" s="20">
        <v>253470</v>
      </c>
      <c r="V14" s="20">
        <v>253470</v>
      </c>
      <c r="W14" s="20">
        <v>253470</v>
      </c>
      <c r="X14" s="256">
        <v>253470</v>
      </c>
    </row>
    <row r="15" spans="1:24" ht="13" customHeight="1">
      <c r="C15" s="75" t="str">
        <f>VLOOKUP(32,Textbausteine_202[],Hilfsgrössen!$D$2,FALSE)</f>
        <v>Indennità media ai membri del Consiglio d'amministrazione</v>
      </c>
      <c r="D15" s="66" t="str">
        <f>VLOOKUP(11,Textbausteine_202[],Hilfsgrössen!$D$2,FALSE)</f>
        <v>CHF</v>
      </c>
      <c r="E15" s="11" t="s">
        <v>87</v>
      </c>
      <c r="F15" s="11"/>
      <c r="G15" s="49"/>
      <c r="H15" s="170">
        <v>84506</v>
      </c>
      <c r="I15" s="170">
        <v>83106</v>
      </c>
      <c r="J15" s="170">
        <v>80880</v>
      </c>
      <c r="K15" s="170">
        <v>83698</v>
      </c>
      <c r="L15" s="20">
        <v>84525</v>
      </c>
      <c r="M15" s="20">
        <v>100739</v>
      </c>
      <c r="N15" s="20">
        <v>97782</v>
      </c>
      <c r="O15" s="20">
        <v>108456</v>
      </c>
      <c r="P15" s="106">
        <v>99800</v>
      </c>
      <c r="Q15" s="106">
        <v>99226</v>
      </c>
      <c r="R15" s="159">
        <v>91858</v>
      </c>
      <c r="S15" s="159">
        <v>89037</v>
      </c>
      <c r="T15" s="20">
        <v>97325</v>
      </c>
      <c r="U15" s="20">
        <v>97725</v>
      </c>
      <c r="V15" s="20">
        <v>112956</v>
      </c>
      <c r="W15" s="20">
        <v>101011</v>
      </c>
      <c r="X15" s="256">
        <v>92289</v>
      </c>
    </row>
    <row r="16" spans="1:24" ht="13" customHeight="1">
      <c r="C16" s="74" t="str">
        <f>VLOOKUP(33,Textbausteine_202[],Hilfsgrössen!$D$2,FALSE)</f>
        <v>Indennità al/alla direttore/direttrice generale</v>
      </c>
      <c r="D16" s="66" t="str">
        <f>VLOOKUP(11,Textbausteine_202[],Hilfsgrössen!$D$2,FALSE)</f>
        <v>CHF</v>
      </c>
      <c r="E16" s="11" t="s">
        <v>121</v>
      </c>
      <c r="F16" s="11"/>
      <c r="G16" s="49"/>
      <c r="H16" s="179">
        <v>700000</v>
      </c>
      <c r="I16" s="179">
        <v>689000</v>
      </c>
      <c r="J16" s="20">
        <v>787830</v>
      </c>
      <c r="K16" s="20">
        <v>817138</v>
      </c>
      <c r="L16" s="20">
        <v>829387</v>
      </c>
      <c r="M16" s="20">
        <v>789101</v>
      </c>
      <c r="N16" s="20">
        <v>903384</v>
      </c>
      <c r="O16" s="20">
        <v>924501</v>
      </c>
      <c r="P16" s="106">
        <v>1059476</v>
      </c>
      <c r="Q16" s="106">
        <v>766732</v>
      </c>
      <c r="R16" s="159">
        <v>824585</v>
      </c>
      <c r="S16" s="159">
        <v>984521</v>
      </c>
      <c r="T16" s="118">
        <v>974178</v>
      </c>
      <c r="U16" s="118">
        <v>970425</v>
      </c>
      <c r="V16" s="118">
        <v>1107488</v>
      </c>
      <c r="W16" s="118">
        <v>693123</v>
      </c>
      <c r="X16" s="257">
        <v>809621</v>
      </c>
    </row>
    <row r="17" spans="2:24" ht="13" customHeight="1">
      <c r="C17" s="74" t="str">
        <f>VLOOKUP(34,Textbausteine_202[],Hilfsgrössen!$D$2,FALSE)</f>
        <v>Indennità media ai membri della Direzione del gruppo</v>
      </c>
      <c r="D17" s="66" t="str">
        <f>VLOOKUP(11,Textbausteine_202[],Hilfsgrössen!$D$2,FALSE)</f>
        <v>CHF</v>
      </c>
      <c r="E17" s="11" t="s">
        <v>122</v>
      </c>
      <c r="F17" s="11"/>
      <c r="G17" s="49"/>
      <c r="H17" s="170">
        <v>374160</v>
      </c>
      <c r="I17" s="170">
        <v>426498</v>
      </c>
      <c r="J17" s="170">
        <v>444187</v>
      </c>
      <c r="K17" s="170">
        <v>487611</v>
      </c>
      <c r="L17" s="186">
        <v>492781</v>
      </c>
      <c r="M17" s="20">
        <v>491200</v>
      </c>
      <c r="N17" s="20">
        <v>495590</v>
      </c>
      <c r="O17" s="20">
        <v>504986</v>
      </c>
      <c r="P17" s="106">
        <v>515441</v>
      </c>
      <c r="Q17" s="106">
        <v>499281</v>
      </c>
      <c r="R17" s="159">
        <v>477719</v>
      </c>
      <c r="S17" s="159">
        <v>591574</v>
      </c>
      <c r="T17" s="118">
        <v>588377</v>
      </c>
      <c r="U17" s="118">
        <v>559044</v>
      </c>
      <c r="V17" s="118">
        <v>588916</v>
      </c>
      <c r="W17" s="118">
        <v>582289</v>
      </c>
      <c r="X17" s="257">
        <v>575822</v>
      </c>
    </row>
    <row r="18" spans="2:24" ht="13" customHeight="1">
      <c r="C18" s="75" t="str">
        <f>VLOOKUP(35,Textbausteine_202[],Hilfsgrössen!$D$2,FALSE)</f>
        <v>Salario medio dei collaboratori</v>
      </c>
      <c r="D18" s="66" t="str">
        <f>VLOOKUP(11,Textbausteine_202[],Hilfsgrössen!$D$2,FALSE)</f>
        <v>CHF</v>
      </c>
      <c r="E18" s="11" t="s">
        <v>46</v>
      </c>
      <c r="F18" s="11"/>
      <c r="G18" s="49"/>
      <c r="H18" s="170">
        <v>73222</v>
      </c>
      <c r="I18" s="170">
        <v>73593</v>
      </c>
      <c r="J18" s="170">
        <v>75127</v>
      </c>
      <c r="K18" s="170">
        <v>77160</v>
      </c>
      <c r="L18" s="20">
        <v>78141</v>
      </c>
      <c r="M18" s="20">
        <v>80361</v>
      </c>
      <c r="N18" s="20">
        <v>81082</v>
      </c>
      <c r="O18" s="20">
        <v>81293.248463022479</v>
      </c>
      <c r="P18" s="137">
        <v>82554</v>
      </c>
      <c r="Q18" s="106">
        <v>82695</v>
      </c>
      <c r="R18" s="159">
        <v>83039</v>
      </c>
      <c r="S18" s="159">
        <v>83472</v>
      </c>
      <c r="T18" s="20">
        <v>82231</v>
      </c>
      <c r="U18" s="20">
        <v>83178</v>
      </c>
      <c r="V18" s="20">
        <v>83383</v>
      </c>
      <c r="W18" s="20">
        <v>82741</v>
      </c>
      <c r="X18" s="256">
        <v>83636</v>
      </c>
    </row>
    <row r="19" spans="2:24" ht="13" customHeight="1">
      <c r="C19" s="74" t="str">
        <f>VLOOKUP(36,Textbausteine_202[],Hilfsgrössen!$D$2,FALSE)</f>
        <v>Salario minimo CCL Posta (dai 18 anni, senza apprendistato professionale)</v>
      </c>
      <c r="D19" s="66" t="str">
        <f>VLOOKUP(11,Textbausteine_202[],Hilfsgrössen!$D$2,FALSE)</f>
        <v>CHF</v>
      </c>
      <c r="E19" s="11">
        <v>7</v>
      </c>
      <c r="F19" s="11" t="s">
        <v>123</v>
      </c>
      <c r="G19" s="49"/>
      <c r="H19" s="170">
        <v>40000</v>
      </c>
      <c r="I19" s="170">
        <v>40400</v>
      </c>
      <c r="J19" s="170">
        <v>41006</v>
      </c>
      <c r="K19" s="170">
        <v>41826</v>
      </c>
      <c r="L19" s="20">
        <v>42746</v>
      </c>
      <c r="M19" s="20">
        <v>44071</v>
      </c>
      <c r="N19" s="20">
        <v>44379</v>
      </c>
      <c r="O19" s="20">
        <v>44823</v>
      </c>
      <c r="P19" s="106">
        <v>45047</v>
      </c>
      <c r="Q19" s="106">
        <v>45047</v>
      </c>
      <c r="R19" s="159">
        <v>47620</v>
      </c>
      <c r="S19" s="159">
        <v>47620</v>
      </c>
      <c r="T19" s="106">
        <v>47620</v>
      </c>
      <c r="U19" s="106">
        <v>47620</v>
      </c>
      <c r="V19" s="106">
        <v>47620</v>
      </c>
      <c r="W19" s="106">
        <v>47620</v>
      </c>
      <c r="X19" s="258">
        <v>47820</v>
      </c>
    </row>
    <row r="20" spans="2:24" ht="13" customHeight="1">
      <c r="C20" s="74" t="str">
        <f>VLOOKUP(37,Textbausteine_202[],Hilfsgrössen!$D$2,FALSE)</f>
        <v>Fascia salariale</v>
      </c>
      <c r="D20" s="66" t="str">
        <f>VLOOKUP(12,Textbausteine_202[],Hilfsgrössen!$D$2,FALSE)</f>
        <v>Fattore</v>
      </c>
      <c r="E20" s="11">
        <v>8</v>
      </c>
      <c r="F20" s="11"/>
      <c r="G20" s="49"/>
      <c r="H20" s="170">
        <v>5.0999999999999996</v>
      </c>
      <c r="I20" s="170">
        <v>5.8</v>
      </c>
      <c r="J20" s="170">
        <v>5.9</v>
      </c>
      <c r="K20" s="170">
        <v>6.3</v>
      </c>
      <c r="L20" s="20">
        <v>6.3</v>
      </c>
      <c r="M20" s="20">
        <v>6.1</v>
      </c>
      <c r="N20" s="20">
        <v>6.1</v>
      </c>
      <c r="O20" s="20">
        <v>6.2</v>
      </c>
      <c r="P20" s="106">
        <v>6.2</v>
      </c>
      <c r="Q20" s="106">
        <v>6</v>
      </c>
      <c r="R20" s="106">
        <v>5.8</v>
      </c>
      <c r="S20" s="159">
        <v>7.1</v>
      </c>
      <c r="T20" s="106">
        <v>7.2</v>
      </c>
      <c r="U20" s="106">
        <v>6.7</v>
      </c>
      <c r="V20" s="106">
        <v>7.09</v>
      </c>
      <c r="W20" s="106">
        <v>7</v>
      </c>
      <c r="X20" s="258">
        <v>6.87</v>
      </c>
    </row>
    <row r="21" spans="2:24" ht="13" customHeight="1">
      <c r="E21" s="11"/>
      <c r="F21" s="11"/>
      <c r="G21" s="49"/>
      <c r="T21" s="106"/>
      <c r="U21" s="106"/>
      <c r="V21" s="106"/>
      <c r="W21" s="106"/>
      <c r="X21" s="106"/>
    </row>
    <row r="22" spans="2:24" ht="13" customHeight="1">
      <c r="B22" s="21" t="str">
        <f>VLOOKUP(131,Textbausteine_202[],Hilfsgrössen!$D$2,FALSE)</f>
        <v>1) Indennità per Consiglio di amministrazione = onorario più prestazioni accessorie; indennità per Direzione del gruppo = salario di base più compenso variabile.</v>
      </c>
      <c r="E22" s="11"/>
      <c r="F22" s="11"/>
      <c r="G22" s="49"/>
      <c r="T22" s="106"/>
      <c r="U22" s="106"/>
      <c r="V22" s="106"/>
      <c r="W22" s="106"/>
      <c r="X22" s="106"/>
    </row>
    <row r="23" spans="2:24" ht="13" customHeight="1">
      <c r="B23" s="21" t="str">
        <f>VLOOKUP(132,Textbausteine_202[],Hilfsgrössen!$D$2,FALSE)</f>
        <v>2) Presidente escluso</v>
      </c>
      <c r="E23" s="11"/>
      <c r="F23" s="11"/>
      <c r="G23" s="49"/>
      <c r="T23" s="106"/>
      <c r="U23" s="106"/>
      <c r="V23" s="106"/>
      <c r="W23" s="106"/>
      <c r="X23" s="106"/>
    </row>
    <row r="24" spans="2:24" ht="13" customHeight="1">
      <c r="B24" s="21" t="str">
        <f>VLOOKUP(133,Textbausteine_202[],Hilfsgrössen!$D$2,FALSE)</f>
        <v>3) 2012: Jürg Bucher otto mesi, Susanne Ruoff sette mesi, annualizzato CHF 847'581.</v>
      </c>
      <c r="E24" s="11"/>
      <c r="F24" s="11"/>
      <c r="G24" s="49"/>
      <c r="T24" s="106"/>
      <c r="U24" s="106"/>
      <c r="V24" s="106"/>
      <c r="W24" s="106"/>
      <c r="X24" s="106"/>
    </row>
    <row r="25" spans="2:24" ht="13" customHeight="1">
      <c r="B25" s="21" t="str">
        <f>VLOOKUP(134,Textbausteine_202[],Hilfsgrössen!$D$2,FALSE)</f>
        <v>4) direttore/direttrice escluso/a</v>
      </c>
      <c r="E25" s="11"/>
      <c r="F25" s="11"/>
      <c r="G25" s="49"/>
      <c r="T25" s="106"/>
      <c r="U25" s="106"/>
      <c r="V25" s="106"/>
      <c r="W25" s="106"/>
      <c r="X25" s="106"/>
    </row>
    <row r="26" spans="2:24" ht="13" customHeight="1">
      <c r="B26" s="21" t="str">
        <f>VLOOKUP(135,Textbausteine_202[],Hilfsgrössen!$D$2,FALSE)</f>
        <v>5)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v>
      </c>
      <c r="E26" s="11"/>
      <c r="F26" s="11"/>
      <c r="G26" s="49"/>
      <c r="T26" s="106"/>
      <c r="U26" s="106"/>
      <c r="V26" s="106"/>
      <c r="W26" s="106"/>
      <c r="X26" s="106"/>
    </row>
    <row r="27" spans="2:24" ht="13" customHeight="1">
      <c r="B27" s="21" t="str">
        <f>VLOOKUP(136,Textbausteine_202[],Hilfsgrössen!$D$2,FALSE)</f>
        <v>6) Salario medio senza Direzione del gruppo, Consiglio di amministrazione e personale in formazione.</v>
      </c>
      <c r="E27" s="11"/>
      <c r="F27" s="11"/>
      <c r="G27" s="49"/>
      <c r="T27" s="106"/>
      <c r="U27" s="106"/>
      <c r="V27" s="106"/>
      <c r="W27" s="106"/>
      <c r="X27" s="106"/>
    </row>
    <row r="28" spans="2:24" ht="13" customHeight="1">
      <c r="B28" s="21" t="str">
        <f>VLOOKUP(137,Textbausteine_202[],Hilfsgrössen!$D$2,FALSE)</f>
        <v>7) Salario minimo secondo il Contratto collettivo di lavoro Posta per un collaboratore di 18 anni, senza apprendistato professionale concluso.</v>
      </c>
      <c r="E28" s="11"/>
      <c r="F28" s="11"/>
      <c r="G28" s="49"/>
      <c r="T28" s="106"/>
      <c r="U28" s="106"/>
      <c r="V28" s="106"/>
      <c r="W28" s="106"/>
      <c r="X28" s="106"/>
    </row>
    <row r="29" spans="2:24" ht="13" customHeight="1">
      <c r="B29" s="21" t="str">
        <f>VLOOKUP(138,Textbausteine_202[],Hilfsgrössen!$D$2,FALSE)</f>
        <v>8) Indennità medie dei membri della Direzione del gruppo rispetto al salario medio dei collaboratori.</v>
      </c>
      <c r="E29" s="11"/>
      <c r="F29" s="11"/>
      <c r="G29" s="49"/>
      <c r="T29" s="106"/>
      <c r="U29" s="106"/>
      <c r="V29" s="106"/>
      <c r="W29" s="106"/>
      <c r="X29" s="106"/>
    </row>
    <row r="30" spans="2:24" ht="13" customHeight="1">
      <c r="B30" s="21" t="str">
        <f>VLOOKUP(139,Textbausteine_202[],Hilfsgrössen!$D$2,FALSE)</f>
        <v>9) 2017 e 2018: la decisione (diritto e calcolo dell’importo) circa la componente legata al rendimento della direttrice generale e dell’ex responsabile AutoPostale verrà assunta solo al termine delle indagini sulle violazioni del diritto alle sovvenzioni nell’ambito del traffico regionale viaggiatori.</v>
      </c>
      <c r="E30" s="11"/>
      <c r="F30" s="13"/>
      <c r="G30" s="50"/>
      <c r="T30" s="106"/>
      <c r="U30" s="106"/>
      <c r="V30" s="106"/>
      <c r="W30" s="106"/>
      <c r="X30" s="106"/>
    </row>
    <row r="31" spans="2:24" ht="13" customHeight="1">
      <c r="E31" s="11"/>
      <c r="F31" s="11"/>
      <c r="G31" s="49"/>
      <c r="T31" s="106"/>
      <c r="U31" s="106"/>
      <c r="V31" s="106"/>
      <c r="W31" s="106"/>
      <c r="X31" s="106"/>
    </row>
    <row r="32" spans="2:24" ht="13" customHeight="1">
      <c r="E32" s="11"/>
      <c r="F32" s="11"/>
      <c r="G32" s="49"/>
      <c r="T32" s="106"/>
      <c r="U32" s="106"/>
      <c r="V32" s="106"/>
      <c r="W32" s="106"/>
      <c r="X32" s="106"/>
    </row>
    <row r="33" spans="5:24" ht="13" customHeight="1">
      <c r="E33" s="11"/>
      <c r="F33" s="11"/>
      <c r="G33" s="49"/>
      <c r="T33" s="106"/>
      <c r="U33" s="106"/>
      <c r="V33" s="106"/>
      <c r="W33" s="106"/>
      <c r="X33" s="106"/>
    </row>
    <row r="34" spans="5:24" ht="13" customHeight="1">
      <c r="E34" s="11"/>
      <c r="F34" s="13"/>
      <c r="G34" s="50"/>
      <c r="T34" s="106"/>
      <c r="U34" s="106"/>
      <c r="V34" s="106"/>
      <c r="W34" s="106"/>
      <c r="X34" s="106"/>
    </row>
    <row r="35" spans="5:24" ht="13" customHeight="1">
      <c r="E35" s="13"/>
      <c r="F35" s="13"/>
      <c r="G35" s="50"/>
      <c r="T35" s="106"/>
      <c r="U35" s="106"/>
      <c r="V35" s="106"/>
      <c r="W35" s="106"/>
      <c r="X35" s="106"/>
    </row>
    <row r="36" spans="5:24" ht="13" customHeight="1">
      <c r="E36" s="13"/>
      <c r="F36" s="11"/>
      <c r="G36" s="49"/>
      <c r="T36" s="106"/>
      <c r="U36" s="106"/>
      <c r="V36" s="106"/>
      <c r="W36" s="106"/>
      <c r="X36" s="106"/>
    </row>
    <row r="37" spans="5:24" ht="13" customHeight="1">
      <c r="E37" s="13"/>
      <c r="F37" s="11"/>
      <c r="G37" s="49"/>
      <c r="T37" s="106"/>
      <c r="U37" s="106"/>
      <c r="V37" s="106"/>
      <c r="W37" s="106"/>
      <c r="X37" s="106"/>
    </row>
    <row r="38" spans="5:24" ht="13" customHeight="1">
      <c r="E38" s="11"/>
      <c r="F38" s="13"/>
      <c r="G38" s="50"/>
      <c r="T38" s="106"/>
      <c r="U38" s="106"/>
      <c r="V38" s="106"/>
      <c r="W38" s="106"/>
      <c r="X38" s="106"/>
    </row>
    <row r="39" spans="5:24" ht="13" customHeight="1">
      <c r="E39" s="13"/>
      <c r="F39" s="13"/>
      <c r="G39" s="50"/>
      <c r="T39" s="106"/>
      <c r="U39" s="106"/>
      <c r="V39" s="106"/>
      <c r="W39" s="106"/>
      <c r="X39" s="106"/>
    </row>
    <row r="40" spans="5:24" ht="13" customHeight="1">
      <c r="E40" s="13"/>
      <c r="F40" s="11"/>
      <c r="G40" s="49"/>
      <c r="T40" s="106"/>
      <c r="U40" s="106"/>
      <c r="V40" s="106"/>
      <c r="W40" s="106"/>
      <c r="X40" s="106"/>
    </row>
    <row r="41" spans="5:24" ht="13" customHeight="1">
      <c r="E41" s="13"/>
      <c r="F41" s="11"/>
      <c r="G41" s="49"/>
      <c r="T41" s="106"/>
      <c r="U41" s="106"/>
      <c r="V41" s="106"/>
      <c r="W41" s="106"/>
      <c r="X41" s="106"/>
    </row>
    <row r="42" spans="5:24" ht="13" customHeight="1">
      <c r="E42" s="13"/>
      <c r="F42" s="11"/>
      <c r="G42" s="49"/>
      <c r="T42" s="106"/>
      <c r="U42" s="106"/>
      <c r="V42" s="106"/>
      <c r="W42" s="106"/>
      <c r="X42" s="106"/>
    </row>
    <row r="43" spans="5:24" ht="13" customHeight="1">
      <c r="E43" s="13"/>
      <c r="F43" s="11"/>
      <c r="G43" s="49"/>
      <c r="T43" s="106"/>
      <c r="U43" s="106"/>
      <c r="V43" s="106"/>
      <c r="W43" s="106"/>
      <c r="X43" s="106"/>
    </row>
    <row r="44" spans="5:24" ht="13" customHeight="1">
      <c r="E44" s="11"/>
      <c r="F44" s="11"/>
      <c r="G44" s="49"/>
      <c r="T44" s="106"/>
      <c r="U44" s="106"/>
      <c r="V44" s="106"/>
      <c r="W44" s="106"/>
      <c r="X44" s="106"/>
    </row>
    <row r="45" spans="5:24" ht="13" customHeight="1">
      <c r="E45" s="11"/>
      <c r="F45" s="13"/>
      <c r="G45" s="50"/>
      <c r="T45" s="106"/>
      <c r="U45" s="106"/>
      <c r="V45" s="106"/>
      <c r="W45" s="106"/>
      <c r="X45" s="106"/>
    </row>
    <row r="46" spans="5:24" ht="13" customHeight="1">
      <c r="E46" s="11"/>
      <c r="F46" s="11"/>
      <c r="G46" s="49"/>
      <c r="T46" s="106"/>
      <c r="U46" s="106"/>
      <c r="V46" s="106"/>
      <c r="W46" s="106"/>
      <c r="X46" s="106"/>
    </row>
    <row r="47" spans="5:24" ht="13" customHeight="1">
      <c r="E47" s="11"/>
      <c r="F47" s="11"/>
      <c r="G47" s="49"/>
      <c r="T47" s="106"/>
      <c r="U47" s="106"/>
      <c r="V47" s="106"/>
      <c r="W47" s="106"/>
      <c r="X47" s="106"/>
    </row>
    <row r="48" spans="5:24" ht="13" customHeight="1">
      <c r="E48" s="11"/>
      <c r="F48" s="13"/>
      <c r="G48" s="50"/>
      <c r="T48" s="106"/>
      <c r="U48" s="106"/>
      <c r="V48" s="106"/>
      <c r="W48" s="106"/>
      <c r="X48" s="106"/>
    </row>
    <row r="49" spans="5:24" ht="13" customHeight="1">
      <c r="E49" s="11"/>
      <c r="F49" s="11"/>
      <c r="G49" s="49"/>
      <c r="T49" s="106"/>
      <c r="U49" s="106"/>
      <c r="V49" s="106"/>
      <c r="W49" s="106"/>
      <c r="X49" s="106"/>
    </row>
    <row r="50" spans="5:24" ht="13" customHeight="1">
      <c r="E50" s="11"/>
      <c r="F50" s="11"/>
      <c r="G50" s="49"/>
      <c r="T50" s="106"/>
      <c r="U50" s="106"/>
      <c r="V50" s="106"/>
      <c r="W50" s="106"/>
      <c r="X50" s="106"/>
    </row>
    <row r="51" spans="5:24" ht="13" customHeight="1">
      <c r="E51" s="11"/>
      <c r="F51" s="11"/>
      <c r="G51" s="49"/>
      <c r="T51" s="106"/>
      <c r="U51" s="106"/>
      <c r="V51" s="106"/>
      <c r="W51" s="106"/>
      <c r="X51" s="106"/>
    </row>
    <row r="52" spans="5:24" ht="13" customHeight="1">
      <c r="E52" s="11"/>
      <c r="F52" s="11"/>
      <c r="G52" s="49"/>
      <c r="T52" s="106"/>
      <c r="U52" s="106"/>
      <c r="V52" s="106"/>
      <c r="W52" s="106"/>
      <c r="X52" s="106"/>
    </row>
    <row r="53" spans="5:24" ht="13" customHeight="1">
      <c r="E53" s="11"/>
      <c r="F53" s="11"/>
      <c r="G53" s="49"/>
      <c r="T53" s="106"/>
      <c r="U53" s="106"/>
      <c r="V53" s="106"/>
      <c r="W53" s="106"/>
      <c r="X53" s="106"/>
    </row>
    <row r="54" spans="5:24" ht="13" customHeight="1">
      <c r="E54" s="11"/>
      <c r="F54" s="11"/>
      <c r="G54" s="49"/>
      <c r="T54" s="106"/>
      <c r="U54" s="106"/>
      <c r="V54" s="106"/>
      <c r="W54" s="106"/>
      <c r="X54" s="106"/>
    </row>
    <row r="55" spans="5:24" ht="13" customHeight="1">
      <c r="E55" s="11"/>
      <c r="F55" s="11"/>
      <c r="G55" s="49"/>
      <c r="T55" s="106"/>
      <c r="U55" s="106"/>
      <c r="V55" s="106"/>
      <c r="W55" s="106"/>
      <c r="X55" s="106"/>
    </row>
    <row r="56" spans="5:24" ht="13" customHeight="1">
      <c r="E56" s="11"/>
      <c r="F56" s="11"/>
      <c r="G56" s="49"/>
      <c r="T56" s="106"/>
      <c r="U56" s="106"/>
      <c r="V56" s="106"/>
      <c r="W56" s="106"/>
      <c r="X56" s="106"/>
    </row>
    <row r="57" spans="5:24" ht="13" customHeight="1">
      <c r="E57" s="11"/>
      <c r="F57" s="11"/>
      <c r="G57" s="49"/>
      <c r="T57" s="106"/>
      <c r="U57" s="106"/>
      <c r="V57" s="106"/>
      <c r="W57" s="106"/>
      <c r="X57" s="106"/>
    </row>
    <row r="58" spans="5:24" ht="13" customHeight="1">
      <c r="E58" s="13"/>
      <c r="F58" s="11"/>
      <c r="G58" s="49"/>
      <c r="T58" s="106"/>
      <c r="U58" s="106"/>
      <c r="V58" s="106"/>
      <c r="W58" s="106"/>
      <c r="X58" s="106"/>
    </row>
    <row r="59" spans="5:24" ht="13" customHeight="1">
      <c r="E59" s="13"/>
      <c r="F59" s="11"/>
      <c r="G59" s="49"/>
      <c r="T59" s="106"/>
      <c r="U59" s="106"/>
      <c r="V59" s="106"/>
      <c r="W59" s="106"/>
      <c r="X59" s="106"/>
    </row>
    <row r="60" spans="5:24" ht="13" customHeight="1">
      <c r="E60" s="13"/>
      <c r="F60" s="11"/>
      <c r="G60" s="49"/>
      <c r="T60" s="106"/>
      <c r="U60" s="106"/>
      <c r="V60" s="106"/>
      <c r="W60" s="106"/>
      <c r="X60" s="106"/>
    </row>
    <row r="61" spans="5:24" ht="13" customHeight="1">
      <c r="E61" s="11"/>
      <c r="F61" s="11"/>
      <c r="G61" s="49"/>
      <c r="T61" s="106"/>
      <c r="U61" s="106"/>
      <c r="V61" s="106"/>
      <c r="W61" s="106"/>
      <c r="X61" s="106"/>
    </row>
    <row r="62" spans="5:24" ht="13" customHeight="1">
      <c r="E62" s="11"/>
      <c r="F62" s="11"/>
      <c r="G62" s="49"/>
      <c r="T62" s="106"/>
      <c r="U62" s="106"/>
      <c r="V62" s="106"/>
      <c r="W62" s="106"/>
      <c r="X62" s="106"/>
    </row>
    <row r="63" spans="5:24" ht="13" customHeight="1">
      <c r="E63" s="41"/>
      <c r="F63" s="41"/>
      <c r="G63" s="51"/>
      <c r="T63" s="106"/>
      <c r="U63" s="106"/>
      <c r="V63" s="106"/>
      <c r="W63" s="106"/>
      <c r="X63" s="106"/>
    </row>
    <row r="64" spans="5:24" ht="13" customHeight="1">
      <c r="E64" s="41"/>
      <c r="F64" s="41"/>
      <c r="G64" s="51"/>
      <c r="T64" s="106"/>
      <c r="U64" s="106"/>
      <c r="V64" s="106"/>
      <c r="W64" s="106"/>
      <c r="X64" s="106"/>
    </row>
    <row r="65" spans="5:24" ht="13" customHeight="1">
      <c r="E65" s="41"/>
      <c r="F65" s="41"/>
      <c r="G65" s="51"/>
      <c r="T65" s="106"/>
      <c r="U65" s="106"/>
      <c r="V65" s="106"/>
      <c r="W65" s="106"/>
      <c r="X65" s="106"/>
    </row>
    <row r="66" spans="5:24" ht="13" customHeight="1">
      <c r="E66" s="42"/>
      <c r="F66" s="42"/>
      <c r="G66" s="52"/>
    </row>
    <row r="67" spans="5:24" ht="13" customHeight="1">
      <c r="E67" s="42"/>
      <c r="F67" s="42"/>
      <c r="G67" s="52"/>
    </row>
    <row r="68" spans="5:24" ht="13" customHeight="1">
      <c r="E68" s="43"/>
      <c r="F68" s="43"/>
      <c r="G68" s="53"/>
    </row>
    <row r="72" spans="5:24" ht="13" customHeight="1">
      <c r="E72" s="40"/>
      <c r="F72" s="40"/>
      <c r="G72" s="48"/>
    </row>
    <row r="73" spans="5:24" ht="13" customHeight="1">
      <c r="E73" s="40"/>
      <c r="F73" s="40"/>
      <c r="G73" s="48"/>
    </row>
    <row r="74" spans="5:24" ht="13" customHeight="1">
      <c r="E74" s="13"/>
      <c r="F74" s="11"/>
      <c r="G74" s="49"/>
      <c r="T74" s="118"/>
      <c r="U74" s="118"/>
      <c r="V74" s="118"/>
      <c r="W74" s="118"/>
      <c r="X74" s="118"/>
    </row>
    <row r="75" spans="5:24" ht="13" customHeight="1">
      <c r="E75" s="39"/>
      <c r="F75" s="39"/>
      <c r="G75" s="46"/>
      <c r="T75" s="118"/>
      <c r="U75" s="118"/>
      <c r="V75" s="118"/>
      <c r="W75" s="118"/>
      <c r="X75" s="118"/>
    </row>
    <row r="76" spans="5:24" ht="13" customHeight="1">
      <c r="E76" s="13"/>
      <c r="F76" s="11"/>
      <c r="G76" s="49"/>
    </row>
    <row r="77" spans="5:24" ht="13" customHeight="1">
      <c r="E77" s="13"/>
      <c r="F77" s="11"/>
      <c r="G77" s="49"/>
      <c r="T77" s="106"/>
      <c r="U77" s="106"/>
      <c r="V77" s="106"/>
      <c r="W77" s="106"/>
      <c r="X77" s="106"/>
    </row>
    <row r="78" spans="5:24" ht="13" customHeight="1">
      <c r="E78" s="13"/>
      <c r="F78" s="11"/>
      <c r="G78" s="49"/>
      <c r="T78" s="106"/>
      <c r="U78" s="106"/>
      <c r="V78" s="106"/>
      <c r="W78" s="106"/>
      <c r="X78" s="106"/>
    </row>
    <row r="79" spans="5:24" ht="13" customHeight="1">
      <c r="E79" s="13"/>
      <c r="F79" s="11"/>
      <c r="G79" s="49"/>
      <c r="T79" s="106"/>
      <c r="U79" s="106"/>
      <c r="V79" s="106"/>
      <c r="W79" s="106"/>
      <c r="X79" s="106"/>
    </row>
    <row r="80" spans="5:24" ht="13" customHeight="1">
      <c r="E80" s="44"/>
      <c r="F80" s="44"/>
      <c r="G80" s="54"/>
      <c r="T80" s="106"/>
      <c r="U80" s="106"/>
      <c r="V80" s="106"/>
      <c r="W80" s="106"/>
      <c r="X80" s="106"/>
    </row>
    <row r="81" spans="5:24" ht="13" customHeight="1">
      <c r="E81" s="44"/>
      <c r="F81" s="44"/>
      <c r="G81" s="54"/>
      <c r="T81" s="106"/>
      <c r="U81" s="106"/>
      <c r="V81" s="106"/>
      <c r="W81" s="106"/>
      <c r="X81" s="106"/>
    </row>
    <row r="82" spans="5:24" ht="13" customHeight="1">
      <c r="E82" s="44"/>
      <c r="F82" s="44"/>
      <c r="G82" s="54"/>
      <c r="T82" s="106"/>
      <c r="U82" s="106"/>
      <c r="V82" s="106"/>
      <c r="W82" s="106"/>
      <c r="X82" s="106"/>
    </row>
    <row r="83" spans="5:24" ht="13" customHeight="1">
      <c r="T83" s="106"/>
      <c r="U83" s="106"/>
      <c r="V83" s="106"/>
      <c r="W83" s="106"/>
      <c r="X83" s="106"/>
    </row>
    <row r="84" spans="5:24" ht="13" customHeight="1">
      <c r="T84" s="106"/>
      <c r="U84" s="106"/>
      <c r="V84" s="106"/>
      <c r="W84" s="106"/>
      <c r="X84" s="106"/>
    </row>
    <row r="85" spans="5:24" ht="13" customHeight="1">
      <c r="T85" s="118"/>
      <c r="U85" s="118"/>
      <c r="V85" s="118"/>
      <c r="W85" s="118"/>
      <c r="X85" s="118"/>
    </row>
    <row r="86" spans="5:24" ht="13" customHeight="1">
      <c r="T86" s="118"/>
      <c r="U86" s="118"/>
      <c r="V86" s="118"/>
      <c r="W86" s="118"/>
      <c r="X86" s="118"/>
    </row>
    <row r="90" spans="5:24" ht="13" customHeight="1">
      <c r="T90" s="106"/>
      <c r="U90" s="106"/>
      <c r="V90" s="106"/>
      <c r="W90" s="106"/>
      <c r="X90" s="106"/>
    </row>
    <row r="91" spans="5:24" ht="13" customHeight="1">
      <c r="T91" s="106"/>
      <c r="U91" s="106"/>
      <c r="V91" s="106"/>
      <c r="W91" s="106"/>
      <c r="X91" s="106"/>
    </row>
    <row r="92" spans="5:24" ht="13" customHeight="1">
      <c r="T92" s="106"/>
      <c r="U92" s="106"/>
      <c r="V92" s="106"/>
      <c r="W92" s="106"/>
      <c r="X92" s="106"/>
    </row>
    <row r="93" spans="5:24" ht="13" customHeight="1">
      <c r="T93" s="106"/>
      <c r="U93" s="106"/>
      <c r="V93" s="106"/>
      <c r="W93" s="106"/>
      <c r="X93" s="106"/>
    </row>
    <row r="94" spans="5:24" ht="13" customHeight="1">
      <c r="T94" s="106"/>
      <c r="U94" s="106"/>
      <c r="V94" s="106"/>
      <c r="W94" s="106"/>
      <c r="X94" s="106"/>
    </row>
    <row r="95" spans="5:24" ht="13" customHeight="1">
      <c r="T95" s="106"/>
      <c r="U95" s="106"/>
      <c r="V95" s="106"/>
      <c r="W95" s="106"/>
      <c r="X95" s="106"/>
    </row>
    <row r="96" spans="5:24" ht="13" customHeight="1">
      <c r="T96" s="106"/>
      <c r="U96" s="106"/>
      <c r="V96" s="106"/>
      <c r="W96" s="106"/>
      <c r="X96" s="106"/>
    </row>
    <row r="97" spans="20:24" ht="13" customHeight="1">
      <c r="T97" s="106"/>
      <c r="U97" s="106"/>
      <c r="V97" s="106"/>
      <c r="W97" s="106"/>
      <c r="X97" s="106"/>
    </row>
    <row r="98" spans="20:24" ht="13" customHeight="1">
      <c r="T98" s="106"/>
      <c r="U98" s="106"/>
      <c r="V98" s="106"/>
      <c r="W98" s="106"/>
      <c r="X98" s="106"/>
    </row>
    <row r="99" spans="20:24" ht="13" customHeight="1">
      <c r="T99" s="106"/>
      <c r="U99" s="106"/>
      <c r="V99" s="106"/>
      <c r="W99" s="106"/>
      <c r="X99" s="106"/>
    </row>
    <row r="100" spans="20:24" ht="13" customHeight="1">
      <c r="T100" s="106"/>
      <c r="U100" s="106"/>
      <c r="V100" s="106"/>
      <c r="W100" s="106"/>
      <c r="X100" s="106"/>
    </row>
    <row r="101" spans="20:24" ht="13" customHeight="1">
      <c r="T101" s="106"/>
      <c r="U101" s="106"/>
      <c r="V101" s="106"/>
      <c r="W101" s="106"/>
      <c r="X101" s="106"/>
    </row>
    <row r="102" spans="20:24" ht="13" customHeight="1">
      <c r="T102" s="106"/>
      <c r="U102" s="106"/>
      <c r="V102" s="106"/>
      <c r="W102" s="106"/>
      <c r="X102" s="106"/>
    </row>
    <row r="103" spans="20:24" ht="13" customHeight="1">
      <c r="T103" s="106"/>
      <c r="U103" s="106"/>
      <c r="V103" s="106"/>
      <c r="W103" s="106"/>
      <c r="X103" s="106"/>
    </row>
    <row r="104" spans="20:24" ht="13" customHeight="1">
      <c r="T104" s="106"/>
      <c r="U104" s="106"/>
      <c r="V104" s="106"/>
      <c r="W104" s="106"/>
      <c r="X104" s="106"/>
    </row>
    <row r="105" spans="20:24" ht="13" customHeight="1">
      <c r="T105" s="106"/>
      <c r="U105" s="106"/>
      <c r="V105" s="106"/>
      <c r="W105" s="106"/>
      <c r="X105" s="106"/>
    </row>
    <row r="106" spans="20:24" ht="13" customHeight="1">
      <c r="T106" s="106"/>
      <c r="U106" s="106"/>
      <c r="V106" s="106"/>
      <c r="W106" s="106"/>
      <c r="X106" s="106"/>
    </row>
    <row r="107" spans="20:24" ht="13" customHeight="1">
      <c r="T107" s="106"/>
      <c r="U107" s="106"/>
      <c r="V107" s="106"/>
      <c r="W107" s="106"/>
      <c r="X107" s="106"/>
    </row>
    <row r="114" spans="20:24" ht="13" customHeight="1">
      <c r="T114" s="118"/>
      <c r="U114" s="118"/>
      <c r="V114" s="118"/>
      <c r="W114" s="118"/>
      <c r="X114" s="118"/>
    </row>
    <row r="115" spans="20:24" ht="13" customHeight="1">
      <c r="T115" s="118"/>
      <c r="U115" s="118"/>
      <c r="V115" s="118"/>
      <c r="W115" s="118"/>
      <c r="X115" s="118"/>
    </row>
    <row r="119" spans="20:24" ht="13" customHeight="1">
      <c r="T119" s="139"/>
      <c r="U119" s="139"/>
      <c r="V119" s="139"/>
      <c r="W119" s="139"/>
      <c r="X119" s="139"/>
    </row>
    <row r="120" spans="20:24" ht="13" customHeight="1">
      <c r="T120" s="139"/>
      <c r="U120" s="139"/>
      <c r="V120" s="139"/>
      <c r="W120" s="139"/>
      <c r="X120" s="139"/>
    </row>
    <row r="121" spans="20:24" ht="13" customHeight="1">
      <c r="T121" s="139"/>
      <c r="U121" s="139"/>
      <c r="V121" s="139"/>
      <c r="W121" s="139"/>
      <c r="X121" s="139"/>
    </row>
    <row r="122" spans="20:24" ht="13" customHeight="1">
      <c r="T122" s="139"/>
      <c r="U122" s="139"/>
      <c r="V122" s="139"/>
      <c r="W122" s="139"/>
      <c r="X122" s="139"/>
    </row>
    <row r="123" spans="20:24" ht="13" customHeight="1">
      <c r="T123" s="139"/>
      <c r="U123" s="139"/>
      <c r="V123" s="139"/>
      <c r="W123" s="139"/>
      <c r="X123" s="139"/>
    </row>
    <row r="124" spans="20:24" ht="13" customHeight="1">
      <c r="T124" s="139"/>
      <c r="U124" s="139"/>
      <c r="V124" s="139"/>
      <c r="W124" s="139"/>
      <c r="X124" s="139"/>
    </row>
    <row r="125" spans="20:24" ht="13" customHeight="1">
      <c r="T125" s="139"/>
      <c r="U125" s="139"/>
      <c r="V125" s="139"/>
      <c r="W125" s="139"/>
      <c r="X125" s="139"/>
    </row>
    <row r="126" spans="20:24" ht="13" customHeight="1">
      <c r="T126" s="139"/>
      <c r="U126" s="139"/>
      <c r="V126" s="139"/>
      <c r="W126" s="139"/>
      <c r="X126" s="139"/>
    </row>
  </sheetData>
  <sheetProtection algorithmName="SHA-512" hashValue="DPNwrZybHh+zwgIOWvbpcKUQGdAQxcbZhHbB3FFBowlFZTw9d/6mJSqoDYkWsXh8WBnRsY7Q7+lZC+QETWkL3g==" saltValue="1favg9uWpaOkvJhl2c4V0g==" spinCount="100000" sheet="1" objects="1" scenarios="1"/>
  <mergeCells count="4">
    <mergeCell ref="B2:C2"/>
    <mergeCell ref="B3:C3"/>
    <mergeCell ref="B10:C11"/>
    <mergeCell ref="D2:E2"/>
  </mergeCells>
  <conditionalFormatting sqref="H10:CD10000">
    <cfRule type="expression" dxfId="135" priority="1">
      <formula>AND($D10&lt;&gt;"",H$10&lt;&gt;"",H10="")</formula>
    </cfRule>
    <cfRule type="expression" dxfId="134" priority="4">
      <formula>AND($A10="",ABS(H10)=0)</formula>
    </cfRule>
    <cfRule type="expression" dxfId="133" priority="6">
      <formula>AND($A10="",ABS(H10)&lt;10)</formula>
    </cfRule>
    <cfRule type="expression" dxfId="132" priority="7">
      <formula>AND($A10="",ABS(H10)&lt;100)</formula>
    </cfRule>
    <cfRule type="expression" dxfId="131" priority="8">
      <formula>AND($A10="",ABS(H10)&gt;=100)</formula>
    </cfRule>
  </conditionalFormatting>
  <dataValidations count="2">
    <dataValidation type="list" allowBlank="1" showInputMessage="1" showErrorMessage="1" sqref="G2" xr:uid="{00000000-0002-0000-0300-000000000000}">
      <formula1>Sprache</formula1>
    </dataValidation>
    <dataValidation allowBlank="1" showInputMessage="1" showErrorMessage="1" sqref="F2" xr:uid="{00000000-0002-0000-0300-000001000000}"/>
  </dataValidations>
  <hyperlinks>
    <hyperlink ref="C7" location="GRI_202_1" display="202-1 – Ratios of standard entry level wage by gender compared to local minimum wage " xr:uid="{00000000-0004-0000-0300-000000000000}"/>
    <hyperlink ref="A10" location="GRI_202" display="Ó" xr:uid="{00000000-0004-0000-0300-000001000000}"/>
    <hyperlink ref="D2" location="Home" display="Home" xr:uid="{00000000-0004-0000-0300-000002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rgb="FF523178"/>
  </sheetPr>
  <dimension ref="A2:CD251"/>
  <sheetViews>
    <sheetView showGridLines="0" showRowColHeaders="0" zoomScale="90" zoomScaleNormal="90" workbookViewId="0">
      <pane xSplit="7" topLeftCell="M1" activePane="topRight" state="frozen"/>
      <selection activeCell="B3" sqref="B3:C3"/>
      <selection pane="topRight"/>
    </sheetView>
  </sheetViews>
  <sheetFormatPr baseColWidth="10" defaultColWidth="10.796875" defaultRowHeight="13" customHeight="1"/>
  <cols>
    <col min="1" max="1" width="2.3984375" style="90" customWidth="1"/>
    <col min="2" max="2" width="2.3984375" style="1" customWidth="1"/>
    <col min="3" max="3" width="73.19921875" style="1" customWidth="1"/>
    <col min="4" max="4" width="23.59765625" style="1" customWidth="1"/>
    <col min="5" max="5" width="10.3984375" style="37" customWidth="1"/>
    <col min="6" max="6" width="14.19921875" style="37" customWidth="1"/>
    <col min="7" max="7" width="2.3984375" style="47" customWidth="1"/>
    <col min="8" max="19" width="11.796875" style="99" customWidth="1"/>
    <col min="20" max="24" width="11.796875" style="20" customWidth="1"/>
    <col min="25" max="82" width="11.796875" style="37" customWidth="1"/>
    <col min="83" max="16384" width="10.796875" style="1"/>
  </cols>
  <sheetData>
    <row r="2" spans="1:82" s="152" customFormat="1" ht="26" customHeight="1">
      <c r="A2" s="87"/>
      <c r="B2" s="493" t="str">
        <f>UPPER(RIGHT(Inhaltsverzeichnis!$C$14,LEN(Inhaltsverzeichnis!$C$14)-FIND(" – ",Inhaltsverzeichnis!$C$14,1)-2))</f>
        <v>IMPATTI ECONOMICI INDIRETTI</v>
      </c>
      <c r="C2" s="493"/>
      <c r="D2" s="489" t="str">
        <f>VLOOKUP(35,Textbausteine_Menu[],Hilfsgrössen!$D$2,FALSE)</f>
        <v>torna alla tabella dei contenuti</v>
      </c>
      <c r="E2" s="490"/>
      <c r="F2" s="144" t="s">
        <v>0</v>
      </c>
      <c r="G2" s="168"/>
      <c r="H2" s="156"/>
      <c r="I2" s="156"/>
      <c r="J2" s="156"/>
      <c r="K2" s="156"/>
      <c r="L2" s="156"/>
      <c r="M2" s="156"/>
      <c r="N2" s="156"/>
      <c r="O2" s="156"/>
      <c r="P2" s="156"/>
      <c r="Q2" s="156"/>
      <c r="R2" s="156"/>
      <c r="S2" s="156"/>
      <c r="T2" s="115"/>
      <c r="U2" s="115"/>
      <c r="V2" s="115"/>
      <c r="W2" s="115"/>
      <c r="X2" s="115"/>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row>
    <row r="3" spans="1:82" s="153" customFormat="1" ht="26" customHeight="1">
      <c r="A3" s="88"/>
      <c r="B3" s="494" t="str">
        <f>UPPER("GRI "&amp;LEFT(Inhaltsverzeichnis!$C$14,3))</f>
        <v>GRI 203</v>
      </c>
      <c r="C3" s="494"/>
      <c r="D3" s="481"/>
      <c r="E3" s="38"/>
      <c r="F3" s="38"/>
      <c r="G3" s="45"/>
      <c r="H3" s="93"/>
      <c r="I3" s="93"/>
      <c r="J3" s="93"/>
      <c r="K3" s="93"/>
      <c r="L3" s="93"/>
      <c r="M3" s="93"/>
      <c r="N3" s="93"/>
      <c r="O3" s="93"/>
      <c r="P3" s="93"/>
      <c r="Q3" s="93"/>
      <c r="R3" s="93"/>
      <c r="S3" s="93"/>
      <c r="T3" s="115"/>
      <c r="U3" s="115"/>
      <c r="V3" s="115"/>
      <c r="W3" s="115"/>
      <c r="X3" s="115"/>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row>
    <row r="6" spans="1:82" s="31" customFormat="1" ht="13" customHeight="1">
      <c r="A6" s="89"/>
      <c r="B6" s="31" t="str">
        <f>VLOOKUP(31,Textbausteine_Menu[],Hilfsgrössen!$D$2,FALSE)</f>
        <v>Divulgazioni</v>
      </c>
      <c r="E6" s="39"/>
      <c r="F6" s="39"/>
      <c r="G6" s="46"/>
      <c r="H6" s="95"/>
      <c r="I6" s="95"/>
      <c r="J6" s="95"/>
      <c r="K6" s="95"/>
      <c r="L6" s="95"/>
      <c r="M6" s="95"/>
      <c r="N6" s="95"/>
      <c r="O6" s="95"/>
      <c r="P6" s="95"/>
      <c r="Q6" s="95"/>
      <c r="R6" s="95"/>
      <c r="S6" s="95"/>
      <c r="T6" s="20"/>
      <c r="U6" s="20"/>
      <c r="V6" s="20"/>
      <c r="W6" s="20"/>
      <c r="X6" s="20"/>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row>
    <row r="7" spans="1:82" ht="13" customHeight="1">
      <c r="B7" s="2"/>
      <c r="C7" s="3" t="str">
        <f>VLOOKUP(1,Textbausteine_203[],Hilfsgrössen!$D$2,FALSE)</f>
        <v>Beneficenza e sponsoring</v>
      </c>
      <c r="D7" s="4"/>
    </row>
    <row r="8" spans="1:82" ht="13" customHeight="1">
      <c r="B8" s="2"/>
      <c r="C8" s="3" t="str">
        <f>VLOOKUP(2,Textbausteine_203[],Hilfsgrössen!$D$2,FALSE)</f>
        <v>Punti di accesso</v>
      </c>
      <c r="D8" s="4"/>
    </row>
    <row r="9" spans="1:82" ht="13" customHeight="1">
      <c r="B9" s="2"/>
      <c r="C9" s="3" t="str">
        <f>VLOOKUP(3,Textbausteine_203[],Hilfsgrössen!$D$2,FALSE)</f>
        <v>Posti di lavoro nelle regioni</v>
      </c>
      <c r="D9" s="4"/>
    </row>
    <row r="10" spans="1:82" ht="13" customHeight="1">
      <c r="B10" s="2"/>
      <c r="C10" s="3" t="str">
        <f>VLOOKUP(4,Textbausteine_203[],Hilfsgrössen!$D$2,FALSE)</f>
        <v>Confronto dei prezzi dei servizi postali</v>
      </c>
      <c r="D10" s="4"/>
    </row>
    <row r="11" spans="1:82" ht="13" customHeight="1">
      <c r="B11" s="2"/>
      <c r="C11" s="3" t="str">
        <f>VLOOKUP(5,Textbausteine_203[],Hilfsgrössen!$D$2,FALSE)</f>
        <v>Tempi di consegna per i servizi postali</v>
      </c>
      <c r="D11" s="4"/>
    </row>
    <row r="12" spans="1:82" ht="13" customHeight="1">
      <c r="B12" s="2"/>
      <c r="C12" s="3" t="str">
        <f>VLOOKUP(6,Textbausteine_203[],Hilfsgrössen!$D$2,FALSE)</f>
        <v>Tempi di attesa nelle filiali</v>
      </c>
      <c r="D12" s="4"/>
    </row>
    <row r="13" spans="1:82" ht="13" customHeight="1">
      <c r="B13" s="2"/>
      <c r="C13" s="3" t="str">
        <f>VLOOKUP(7,Textbausteine_203[],Hilfsgrössen!$D$2,FALSE)</f>
        <v>Tempi di trattamento dei servizi finanziari</v>
      </c>
      <c r="D13" s="4"/>
    </row>
    <row r="14" spans="1:82" ht="13" customHeight="1">
      <c r="B14" s="2"/>
    </row>
    <row r="15" spans="1:82" ht="13" customHeight="1">
      <c r="B15" s="2"/>
    </row>
    <row r="16" spans="1:82" s="31" customFormat="1" ht="13" customHeight="1">
      <c r="A16" s="56" t="s">
        <v>27</v>
      </c>
      <c r="B16" s="495" t="str">
        <f>$C$7</f>
        <v>Beneficenza e sponsoring</v>
      </c>
      <c r="C16" s="495"/>
      <c r="D16" s="6" t="str">
        <f>VLOOKUP(32,Textbausteine_Menu[],Hilfsgrössen!$D$2,FALSE)</f>
        <v>Unità</v>
      </c>
      <c r="E16" s="39" t="str">
        <f>VLOOKUP(33,Textbausteine_Menu[],Hilfsgrössen!$D$2,FALSE)</f>
        <v>Note</v>
      </c>
      <c r="F16" s="39" t="str">
        <f>VLOOKUP(34,Textbausteine_Menu[],Hilfsgrössen!$D$2,FALSE)</f>
        <v>GRI</v>
      </c>
      <c r="G16" s="47"/>
      <c r="H16" s="116">
        <v>2004</v>
      </c>
      <c r="I16" s="116">
        <v>2005</v>
      </c>
      <c r="J16" s="116">
        <v>2006</v>
      </c>
      <c r="K16" s="116">
        <v>2007</v>
      </c>
      <c r="L16" s="116">
        <v>2008</v>
      </c>
      <c r="M16" s="116">
        <v>2009</v>
      </c>
      <c r="N16" s="116">
        <v>2010</v>
      </c>
      <c r="O16" s="116">
        <v>2011</v>
      </c>
      <c r="P16" s="116">
        <v>2012</v>
      </c>
      <c r="Q16" s="116">
        <v>2013</v>
      </c>
      <c r="R16" s="116">
        <v>2014</v>
      </c>
      <c r="S16" s="116">
        <v>2015</v>
      </c>
      <c r="T16" s="116">
        <v>2016</v>
      </c>
      <c r="U16" s="116">
        <v>2017</v>
      </c>
      <c r="V16" s="116">
        <v>2018</v>
      </c>
      <c r="W16" s="116">
        <v>2019</v>
      </c>
      <c r="X16" s="255">
        <v>2020</v>
      </c>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row>
    <row r="17" spans="1:82" s="31" customFormat="1" ht="13" customHeight="1">
      <c r="A17" s="89"/>
      <c r="B17" s="495"/>
      <c r="C17" s="495"/>
      <c r="D17" s="6"/>
      <c r="E17" s="40"/>
      <c r="F17" s="40"/>
      <c r="G17" s="47"/>
      <c r="H17" s="116"/>
      <c r="I17" s="116"/>
      <c r="J17" s="116"/>
      <c r="K17" s="116"/>
      <c r="L17" s="105"/>
      <c r="M17" s="105"/>
      <c r="N17" s="106"/>
      <c r="O17" s="106"/>
      <c r="P17" s="106"/>
      <c r="Q17" s="106"/>
      <c r="R17" s="106"/>
      <c r="S17" s="106"/>
      <c r="T17" s="20"/>
      <c r="U17" s="20"/>
      <c r="V17" s="20"/>
      <c r="W17" s="20"/>
      <c r="X17" s="256"/>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row>
    <row r="18" spans="1:82" ht="13" customHeight="1">
      <c r="B18" s="8"/>
      <c r="C18" s="9"/>
      <c r="D18" s="9"/>
      <c r="E18" s="40"/>
      <c r="F18" s="40"/>
      <c r="G18" s="48"/>
      <c r="H18" s="116"/>
      <c r="I18" s="116"/>
      <c r="J18" s="116"/>
      <c r="K18" s="116"/>
      <c r="L18" s="105"/>
      <c r="M18" s="105"/>
      <c r="N18" s="106"/>
      <c r="O18" s="106"/>
      <c r="P18" s="106"/>
      <c r="Q18" s="106"/>
      <c r="R18" s="106"/>
      <c r="S18" s="106"/>
      <c r="X18" s="256"/>
    </row>
    <row r="19" spans="1:82" ht="13" customHeight="1">
      <c r="B19" s="8" t="str">
        <f>VLOOKUP(36,Textbausteine_Menu[],Hilfsgrössen!$D$2,FALSE)</f>
        <v>Gruppo</v>
      </c>
      <c r="C19" s="8"/>
      <c r="D19" s="66"/>
      <c r="E19" s="12"/>
      <c r="F19" s="11"/>
      <c r="G19" s="48"/>
      <c r="H19" s="106"/>
      <c r="I19" s="106"/>
      <c r="J19" s="106"/>
      <c r="K19" s="106"/>
      <c r="L19" s="106"/>
      <c r="M19" s="106"/>
      <c r="N19" s="106"/>
      <c r="O19" s="106"/>
      <c r="P19" s="106"/>
      <c r="Q19" s="106"/>
      <c r="R19" s="106"/>
      <c r="S19" s="106"/>
      <c r="X19" s="256"/>
    </row>
    <row r="20" spans="1:82" ht="13" customHeight="1">
      <c r="C20" s="18" t="str">
        <f>VLOOKUP(31,Textbausteine_203[],Hilfsgrössen!$D$2,FALSE)</f>
        <v>Contributi</v>
      </c>
      <c r="D20" s="9" t="str">
        <f>VLOOKUP(11,Textbausteine_203[],Hilfsgrössen!$D$2,FALSE)</f>
        <v>mln di CHF</v>
      </c>
      <c r="E20" s="11"/>
      <c r="F20" s="11" t="s">
        <v>124</v>
      </c>
      <c r="G20" s="49"/>
      <c r="H20" s="381">
        <v>16.690000000000001</v>
      </c>
      <c r="I20" s="381">
        <v>17.849999999999998</v>
      </c>
      <c r="J20" s="381">
        <v>16.68</v>
      </c>
      <c r="K20" s="381">
        <v>17.830000000000002</v>
      </c>
      <c r="L20" s="385">
        <v>20.14</v>
      </c>
      <c r="M20" s="385">
        <v>20.7</v>
      </c>
      <c r="N20" s="385">
        <v>19</v>
      </c>
      <c r="O20" s="385">
        <v>20.700000000000003</v>
      </c>
      <c r="P20" s="364">
        <v>20.100000000000001</v>
      </c>
      <c r="Q20" s="364">
        <v>20.5</v>
      </c>
      <c r="R20" s="380">
        <v>19.7</v>
      </c>
      <c r="S20" s="380">
        <v>19.8</v>
      </c>
      <c r="T20" s="385">
        <v>19.7</v>
      </c>
      <c r="U20" s="385">
        <v>16.748999999999999</v>
      </c>
      <c r="V20" s="385">
        <v>12.9</v>
      </c>
      <c r="W20" s="385">
        <v>12.9</v>
      </c>
      <c r="X20" s="419">
        <v>11.6</v>
      </c>
    </row>
    <row r="21" spans="1:82" ht="13" customHeight="1">
      <c r="C21" s="76" t="str">
        <f>VLOOKUP(32,Textbausteine_203[],Hilfsgrössen!$D$2,FALSE)</f>
        <v>Economia</v>
      </c>
      <c r="D21" s="66" t="str">
        <f>VLOOKUP(11,Textbausteine_203[],Hilfsgrössen!$D$2,FALSE)</f>
        <v>mln di CHF</v>
      </c>
      <c r="E21" s="11">
        <v>1</v>
      </c>
      <c r="F21" s="11" t="s">
        <v>124</v>
      </c>
      <c r="G21" s="49"/>
      <c r="H21" s="383" t="s">
        <v>30</v>
      </c>
      <c r="I21" s="383" t="s">
        <v>30</v>
      </c>
      <c r="J21" s="383" t="s">
        <v>30</v>
      </c>
      <c r="K21" s="383" t="s">
        <v>30</v>
      </c>
      <c r="L21" s="377" t="s">
        <v>30</v>
      </c>
      <c r="M21" s="377" t="s">
        <v>30</v>
      </c>
      <c r="N21" s="377" t="s">
        <v>30</v>
      </c>
      <c r="O21" s="377" t="s">
        <v>30</v>
      </c>
      <c r="P21" s="402" t="s">
        <v>30</v>
      </c>
      <c r="Q21" s="402" t="s">
        <v>30</v>
      </c>
      <c r="R21" s="420" t="s">
        <v>30</v>
      </c>
      <c r="S21" s="380">
        <v>1</v>
      </c>
      <c r="T21" s="385">
        <v>1.5</v>
      </c>
      <c r="U21" s="385">
        <v>1.6869999999999998</v>
      </c>
      <c r="V21" s="385">
        <v>1.1000000000000001</v>
      </c>
      <c r="W21" s="385">
        <v>0.9</v>
      </c>
      <c r="X21" s="419">
        <v>0.6</v>
      </c>
    </row>
    <row r="22" spans="1:82" ht="13" customHeight="1">
      <c r="C22" s="76" t="str">
        <f>VLOOKUP(33,Textbausteine_203[],Hilfsgrössen!$D$2,FALSE)</f>
        <v>Sponsoring sportivo</v>
      </c>
      <c r="D22" s="66" t="str">
        <f>VLOOKUP(11,Textbausteine_203[],Hilfsgrössen!$D$2,FALSE)</f>
        <v>mln di CHF</v>
      </c>
      <c r="E22" s="11"/>
      <c r="F22" s="11" t="s">
        <v>124</v>
      </c>
      <c r="G22" s="49"/>
      <c r="H22" s="385">
        <v>8.1300000000000008</v>
      </c>
      <c r="I22" s="385">
        <v>9.6</v>
      </c>
      <c r="J22" s="385">
        <v>9.65</v>
      </c>
      <c r="K22" s="385">
        <v>9.75</v>
      </c>
      <c r="L22" s="385">
        <v>12.65</v>
      </c>
      <c r="M22" s="385">
        <v>11.7</v>
      </c>
      <c r="N22" s="385">
        <v>11.8</v>
      </c>
      <c r="O22" s="385">
        <v>11.8</v>
      </c>
      <c r="P22" s="364">
        <v>11.9</v>
      </c>
      <c r="Q22" s="364">
        <v>10.3</v>
      </c>
      <c r="R22" s="380">
        <v>10.7</v>
      </c>
      <c r="S22" s="380">
        <v>9.9</v>
      </c>
      <c r="T22" s="417">
        <v>10.3</v>
      </c>
      <c r="U22" s="417">
        <v>9.7159999999999993</v>
      </c>
      <c r="V22" s="417">
        <v>9.5</v>
      </c>
      <c r="W22" s="417">
        <v>9.6</v>
      </c>
      <c r="X22" s="419">
        <v>8.3000000000000007</v>
      </c>
    </row>
    <row r="23" spans="1:82" ht="13" customHeight="1">
      <c r="C23" s="76" t="str">
        <f>VLOOKUP(34,Textbausteine_203[],Hilfsgrössen!$D$2,FALSE)</f>
        <v>Sponsoring culturale</v>
      </c>
      <c r="D23" s="66" t="str">
        <f>VLOOKUP(11,Textbausteine_203[],Hilfsgrössen!$D$2,FALSE)</f>
        <v>mln di CHF</v>
      </c>
      <c r="E23" s="11"/>
      <c r="F23" s="11" t="s">
        <v>124</v>
      </c>
      <c r="G23" s="49"/>
      <c r="H23" s="381">
        <v>4.91</v>
      </c>
      <c r="I23" s="381">
        <v>5.14</v>
      </c>
      <c r="J23" s="381">
        <v>3.63</v>
      </c>
      <c r="K23" s="381">
        <v>4.6500000000000004</v>
      </c>
      <c r="L23" s="421">
        <v>4.2699999999999996</v>
      </c>
      <c r="M23" s="385">
        <v>4</v>
      </c>
      <c r="N23" s="385">
        <v>2.6</v>
      </c>
      <c r="O23" s="385">
        <v>2.5</v>
      </c>
      <c r="P23" s="364">
        <v>2.2999999999999998</v>
      </c>
      <c r="Q23" s="364">
        <v>5.0999999999999996</v>
      </c>
      <c r="R23" s="380">
        <v>4.4000000000000004</v>
      </c>
      <c r="S23" s="380">
        <v>3.9</v>
      </c>
      <c r="T23" s="417">
        <v>3.4</v>
      </c>
      <c r="U23" s="417">
        <v>2.96</v>
      </c>
      <c r="V23" s="417">
        <v>0</v>
      </c>
      <c r="W23" s="417">
        <v>0</v>
      </c>
      <c r="X23" s="419">
        <v>0</v>
      </c>
    </row>
    <row r="24" spans="1:82" ht="13" customHeight="1">
      <c r="C24" s="19" t="str">
        <f>VLOOKUP(35,Textbausteine_203[],Hilfsgrössen!$D$2,FALSE)</f>
        <v>Impegno sociale / doni / donazioni</v>
      </c>
      <c r="D24" s="66" t="str">
        <f>VLOOKUP(11,Textbausteine_203[],Hilfsgrössen!$D$2,FALSE)</f>
        <v>mln di CHF</v>
      </c>
      <c r="E24" s="11"/>
      <c r="F24" s="11" t="s">
        <v>124</v>
      </c>
      <c r="G24" s="49"/>
      <c r="H24" s="381">
        <v>3.65</v>
      </c>
      <c r="I24" s="381">
        <v>3.11</v>
      </c>
      <c r="J24" s="381">
        <v>3.4</v>
      </c>
      <c r="K24" s="381">
        <v>3.43</v>
      </c>
      <c r="L24" s="385">
        <v>3.22</v>
      </c>
      <c r="M24" s="385">
        <v>5</v>
      </c>
      <c r="N24" s="385">
        <v>4.5999999999999996</v>
      </c>
      <c r="O24" s="385">
        <v>6.4</v>
      </c>
      <c r="P24" s="377">
        <v>5.9</v>
      </c>
      <c r="Q24" s="364">
        <v>5.0999999999999996</v>
      </c>
      <c r="R24" s="380">
        <v>4.5999999999999996</v>
      </c>
      <c r="S24" s="380">
        <v>5</v>
      </c>
      <c r="T24" s="385">
        <v>4.5</v>
      </c>
      <c r="U24" s="385">
        <v>0.7</v>
      </c>
      <c r="V24" s="385">
        <v>0.6</v>
      </c>
      <c r="W24" s="385">
        <v>0.7</v>
      </c>
      <c r="X24" s="422">
        <v>0.7</v>
      </c>
    </row>
    <row r="25" spans="1:82" ht="13" customHeight="1">
      <c r="C25" s="76" t="str">
        <f>VLOOKUP(36,Textbausteine_203[],Hilfsgrössen!$D$2,FALSE)</f>
        <v>Doni a partiti politici</v>
      </c>
      <c r="D25" s="66" t="str">
        <f>VLOOKUP(11,Textbausteine_203[],Hilfsgrössen!$D$2,FALSE)</f>
        <v>mln di CHF</v>
      </c>
      <c r="E25" s="11"/>
      <c r="F25" s="11" t="s">
        <v>125</v>
      </c>
      <c r="G25" s="49"/>
      <c r="H25" s="381">
        <v>0</v>
      </c>
      <c r="I25" s="381">
        <v>0</v>
      </c>
      <c r="J25" s="381">
        <v>0</v>
      </c>
      <c r="K25" s="381">
        <v>0</v>
      </c>
      <c r="L25" s="385">
        <v>0</v>
      </c>
      <c r="M25" s="385">
        <v>0</v>
      </c>
      <c r="N25" s="385">
        <v>0</v>
      </c>
      <c r="O25" s="385">
        <v>0</v>
      </c>
      <c r="P25" s="364">
        <v>0</v>
      </c>
      <c r="Q25" s="364">
        <v>0</v>
      </c>
      <c r="R25" s="380">
        <v>0</v>
      </c>
      <c r="S25" s="380">
        <v>0</v>
      </c>
      <c r="T25" s="364">
        <v>0</v>
      </c>
      <c r="U25" s="364">
        <v>0</v>
      </c>
      <c r="V25" s="364">
        <v>0</v>
      </c>
      <c r="W25" s="364">
        <v>0</v>
      </c>
      <c r="X25" s="422">
        <v>0</v>
      </c>
    </row>
    <row r="26" spans="1:82" ht="13" customHeight="1">
      <c r="C26" s="76" t="str">
        <f>VLOOKUP(37,Textbausteine_203[],Hilfsgrössen!$D$2,FALSE)</f>
        <v>Impegni per la Svizzera</v>
      </c>
      <c r="D26" s="66" t="str">
        <f>VLOOKUP(11,Textbausteine_203[],Hilfsgrössen!$D$2,FALSE)</f>
        <v>mln di CHF</v>
      </c>
      <c r="E26" s="11"/>
      <c r="F26" s="11"/>
      <c r="G26" s="49"/>
      <c r="H26" s="383" t="s">
        <v>30</v>
      </c>
      <c r="I26" s="383" t="s">
        <v>30</v>
      </c>
      <c r="J26" s="383" t="s">
        <v>30</v>
      </c>
      <c r="K26" s="383" t="s">
        <v>30</v>
      </c>
      <c r="L26" s="377" t="s">
        <v>30</v>
      </c>
      <c r="M26" s="377" t="s">
        <v>30</v>
      </c>
      <c r="N26" s="377" t="s">
        <v>30</v>
      </c>
      <c r="O26" s="377" t="s">
        <v>30</v>
      </c>
      <c r="P26" s="402" t="s">
        <v>30</v>
      </c>
      <c r="Q26" s="402" t="s">
        <v>30</v>
      </c>
      <c r="R26" s="420" t="s">
        <v>30</v>
      </c>
      <c r="S26" s="420" t="s">
        <v>30</v>
      </c>
      <c r="T26" s="402" t="s">
        <v>30</v>
      </c>
      <c r="U26" s="402">
        <v>1.6859999999999999</v>
      </c>
      <c r="V26" s="402">
        <v>1.7</v>
      </c>
      <c r="W26" s="402">
        <v>1.7</v>
      </c>
      <c r="X26" s="422">
        <v>2</v>
      </c>
    </row>
    <row r="27" spans="1:82" ht="13" customHeight="1">
      <c r="C27" s="76"/>
      <c r="D27" s="66"/>
      <c r="E27" s="11"/>
      <c r="F27" s="11"/>
      <c r="G27" s="49"/>
      <c r="H27" s="160"/>
      <c r="I27" s="160"/>
      <c r="J27" s="160"/>
      <c r="K27" s="160"/>
      <c r="L27" s="20"/>
      <c r="M27" s="20"/>
      <c r="N27" s="20"/>
      <c r="O27" s="20"/>
      <c r="P27" s="106"/>
      <c r="Q27" s="106"/>
      <c r="R27" s="106"/>
      <c r="S27" s="159"/>
      <c r="T27" s="106"/>
      <c r="U27" s="106"/>
      <c r="V27" s="106"/>
      <c r="W27" s="106"/>
      <c r="X27" s="258"/>
    </row>
    <row r="28" spans="1:82" ht="13" customHeight="1">
      <c r="C28" s="18" t="str">
        <f>VLOOKUP(31,Textbausteine_203[],Hilfsgrössen!$D$2,FALSE)</f>
        <v>Contributi</v>
      </c>
      <c r="D28" s="66" t="str">
        <f>VLOOKUP(12,Textbausteine_203[],Hilfsgrössen!$D$2,FALSE)</f>
        <v>%</v>
      </c>
      <c r="E28" s="11"/>
      <c r="F28" s="11" t="s">
        <v>124</v>
      </c>
      <c r="G28" s="49"/>
      <c r="H28" s="99">
        <f t="shared" ref="H28:T28" si="0">IFERROR(H20/H$20*100,"'—")</f>
        <v>100</v>
      </c>
      <c r="I28" s="99">
        <f t="shared" si="0"/>
        <v>100</v>
      </c>
      <c r="J28" s="99">
        <f t="shared" si="0"/>
        <v>100</v>
      </c>
      <c r="K28" s="99">
        <f t="shared" si="0"/>
        <v>100</v>
      </c>
      <c r="L28" s="99">
        <f t="shared" si="0"/>
        <v>100</v>
      </c>
      <c r="M28" s="99">
        <f t="shared" si="0"/>
        <v>100</v>
      </c>
      <c r="N28" s="99">
        <f t="shared" si="0"/>
        <v>100</v>
      </c>
      <c r="O28" s="99">
        <f t="shared" si="0"/>
        <v>100</v>
      </c>
      <c r="P28" s="99">
        <f t="shared" si="0"/>
        <v>100</v>
      </c>
      <c r="Q28" s="99">
        <f t="shared" si="0"/>
        <v>100</v>
      </c>
      <c r="R28" s="99">
        <f t="shared" si="0"/>
        <v>100</v>
      </c>
      <c r="S28" s="99">
        <f t="shared" si="0"/>
        <v>100</v>
      </c>
      <c r="T28" s="106">
        <f t="shared" si="0"/>
        <v>100</v>
      </c>
      <c r="U28" s="106">
        <v>100</v>
      </c>
      <c r="V28" s="106">
        <v>100</v>
      </c>
      <c r="W28" s="106">
        <v>100</v>
      </c>
      <c r="X28" s="258">
        <v>100</v>
      </c>
    </row>
    <row r="29" spans="1:82" ht="13" customHeight="1">
      <c r="C29" s="76" t="str">
        <f>VLOOKUP(32,Textbausteine_203[],Hilfsgrössen!$D$2,FALSE)</f>
        <v>Economia</v>
      </c>
      <c r="D29" s="66" t="str">
        <f>VLOOKUP(12,Textbausteine_203[],Hilfsgrössen!$D$2,FALSE)</f>
        <v>%</v>
      </c>
      <c r="E29" s="11">
        <v>1</v>
      </c>
      <c r="F29" s="11" t="s">
        <v>124</v>
      </c>
      <c r="G29" s="49"/>
      <c r="H29" s="114" t="str">
        <f t="shared" ref="H29:R29" si="1">IFERROR(H21/H$20*100,"—")</f>
        <v>—</v>
      </c>
      <c r="I29" s="114" t="str">
        <f t="shared" si="1"/>
        <v>—</v>
      </c>
      <c r="J29" s="114" t="str">
        <f t="shared" si="1"/>
        <v>—</v>
      </c>
      <c r="K29" s="114" t="str">
        <f t="shared" si="1"/>
        <v>—</v>
      </c>
      <c r="L29" s="114" t="str">
        <f t="shared" si="1"/>
        <v>—</v>
      </c>
      <c r="M29" s="114" t="str">
        <f t="shared" si="1"/>
        <v>—</v>
      </c>
      <c r="N29" s="114" t="str">
        <f t="shared" si="1"/>
        <v>—</v>
      </c>
      <c r="O29" s="114" t="str">
        <f t="shared" si="1"/>
        <v>—</v>
      </c>
      <c r="P29" s="114" t="str">
        <f t="shared" si="1"/>
        <v>—</v>
      </c>
      <c r="Q29" s="114" t="str">
        <f t="shared" si="1"/>
        <v>—</v>
      </c>
      <c r="R29" s="114" t="str">
        <f t="shared" si="1"/>
        <v>—</v>
      </c>
      <c r="S29" s="114">
        <f t="shared" ref="S29:T33" si="2">IFERROR(S21/S$20*100,"'—")</f>
        <v>5.0505050505050502</v>
      </c>
      <c r="T29" s="411">
        <f t="shared" si="2"/>
        <v>7.6142131979695442</v>
      </c>
      <c r="U29" s="411">
        <v>10.072243118992178</v>
      </c>
      <c r="V29" s="411">
        <v>8.6999999999999993</v>
      </c>
      <c r="W29" s="411">
        <v>7</v>
      </c>
      <c r="X29" s="363">
        <v>5.4</v>
      </c>
    </row>
    <row r="30" spans="1:82" ht="13" customHeight="1">
      <c r="C30" s="76" t="str">
        <f>VLOOKUP(33,Textbausteine_203[],Hilfsgrössen!$D$2,FALSE)</f>
        <v>Sponsoring sportivo</v>
      </c>
      <c r="D30" s="66" t="str">
        <f>VLOOKUP(12,Textbausteine_203[],Hilfsgrössen!$D$2,FALSE)</f>
        <v>%</v>
      </c>
      <c r="E30" s="11"/>
      <c r="F30" s="11" t="s">
        <v>124</v>
      </c>
      <c r="G30" s="49"/>
      <c r="H30" s="114">
        <f t="shared" ref="H30:R30" si="3">IFERROR(H22/H$20*100,"'—")</f>
        <v>48.711803475134815</v>
      </c>
      <c r="I30" s="114">
        <f t="shared" si="3"/>
        <v>53.781512605042025</v>
      </c>
      <c r="J30" s="114">
        <f t="shared" si="3"/>
        <v>57.853717026378902</v>
      </c>
      <c r="K30" s="114">
        <f t="shared" si="3"/>
        <v>54.6831183398766</v>
      </c>
      <c r="L30" s="114">
        <f t="shared" si="3"/>
        <v>62.810327706057599</v>
      </c>
      <c r="M30" s="114">
        <f t="shared" si="3"/>
        <v>56.521739130434781</v>
      </c>
      <c r="N30" s="114">
        <f t="shared" si="3"/>
        <v>62.10526315789474</v>
      </c>
      <c r="O30" s="114">
        <f t="shared" si="3"/>
        <v>57.004830917874393</v>
      </c>
      <c r="P30" s="114">
        <f t="shared" si="3"/>
        <v>59.203980099502488</v>
      </c>
      <c r="Q30" s="114">
        <f t="shared" si="3"/>
        <v>50.243902439024389</v>
      </c>
      <c r="R30" s="114">
        <f t="shared" si="3"/>
        <v>54.314720812182735</v>
      </c>
      <c r="S30" s="114">
        <f t="shared" si="2"/>
        <v>50</v>
      </c>
      <c r="T30" s="411">
        <f t="shared" si="2"/>
        <v>52.284263959390863</v>
      </c>
      <c r="U30" s="411">
        <v>58.009433399008898</v>
      </c>
      <c r="V30" s="411">
        <v>73.2</v>
      </c>
      <c r="W30" s="411">
        <v>74.400000000000006</v>
      </c>
      <c r="X30" s="363">
        <v>71.400000000000006</v>
      </c>
    </row>
    <row r="31" spans="1:82" ht="13" customHeight="1">
      <c r="C31" s="76" t="str">
        <f>VLOOKUP(34,Textbausteine_203[],Hilfsgrössen!$D$2,FALSE)</f>
        <v>Sponsoring culturale</v>
      </c>
      <c r="D31" s="66" t="str">
        <f>VLOOKUP(12,Textbausteine_203[],Hilfsgrössen!$D$2,FALSE)</f>
        <v>%</v>
      </c>
      <c r="E31" s="11"/>
      <c r="F31" s="11" t="s">
        <v>124</v>
      </c>
      <c r="G31" s="49"/>
      <c r="H31" s="114">
        <f t="shared" ref="H31:R31" si="4">IFERROR(H23/H$20*100,"'—")</f>
        <v>29.418813660874775</v>
      </c>
      <c r="I31" s="114">
        <f t="shared" si="4"/>
        <v>28.795518207282917</v>
      </c>
      <c r="J31" s="114">
        <f t="shared" si="4"/>
        <v>21.762589928057555</v>
      </c>
      <c r="K31" s="114">
        <f t="shared" si="4"/>
        <v>26.079641054402693</v>
      </c>
      <c r="L31" s="114">
        <f t="shared" si="4"/>
        <v>21.201588877855013</v>
      </c>
      <c r="M31" s="114">
        <f t="shared" si="4"/>
        <v>19.323671497584542</v>
      </c>
      <c r="N31" s="114">
        <f t="shared" si="4"/>
        <v>13.684210526315791</v>
      </c>
      <c r="O31" s="114">
        <f t="shared" si="4"/>
        <v>12.077294685990337</v>
      </c>
      <c r="P31" s="114">
        <f t="shared" si="4"/>
        <v>11.442786069651739</v>
      </c>
      <c r="Q31" s="114">
        <f t="shared" si="4"/>
        <v>24.878048780487802</v>
      </c>
      <c r="R31" s="114">
        <f t="shared" si="4"/>
        <v>22.335025380710665</v>
      </c>
      <c r="S31" s="114">
        <f t="shared" si="2"/>
        <v>19.696969696969695</v>
      </c>
      <c r="T31" s="411">
        <f t="shared" si="2"/>
        <v>17.258883248730964</v>
      </c>
      <c r="U31" s="411">
        <v>17.672696877425519</v>
      </c>
      <c r="V31" s="411">
        <v>0</v>
      </c>
      <c r="W31" s="411">
        <v>0</v>
      </c>
      <c r="X31" s="363">
        <v>0</v>
      </c>
    </row>
    <row r="32" spans="1:82" ht="13" customHeight="1">
      <c r="C32" s="19" t="str">
        <f>VLOOKUP(35,Textbausteine_203[],Hilfsgrössen!$D$2,FALSE)</f>
        <v>Impegno sociale / doni / donazioni</v>
      </c>
      <c r="D32" s="66" t="str">
        <f>VLOOKUP(12,Textbausteine_203[],Hilfsgrössen!$D$2,FALSE)</f>
        <v>%</v>
      </c>
      <c r="E32" s="11"/>
      <c r="F32" s="11" t="s">
        <v>124</v>
      </c>
      <c r="G32" s="49"/>
      <c r="H32" s="114">
        <f t="shared" ref="H32:R32" si="5">IFERROR(H24/H$20*100,"'—")</f>
        <v>21.86938286399041</v>
      </c>
      <c r="I32" s="114">
        <f t="shared" si="5"/>
        <v>17.422969187675072</v>
      </c>
      <c r="J32" s="114">
        <f t="shared" si="5"/>
        <v>20.38369304556355</v>
      </c>
      <c r="K32" s="114">
        <f t="shared" si="5"/>
        <v>19.237240605720697</v>
      </c>
      <c r="L32" s="114">
        <f t="shared" si="5"/>
        <v>15.98808341608739</v>
      </c>
      <c r="M32" s="114">
        <f t="shared" si="5"/>
        <v>24.154589371980677</v>
      </c>
      <c r="N32" s="114">
        <f t="shared" si="5"/>
        <v>24.210526315789473</v>
      </c>
      <c r="O32" s="114">
        <f t="shared" si="5"/>
        <v>30.917874396135264</v>
      </c>
      <c r="P32" s="114">
        <f t="shared" si="5"/>
        <v>29.35323383084577</v>
      </c>
      <c r="Q32" s="114">
        <f t="shared" si="5"/>
        <v>24.878048780487802</v>
      </c>
      <c r="R32" s="114">
        <f t="shared" si="5"/>
        <v>23.350253807106597</v>
      </c>
      <c r="S32" s="114">
        <f t="shared" si="2"/>
        <v>25.252525252525253</v>
      </c>
      <c r="T32" s="411">
        <f t="shared" si="2"/>
        <v>22.842639593908633</v>
      </c>
      <c r="U32" s="411">
        <v>4.1793539912830617</v>
      </c>
      <c r="V32" s="411">
        <v>4.9000000000000004</v>
      </c>
      <c r="W32" s="411">
        <v>5.4</v>
      </c>
      <c r="X32" s="363">
        <v>6</v>
      </c>
    </row>
    <row r="33" spans="1:82" ht="13" customHeight="1">
      <c r="C33" s="76" t="str">
        <f>VLOOKUP(36,Textbausteine_203[],Hilfsgrössen!$D$2,FALSE)</f>
        <v>Doni a partiti politici</v>
      </c>
      <c r="D33" s="66" t="str">
        <f>VLOOKUP(12,Textbausteine_203[],Hilfsgrössen!$D$2,FALSE)</f>
        <v>%</v>
      </c>
      <c r="E33" s="11"/>
      <c r="F33" s="11" t="s">
        <v>125</v>
      </c>
      <c r="G33" s="49"/>
      <c r="H33" s="114">
        <f t="shared" ref="H33:R33" si="6">IFERROR(H25/H$20*100,"'—")</f>
        <v>0</v>
      </c>
      <c r="I33" s="114">
        <f t="shared" si="6"/>
        <v>0</v>
      </c>
      <c r="J33" s="114">
        <f t="shared" si="6"/>
        <v>0</v>
      </c>
      <c r="K33" s="114">
        <f t="shared" si="6"/>
        <v>0</v>
      </c>
      <c r="L33" s="114">
        <f t="shared" si="6"/>
        <v>0</v>
      </c>
      <c r="M33" s="114">
        <f t="shared" si="6"/>
        <v>0</v>
      </c>
      <c r="N33" s="114">
        <f t="shared" si="6"/>
        <v>0</v>
      </c>
      <c r="O33" s="114">
        <f t="shared" si="6"/>
        <v>0</v>
      </c>
      <c r="P33" s="114">
        <f t="shared" si="6"/>
        <v>0</v>
      </c>
      <c r="Q33" s="114">
        <f t="shared" si="6"/>
        <v>0</v>
      </c>
      <c r="R33" s="114">
        <f t="shared" si="6"/>
        <v>0</v>
      </c>
      <c r="S33" s="114">
        <f t="shared" si="2"/>
        <v>0</v>
      </c>
      <c r="T33" s="411">
        <f t="shared" si="2"/>
        <v>0</v>
      </c>
      <c r="U33" s="411">
        <v>0</v>
      </c>
      <c r="V33" s="411">
        <v>0</v>
      </c>
      <c r="W33" s="411">
        <v>0</v>
      </c>
      <c r="X33" s="363">
        <v>0</v>
      </c>
    </row>
    <row r="34" spans="1:82" ht="13" customHeight="1">
      <c r="C34" s="76" t="str">
        <f>VLOOKUP(37,Textbausteine_203[],Hilfsgrössen!$D$2,FALSE)</f>
        <v>Impegni per la Svizzera</v>
      </c>
      <c r="D34" s="66" t="str">
        <f>VLOOKUP(12,Textbausteine_203[],Hilfsgrössen!$D$2,FALSE)</f>
        <v>%</v>
      </c>
      <c r="E34" s="11"/>
      <c r="F34" s="11"/>
      <c r="G34" s="49"/>
      <c r="H34" s="337" t="s">
        <v>30</v>
      </c>
      <c r="I34" s="337" t="s">
        <v>30</v>
      </c>
      <c r="J34" s="337" t="s">
        <v>30</v>
      </c>
      <c r="K34" s="337" t="s">
        <v>30</v>
      </c>
      <c r="L34" s="337" t="s">
        <v>30</v>
      </c>
      <c r="M34" s="337" t="s">
        <v>30</v>
      </c>
      <c r="N34" s="337" t="s">
        <v>30</v>
      </c>
      <c r="O34" s="337" t="s">
        <v>30</v>
      </c>
      <c r="P34" s="337" t="s">
        <v>30</v>
      </c>
      <c r="Q34" s="337" t="s">
        <v>30</v>
      </c>
      <c r="R34" s="337" t="s">
        <v>30</v>
      </c>
      <c r="S34" s="337" t="s">
        <v>30</v>
      </c>
      <c r="T34" s="338" t="s">
        <v>30</v>
      </c>
      <c r="U34" s="338">
        <v>10.066272613290346</v>
      </c>
      <c r="V34" s="338">
        <v>13.2</v>
      </c>
      <c r="W34" s="338">
        <v>13.2</v>
      </c>
      <c r="X34" s="363">
        <v>17.2</v>
      </c>
    </row>
    <row r="35" spans="1:82" ht="13" customHeight="1">
      <c r="E35" s="11"/>
      <c r="F35" s="11"/>
      <c r="G35" s="49"/>
      <c r="T35" s="106"/>
      <c r="U35" s="106"/>
      <c r="V35" s="106"/>
      <c r="W35" s="106"/>
      <c r="X35" s="106"/>
    </row>
    <row r="36" spans="1:82" ht="13" customHeight="1">
      <c r="B36" s="21" t="str">
        <f>VLOOKUP(201,Textbausteine_203[],Hilfsgrössen!$D$2,FALSE)</f>
        <v>1) Dal 1o gennaio 2015 lo sponsoring nel settore economico fa esplicitamente parte dell'attività di sponsoring della Posta.</v>
      </c>
      <c r="E36" s="11"/>
      <c r="F36" s="11"/>
      <c r="G36" s="49"/>
      <c r="T36" s="106"/>
      <c r="U36" s="106"/>
      <c r="V36" s="106"/>
      <c r="W36" s="106"/>
      <c r="X36" s="106"/>
    </row>
    <row r="37" spans="1:82" ht="13" customHeight="1">
      <c r="A37" s="65"/>
      <c r="E37" s="42"/>
      <c r="F37" s="42"/>
      <c r="G37" s="51"/>
      <c r="H37" s="106"/>
      <c r="I37" s="106"/>
      <c r="J37" s="106"/>
      <c r="K37" s="106"/>
      <c r="L37" s="106"/>
      <c r="M37" s="106"/>
      <c r="N37" s="20"/>
      <c r="O37" s="106"/>
      <c r="T37" s="106"/>
      <c r="U37" s="106"/>
      <c r="V37" s="106"/>
      <c r="W37" s="106"/>
      <c r="X37" s="99"/>
    </row>
    <row r="38" spans="1:82" ht="13" customHeight="1">
      <c r="A38" s="65"/>
      <c r="E38" s="43"/>
      <c r="F38" s="43"/>
      <c r="G38" s="52"/>
      <c r="H38" s="106"/>
      <c r="I38" s="106"/>
      <c r="J38" s="106"/>
      <c r="K38" s="106"/>
      <c r="L38" s="106"/>
      <c r="M38" s="106"/>
      <c r="N38" s="20"/>
      <c r="O38" s="106"/>
      <c r="T38" s="106"/>
      <c r="U38" s="106"/>
      <c r="V38" s="106"/>
      <c r="W38" s="106"/>
      <c r="X38" s="99"/>
    </row>
    <row r="39" spans="1:82" s="31" customFormat="1" ht="13" customHeight="1">
      <c r="A39" s="56" t="s">
        <v>27</v>
      </c>
      <c r="B39" s="495" t="str">
        <f>$C$8</f>
        <v>Punti di accesso</v>
      </c>
      <c r="C39" s="495"/>
      <c r="D39" s="6" t="str">
        <f>VLOOKUP(32,Textbausteine_Menu[],Hilfsgrössen!$D$2,FALSE)</f>
        <v>Unità</v>
      </c>
      <c r="E39" s="39" t="str">
        <f>VLOOKUP(33,Textbausteine_Menu[],Hilfsgrössen!$D$2,FALSE)</f>
        <v>Note</v>
      </c>
      <c r="F39" s="39" t="str">
        <f>VLOOKUP(34,Textbausteine_Menu[],Hilfsgrössen!$D$2,FALSE)</f>
        <v>GRI</v>
      </c>
      <c r="G39" s="53"/>
      <c r="H39" s="116">
        <v>2004</v>
      </c>
      <c r="I39" s="116">
        <v>2005</v>
      </c>
      <c r="J39" s="116">
        <v>2006</v>
      </c>
      <c r="K39" s="116">
        <v>2007</v>
      </c>
      <c r="L39" s="116">
        <v>2008</v>
      </c>
      <c r="M39" s="116">
        <v>2009</v>
      </c>
      <c r="N39" s="116">
        <v>2010</v>
      </c>
      <c r="O39" s="116">
        <v>2011</v>
      </c>
      <c r="P39" s="116">
        <v>2012</v>
      </c>
      <c r="Q39" s="116">
        <v>2013</v>
      </c>
      <c r="R39" s="116">
        <v>2014</v>
      </c>
      <c r="S39" s="116">
        <v>2015</v>
      </c>
      <c r="T39" s="116">
        <v>2016</v>
      </c>
      <c r="U39" s="116">
        <v>2017</v>
      </c>
      <c r="V39" s="116">
        <v>2018</v>
      </c>
      <c r="W39" s="116">
        <v>2019</v>
      </c>
      <c r="X39" s="255">
        <v>2020</v>
      </c>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row>
    <row r="40" spans="1:82" s="31" customFormat="1" ht="13" customHeight="1">
      <c r="A40" s="55"/>
      <c r="B40" s="495"/>
      <c r="C40" s="495"/>
      <c r="D40" s="6"/>
      <c r="E40" s="37"/>
      <c r="F40" s="37"/>
      <c r="G40" s="47"/>
      <c r="H40" s="116"/>
      <c r="I40" s="116"/>
      <c r="J40" s="116"/>
      <c r="K40" s="116"/>
      <c r="L40" s="105"/>
      <c r="M40" s="105"/>
      <c r="N40" s="106"/>
      <c r="O40" s="106"/>
      <c r="P40" s="106"/>
      <c r="Q40" s="106"/>
      <c r="R40" s="106"/>
      <c r="S40" s="106"/>
      <c r="T40" s="20"/>
      <c r="U40" s="20"/>
      <c r="V40" s="20"/>
      <c r="W40" s="20"/>
      <c r="X40" s="256"/>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row>
    <row r="41" spans="1:82" ht="13" customHeight="1">
      <c r="A41" s="65"/>
      <c r="B41" s="8"/>
      <c r="C41" s="9"/>
      <c r="D41" s="9"/>
      <c r="E41" s="40"/>
      <c r="F41" s="40"/>
      <c r="H41" s="116"/>
      <c r="I41" s="116"/>
      <c r="J41" s="116"/>
      <c r="K41" s="116"/>
      <c r="L41" s="105"/>
      <c r="M41" s="105"/>
      <c r="N41" s="106"/>
      <c r="O41" s="106"/>
      <c r="P41" s="106"/>
      <c r="Q41" s="106"/>
      <c r="R41" s="106"/>
      <c r="S41" s="106"/>
      <c r="X41" s="256"/>
    </row>
    <row r="42" spans="1:82" ht="13" customHeight="1">
      <c r="A42" s="65"/>
      <c r="B42" s="8" t="str">
        <f>VLOOKUP(37,Textbausteine_Menu[],Hilfsgrössen!$D$2,FALSE)</f>
        <v>Gruppo Svizzera</v>
      </c>
      <c r="C42" s="8"/>
      <c r="D42" s="66"/>
      <c r="E42" s="40"/>
      <c r="F42" s="40"/>
      <c r="H42" s="106"/>
      <c r="I42" s="106"/>
      <c r="J42" s="106"/>
      <c r="K42" s="106"/>
      <c r="L42" s="106"/>
      <c r="M42" s="106"/>
      <c r="N42" s="106"/>
      <c r="O42" s="106"/>
      <c r="P42" s="106"/>
      <c r="Q42" s="106"/>
      <c r="R42" s="106"/>
      <c r="S42" s="106"/>
      <c r="X42" s="256"/>
    </row>
    <row r="43" spans="1:82" ht="13" customHeight="1">
      <c r="A43" s="65"/>
      <c r="B43" s="8"/>
      <c r="C43" s="189" t="str">
        <f>VLOOKUP(41,Textbausteine_203[],Hilfsgrössen!$D$2,FALSE)</f>
        <v>Filiali</v>
      </c>
      <c r="D43" s="66" t="str">
        <f>VLOOKUP(13,Textbausteine_203[],Hilfsgrössen!$D$2,FALSE)</f>
        <v>Quantità</v>
      </c>
      <c r="E43" s="40"/>
      <c r="F43" s="11" t="s">
        <v>124</v>
      </c>
      <c r="H43" s="165" t="s">
        <v>30</v>
      </c>
      <c r="I43" s="106">
        <v>2389</v>
      </c>
      <c r="J43" s="106">
        <v>2357</v>
      </c>
      <c r="K43" s="106">
        <v>2312</v>
      </c>
      <c r="L43" s="106">
        <v>2195</v>
      </c>
      <c r="M43" s="106">
        <v>2060</v>
      </c>
      <c r="N43" s="106">
        <v>1950</v>
      </c>
      <c r="O43" s="106">
        <v>1846</v>
      </c>
      <c r="P43" s="106">
        <v>1752</v>
      </c>
      <c r="Q43" s="106">
        <v>1657</v>
      </c>
      <c r="R43" s="106">
        <v>1557</v>
      </c>
      <c r="S43" s="106">
        <v>1459</v>
      </c>
      <c r="T43" s="20">
        <v>1323</v>
      </c>
      <c r="U43" s="20">
        <v>1189</v>
      </c>
      <c r="V43" s="20">
        <v>1078</v>
      </c>
      <c r="W43" s="20">
        <v>981</v>
      </c>
      <c r="X43" s="256">
        <v>904</v>
      </c>
    </row>
    <row r="44" spans="1:82" ht="13" customHeight="1">
      <c r="A44" s="65"/>
      <c r="B44" s="8"/>
      <c r="C44" s="189" t="str">
        <f>VLOOKUP(42,Textbausteine_203[],Hilfsgrössen!$D$2,FALSE)</f>
        <v>Filiali in partenariato</v>
      </c>
      <c r="D44" s="66" t="str">
        <f>VLOOKUP(13,Textbausteine_203[],Hilfsgrössen!$D$2,FALSE)</f>
        <v>Quantità</v>
      </c>
      <c r="E44" s="40"/>
      <c r="F44" s="11" t="s">
        <v>124</v>
      </c>
      <c r="H44" s="165" t="s">
        <v>30</v>
      </c>
      <c r="I44" s="106">
        <v>135</v>
      </c>
      <c r="J44" s="106">
        <v>129</v>
      </c>
      <c r="K44" s="106">
        <v>150</v>
      </c>
      <c r="L44" s="106">
        <v>208</v>
      </c>
      <c r="M44" s="106">
        <v>283</v>
      </c>
      <c r="N44" s="106">
        <v>358</v>
      </c>
      <c r="O44" s="106">
        <v>427</v>
      </c>
      <c r="P44" s="106">
        <v>497</v>
      </c>
      <c r="Q44" s="106">
        <v>569</v>
      </c>
      <c r="R44" s="106">
        <v>660</v>
      </c>
      <c r="S44" s="106">
        <v>735</v>
      </c>
      <c r="T44" s="20">
        <v>849</v>
      </c>
      <c r="U44" s="20">
        <v>968</v>
      </c>
      <c r="V44" s="20">
        <v>1061</v>
      </c>
      <c r="W44" s="20">
        <v>1136</v>
      </c>
      <c r="X44" s="256">
        <v>1194</v>
      </c>
    </row>
    <row r="45" spans="1:82" ht="13" customHeight="1">
      <c r="C45" s="189" t="str">
        <f>VLOOKUP(43,Textbausteine_203[],Hilfsgrössen!$D$2,FALSE)</f>
        <v>Servizio a domicil</v>
      </c>
      <c r="D45" s="66" t="str">
        <f>VLOOKUP(14,Textbausteine_203[],Hilfsgrössen!$D$2,FALSE)</f>
        <v>Località</v>
      </c>
      <c r="E45" s="18">
        <v>1</v>
      </c>
      <c r="F45" s="11" t="s">
        <v>124</v>
      </c>
      <c r="G45" s="49"/>
      <c r="H45" s="165" t="s">
        <v>30</v>
      </c>
      <c r="I45" s="99">
        <v>991</v>
      </c>
      <c r="J45" s="99">
        <v>1023</v>
      </c>
      <c r="K45" s="99">
        <v>1043</v>
      </c>
      <c r="L45" s="99">
        <v>1097</v>
      </c>
      <c r="M45" s="99">
        <v>1154</v>
      </c>
      <c r="N45" s="99">
        <v>1192</v>
      </c>
      <c r="O45" s="99">
        <v>1226</v>
      </c>
      <c r="P45" s="99">
        <v>1251</v>
      </c>
      <c r="Q45" s="99">
        <v>1269</v>
      </c>
      <c r="R45" s="99">
        <v>1278</v>
      </c>
      <c r="S45" s="99">
        <v>1295</v>
      </c>
      <c r="T45" s="20">
        <v>1710</v>
      </c>
      <c r="U45" s="20">
        <v>1717</v>
      </c>
      <c r="V45" s="20">
        <v>1732</v>
      </c>
      <c r="W45" s="20">
        <v>1775</v>
      </c>
      <c r="X45" s="256">
        <v>1797</v>
      </c>
    </row>
    <row r="46" spans="1:82" ht="13" customHeight="1">
      <c r="C46" s="189" t="str">
        <f>VLOOKUP(44,Textbausteine_203[],Hilfsgrössen!$D$2,FALSE)</f>
        <v>Uffici di impostazione e di ritiro</v>
      </c>
      <c r="D46" s="66" t="str">
        <f>VLOOKUP(13,Textbausteine_203[],Hilfsgrössen!$D$2,FALSE)</f>
        <v>Quantità</v>
      </c>
      <c r="E46" s="192"/>
      <c r="F46" s="11" t="s">
        <v>124</v>
      </c>
      <c r="G46" s="49"/>
      <c r="H46" s="165" t="s">
        <v>30</v>
      </c>
      <c r="I46" s="17">
        <v>37</v>
      </c>
      <c r="J46" s="17">
        <v>70</v>
      </c>
      <c r="K46" s="17">
        <v>71</v>
      </c>
      <c r="L46" s="17">
        <v>100</v>
      </c>
      <c r="M46" s="17">
        <v>105</v>
      </c>
      <c r="N46" s="17">
        <v>107</v>
      </c>
      <c r="O46" s="17">
        <v>103</v>
      </c>
      <c r="P46" s="17">
        <v>102</v>
      </c>
      <c r="Q46" s="17">
        <v>99</v>
      </c>
      <c r="R46" s="17">
        <v>99</v>
      </c>
      <c r="S46" s="17">
        <v>102</v>
      </c>
      <c r="T46" s="14">
        <v>208</v>
      </c>
      <c r="U46" s="14">
        <v>200</v>
      </c>
      <c r="V46" s="14">
        <v>197</v>
      </c>
      <c r="W46" s="14">
        <v>572</v>
      </c>
      <c r="X46" s="424">
        <v>502</v>
      </c>
    </row>
    <row r="47" spans="1:82" ht="13" customHeight="1">
      <c r="C47" s="189" t="str">
        <f>VLOOKUP(45,Textbausteine_203[],Hilfsgrössen!$D$2,FALSE)</f>
        <v>Sportelli automatici My Post 24</v>
      </c>
      <c r="D47" s="66" t="str">
        <f>VLOOKUP(13,Textbausteine_203[],Hilfsgrössen!$D$2,FALSE)</f>
        <v>Quantità</v>
      </c>
      <c r="E47" s="192"/>
      <c r="F47" s="11" t="s">
        <v>124</v>
      </c>
      <c r="G47" s="49"/>
      <c r="H47" s="165" t="s">
        <v>30</v>
      </c>
      <c r="I47" s="414" t="s">
        <v>30</v>
      </c>
      <c r="J47" s="414" t="s">
        <v>30</v>
      </c>
      <c r="K47" s="414" t="s">
        <v>30</v>
      </c>
      <c r="L47" s="414" t="s">
        <v>30</v>
      </c>
      <c r="M47" s="414" t="s">
        <v>30</v>
      </c>
      <c r="N47" s="414" t="s">
        <v>30</v>
      </c>
      <c r="O47" s="414" t="s">
        <v>30</v>
      </c>
      <c r="P47" s="414" t="s">
        <v>30</v>
      </c>
      <c r="Q47" s="414" t="s">
        <v>30</v>
      </c>
      <c r="R47" s="17">
        <v>29</v>
      </c>
      <c r="S47" s="17">
        <v>55</v>
      </c>
      <c r="T47" s="14">
        <v>80</v>
      </c>
      <c r="U47" s="14">
        <v>92</v>
      </c>
      <c r="V47" s="14">
        <v>111</v>
      </c>
      <c r="W47" s="14">
        <v>155</v>
      </c>
      <c r="X47" s="424">
        <v>183</v>
      </c>
    </row>
    <row r="48" spans="1:82" ht="13" customHeight="1">
      <c r="C48" s="189" t="str">
        <f>VLOOKUP(46,Textbausteine_203[],Hilfsgrössen!$D$2,FALSE)</f>
        <v>Punit clienti commerciali</v>
      </c>
      <c r="D48" s="66" t="str">
        <f>VLOOKUP(13,Textbausteine_203[],Hilfsgrössen!$D$2,FALSE)</f>
        <v>Quantità</v>
      </c>
      <c r="E48" s="192">
        <v>2</v>
      </c>
      <c r="F48" s="11" t="s">
        <v>124</v>
      </c>
      <c r="G48" s="49"/>
      <c r="H48" s="165" t="s">
        <v>30</v>
      </c>
      <c r="I48" s="414" t="s">
        <v>30</v>
      </c>
      <c r="J48" s="414" t="s">
        <v>30</v>
      </c>
      <c r="K48" s="414" t="s">
        <v>30</v>
      </c>
      <c r="L48" s="414" t="s">
        <v>30</v>
      </c>
      <c r="M48" s="414" t="s">
        <v>30</v>
      </c>
      <c r="N48" s="414" t="s">
        <v>30</v>
      </c>
      <c r="O48" s="414" t="s">
        <v>30</v>
      </c>
      <c r="P48" s="414" t="s">
        <v>30</v>
      </c>
      <c r="Q48" s="17">
        <v>6</v>
      </c>
      <c r="R48" s="17">
        <v>13</v>
      </c>
      <c r="S48" s="17">
        <v>22</v>
      </c>
      <c r="T48" s="14">
        <v>29</v>
      </c>
      <c r="U48" s="14">
        <v>92</v>
      </c>
      <c r="V48" s="14">
        <v>115</v>
      </c>
      <c r="W48" s="14">
        <v>134</v>
      </c>
      <c r="X48" s="424">
        <v>162</v>
      </c>
    </row>
    <row r="49" spans="1:82" ht="13" customHeight="1">
      <c r="C49" s="189"/>
      <c r="D49" s="66"/>
      <c r="E49" s="192"/>
      <c r="F49" s="11"/>
      <c r="G49" s="49"/>
      <c r="H49" s="165"/>
      <c r="I49" s="106"/>
      <c r="J49" s="106"/>
      <c r="K49" s="106"/>
      <c r="L49" s="106"/>
      <c r="M49" s="106"/>
      <c r="N49" s="106"/>
      <c r="O49" s="106"/>
      <c r="P49" s="106"/>
      <c r="Q49" s="106"/>
      <c r="R49" s="106"/>
      <c r="S49" s="106"/>
      <c r="X49" s="256"/>
    </row>
    <row r="50" spans="1:82" ht="13" customHeight="1">
      <c r="B50" s="31" t="str">
        <f>VLOOKUP(49,Textbausteine_Menu[],Hilfsgrössen!$D$2,FALSE)</f>
        <v>PostFinance</v>
      </c>
      <c r="C50" s="189"/>
      <c r="D50" s="66"/>
      <c r="E50" s="192"/>
      <c r="F50" s="11"/>
      <c r="G50" s="49"/>
      <c r="H50" s="165"/>
      <c r="I50" s="106"/>
      <c r="J50" s="106"/>
      <c r="K50" s="106"/>
      <c r="L50" s="106"/>
      <c r="M50" s="106"/>
      <c r="N50" s="106"/>
      <c r="O50" s="106"/>
      <c r="P50" s="106"/>
      <c r="Q50" s="106"/>
      <c r="R50" s="106"/>
      <c r="S50" s="106"/>
      <c r="X50" s="256"/>
    </row>
    <row r="51" spans="1:82" ht="13" customHeight="1">
      <c r="C51" s="189" t="str">
        <f>VLOOKUP(47,Textbausteine_203[],Hilfsgrössen!$D$2,FALSE)</f>
        <v>Filiali PostFinance</v>
      </c>
      <c r="D51" s="66" t="str">
        <f>VLOOKUP(13,Textbausteine_203[],Hilfsgrössen!$D$2,FALSE)</f>
        <v>Quantità</v>
      </c>
      <c r="E51" s="192"/>
      <c r="F51" s="11" t="s">
        <v>124</v>
      </c>
      <c r="G51" s="49"/>
      <c r="H51" s="423" t="s">
        <v>30</v>
      </c>
      <c r="I51" s="414" t="s">
        <v>30</v>
      </c>
      <c r="J51" s="17">
        <v>28</v>
      </c>
      <c r="K51" s="17">
        <v>29</v>
      </c>
      <c r="L51" s="17">
        <v>32</v>
      </c>
      <c r="M51" s="17">
        <v>38</v>
      </c>
      <c r="N51" s="17">
        <v>40</v>
      </c>
      <c r="O51" s="17">
        <v>44</v>
      </c>
      <c r="P51" s="17">
        <v>45</v>
      </c>
      <c r="Q51" s="17">
        <v>45</v>
      </c>
      <c r="R51" s="17">
        <v>44</v>
      </c>
      <c r="S51" s="17">
        <v>43</v>
      </c>
      <c r="T51" s="14">
        <v>43</v>
      </c>
      <c r="U51" s="14">
        <v>39</v>
      </c>
      <c r="V51" s="14">
        <v>39</v>
      </c>
      <c r="W51" s="14">
        <v>38</v>
      </c>
      <c r="X51" s="424">
        <v>38</v>
      </c>
      <c r="Y51" s="11"/>
    </row>
    <row r="52" spans="1:82" ht="13" customHeight="1">
      <c r="C52" s="190" t="str">
        <f>VLOOKUP(48,Textbausteine_203[],Hilfsgrössen!$D$2,FALSE)</f>
        <v>Postomat</v>
      </c>
      <c r="D52" s="66" t="str">
        <f>VLOOKUP(13,Textbausteine_203[],Hilfsgrössen!$D$2,FALSE)</f>
        <v>Quantità</v>
      </c>
      <c r="E52" s="192"/>
      <c r="F52" s="11" t="s">
        <v>124</v>
      </c>
      <c r="G52" s="49"/>
      <c r="H52" s="165" t="s">
        <v>30</v>
      </c>
      <c r="I52" s="178" t="s">
        <v>30</v>
      </c>
      <c r="J52" s="106">
        <v>732</v>
      </c>
      <c r="K52" s="106">
        <v>749</v>
      </c>
      <c r="L52" s="106">
        <v>774</v>
      </c>
      <c r="M52" s="106">
        <v>819</v>
      </c>
      <c r="N52" s="106">
        <v>858</v>
      </c>
      <c r="O52" s="106">
        <v>933</v>
      </c>
      <c r="P52" s="106">
        <v>971</v>
      </c>
      <c r="Q52" s="106">
        <v>982</v>
      </c>
      <c r="R52" s="106">
        <v>985</v>
      </c>
      <c r="S52" s="106">
        <v>995</v>
      </c>
      <c r="T52" s="20">
        <v>1004</v>
      </c>
      <c r="U52" s="20">
        <v>999</v>
      </c>
      <c r="V52" s="20">
        <v>984</v>
      </c>
      <c r="W52" s="20">
        <v>975</v>
      </c>
      <c r="X52" s="256">
        <v>961</v>
      </c>
    </row>
    <row r="53" spans="1:82" ht="13" customHeight="1">
      <c r="B53" s="21"/>
      <c r="E53" s="11"/>
      <c r="F53" s="11"/>
      <c r="G53" s="50"/>
      <c r="T53" s="106"/>
      <c r="U53" s="106"/>
      <c r="V53" s="106"/>
      <c r="W53" s="106"/>
      <c r="X53" s="106"/>
    </row>
    <row r="54" spans="1:82" ht="13" customHeight="1">
      <c r="B54" s="21" t="str">
        <f>VLOOKUP(204,Textbausteine_203[],Hilfsgrössen!$D$2,FALSE)</f>
        <v>1) Il metodo di calcolo per determinare il numero di località con servizio a domicilio è stato modificato nel 2019. I valori 2016 - 2018 sono stati resi raffrontabili.</v>
      </c>
      <c r="E54" s="11"/>
      <c r="F54" s="11"/>
      <c r="G54" s="50"/>
      <c r="T54" s="106"/>
      <c r="U54" s="106"/>
      <c r="V54" s="106"/>
      <c r="W54" s="106"/>
      <c r="X54" s="106"/>
    </row>
    <row r="55" spans="1:82" ht="13" customHeight="1">
      <c r="B55" s="21" t="str">
        <f>VLOOKUP(205,Textbausteine_203[],Hilfsgrössen!$D$2,FALSE)</f>
        <v>2) Dal 2017 nei punti clienti commerciali sono considerati anche quelli di PostMail e PostLogistics.</v>
      </c>
      <c r="E55" s="11"/>
      <c r="F55" s="11"/>
      <c r="G55" s="50"/>
      <c r="T55" s="106"/>
      <c r="U55" s="106"/>
      <c r="V55" s="106"/>
      <c r="W55" s="106"/>
      <c r="X55" s="106"/>
    </row>
    <row r="56" spans="1:82" ht="13" customHeight="1">
      <c r="E56" s="11"/>
      <c r="F56" s="11"/>
      <c r="G56" s="49"/>
      <c r="T56" s="106"/>
      <c r="U56" s="106"/>
      <c r="V56" s="106"/>
      <c r="W56" s="106"/>
      <c r="X56" s="106"/>
    </row>
    <row r="57" spans="1:82" ht="13" customHeight="1">
      <c r="E57" s="11"/>
      <c r="F57" s="11"/>
      <c r="G57" s="49"/>
      <c r="T57" s="106"/>
      <c r="U57" s="106"/>
      <c r="V57" s="106"/>
      <c r="W57" s="106"/>
      <c r="X57" s="106"/>
    </row>
    <row r="58" spans="1:82" s="31" customFormat="1" ht="13" customHeight="1">
      <c r="A58" s="56" t="s">
        <v>27</v>
      </c>
      <c r="B58" s="495" t="str">
        <f>$C$9</f>
        <v>Posti di lavoro nelle regioni</v>
      </c>
      <c r="C58" s="495"/>
      <c r="D58" s="6" t="str">
        <f>VLOOKUP(32,Textbausteine_Menu[],Hilfsgrössen!$D$2,FALSE)</f>
        <v>Unità</v>
      </c>
      <c r="E58" s="39" t="str">
        <f>VLOOKUP(33,Textbausteine_Menu[],Hilfsgrössen!$D$2,FALSE)</f>
        <v>Note</v>
      </c>
      <c r="F58" s="39" t="str">
        <f>VLOOKUP(34,Textbausteine_Menu[],Hilfsgrössen!$D$2,FALSE)</f>
        <v>GRI</v>
      </c>
      <c r="G58" s="53"/>
      <c r="H58" s="116">
        <v>2004</v>
      </c>
      <c r="I58" s="116">
        <v>2005</v>
      </c>
      <c r="J58" s="116">
        <v>2006</v>
      </c>
      <c r="K58" s="116">
        <v>2007</v>
      </c>
      <c r="L58" s="116">
        <v>2008</v>
      </c>
      <c r="M58" s="116">
        <v>2009</v>
      </c>
      <c r="N58" s="116">
        <v>2010</v>
      </c>
      <c r="O58" s="116">
        <v>2011</v>
      </c>
      <c r="P58" s="116">
        <v>2012</v>
      </c>
      <c r="Q58" s="116">
        <v>2013</v>
      </c>
      <c r="R58" s="116">
        <v>2014</v>
      </c>
      <c r="S58" s="116">
        <v>2015</v>
      </c>
      <c r="T58" s="116">
        <v>2016</v>
      </c>
      <c r="U58" s="116">
        <v>2017</v>
      </c>
      <c r="V58" s="116">
        <v>2018</v>
      </c>
      <c r="W58" s="116">
        <v>2019</v>
      </c>
      <c r="X58" s="255">
        <v>2020</v>
      </c>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row>
    <row r="59" spans="1:82" s="31" customFormat="1" ht="13" customHeight="1">
      <c r="A59" s="55"/>
      <c r="B59" s="495"/>
      <c r="C59" s="495"/>
      <c r="D59" s="6"/>
      <c r="E59" s="37"/>
      <c r="F59" s="37"/>
      <c r="G59" s="47"/>
      <c r="H59" s="116"/>
      <c r="I59" s="116"/>
      <c r="J59" s="116"/>
      <c r="K59" s="116"/>
      <c r="L59" s="105"/>
      <c r="M59" s="105"/>
      <c r="N59" s="106"/>
      <c r="O59" s="106"/>
      <c r="P59" s="106"/>
      <c r="Q59" s="106"/>
      <c r="R59" s="106"/>
      <c r="S59" s="106"/>
      <c r="T59" s="20"/>
      <c r="U59" s="20"/>
      <c r="V59" s="20"/>
      <c r="W59" s="20"/>
      <c r="X59" s="256"/>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row>
    <row r="60" spans="1:82" ht="13" customHeight="1">
      <c r="A60" s="65"/>
      <c r="B60" s="8"/>
      <c r="C60" s="9"/>
      <c r="D60" s="9"/>
      <c r="E60" s="40"/>
      <c r="F60" s="40"/>
      <c r="H60" s="116"/>
      <c r="I60" s="116"/>
      <c r="J60" s="116"/>
      <c r="K60" s="116"/>
      <c r="L60" s="105"/>
      <c r="M60" s="105"/>
      <c r="N60" s="106"/>
      <c r="O60" s="106"/>
      <c r="P60" s="106"/>
      <c r="Q60" s="106"/>
      <c r="R60" s="106"/>
      <c r="S60" s="106"/>
      <c r="X60" s="256"/>
    </row>
    <row r="61" spans="1:82" ht="13" customHeight="1">
      <c r="A61" s="65"/>
      <c r="B61" s="8" t="str">
        <f>VLOOKUP(37,Textbausteine_Menu[],Hilfsgrössen!$D$2,FALSE)</f>
        <v>Gruppo Svizzera</v>
      </c>
      <c r="C61" s="9"/>
      <c r="D61" s="9"/>
      <c r="E61" s="40"/>
      <c r="F61" s="40"/>
      <c r="H61" s="116"/>
      <c r="I61" s="116"/>
      <c r="J61" s="116"/>
      <c r="K61" s="116"/>
      <c r="L61" s="105"/>
      <c r="M61" s="105"/>
      <c r="N61" s="106"/>
      <c r="O61" s="106"/>
      <c r="P61" s="106"/>
      <c r="Q61" s="106"/>
      <c r="R61" s="106"/>
      <c r="S61" s="106"/>
      <c r="X61" s="256"/>
    </row>
    <row r="62" spans="1:82" ht="13" customHeight="1">
      <c r="A62" s="65"/>
      <c r="B62" s="148"/>
      <c r="C62" s="8" t="str">
        <f>VLOOKUP(61,Textbausteine_203[],Hilfsgrössen!$D$2,FALSE)</f>
        <v>Posti di lavoro per Cantone</v>
      </c>
      <c r="D62" s="66"/>
      <c r="E62" s="40"/>
      <c r="F62" s="40"/>
      <c r="H62" s="106"/>
      <c r="I62" s="106"/>
      <c r="J62" s="106"/>
      <c r="K62" s="106"/>
      <c r="L62" s="106"/>
      <c r="M62" s="106"/>
      <c r="N62" s="106"/>
      <c r="O62" s="106"/>
      <c r="P62" s="106"/>
      <c r="Q62" s="106"/>
      <c r="R62" s="106"/>
      <c r="S62" s="106"/>
      <c r="X62" s="256"/>
    </row>
    <row r="63" spans="1:82" ht="13" customHeight="1">
      <c r="C63" s="36" t="str">
        <f>VLOOKUP(89,Textbausteine_203[],Hilfsgrössen!$D$2,FALSE)</f>
        <v>Svizzera</v>
      </c>
      <c r="D63" s="1" t="str">
        <f>VLOOKUP(15,Textbausteine_203[],Hilfsgrössen!$D$2,FALSE)</f>
        <v>unità di personale</v>
      </c>
      <c r="E63" s="37" t="s">
        <v>126</v>
      </c>
      <c r="F63" s="11" t="s">
        <v>124</v>
      </c>
      <c r="H63" s="329">
        <v>41125</v>
      </c>
      <c r="I63" s="329">
        <v>39727</v>
      </c>
      <c r="J63" s="329">
        <v>38799</v>
      </c>
      <c r="K63" s="329">
        <v>37935</v>
      </c>
      <c r="L63" s="329">
        <v>37902</v>
      </c>
      <c r="M63" s="329">
        <v>37817</v>
      </c>
      <c r="N63" s="329">
        <v>37873</v>
      </c>
      <c r="O63" s="329">
        <v>37703</v>
      </c>
      <c r="P63" s="329">
        <v>37984</v>
      </c>
      <c r="Q63" s="329">
        <v>37326</v>
      </c>
      <c r="R63" s="329">
        <v>37054.487249999998</v>
      </c>
      <c r="S63" s="329">
        <v>36681</v>
      </c>
      <c r="T63" s="14">
        <v>36223</v>
      </c>
      <c r="U63" s="14">
        <v>35278</v>
      </c>
      <c r="V63" s="14">
        <v>33746</v>
      </c>
      <c r="W63" s="14">
        <v>33398</v>
      </c>
      <c r="X63" s="424">
        <v>33301.071576666633</v>
      </c>
    </row>
    <row r="64" spans="1:82" ht="13" customHeight="1">
      <c r="C64" s="143" t="str">
        <f>VLOOKUP(88,Textbausteine_203[],Hilfsgrössen!$D$2,FALSE)</f>
        <v>Zurigo</v>
      </c>
      <c r="D64" s="1" t="str">
        <f>VLOOKUP(15,Textbausteine_203[],Hilfsgrössen!$D$2,FALSE)</f>
        <v>unità di personale</v>
      </c>
      <c r="E64" s="37" t="s">
        <v>127</v>
      </c>
      <c r="F64" s="11" t="s">
        <v>124</v>
      </c>
      <c r="H64" s="329">
        <v>6784</v>
      </c>
      <c r="I64" s="329">
        <v>6451</v>
      </c>
      <c r="J64" s="329">
        <v>6310</v>
      </c>
      <c r="K64" s="329">
        <v>6016</v>
      </c>
      <c r="L64" s="329">
        <v>5938</v>
      </c>
      <c r="M64" s="329">
        <v>6084.2270000000008</v>
      </c>
      <c r="N64" s="329">
        <v>6331.5433466505292</v>
      </c>
      <c r="O64" s="329">
        <v>6248</v>
      </c>
      <c r="P64" s="329">
        <v>6351</v>
      </c>
      <c r="Q64" s="329">
        <v>6244.6764999999996</v>
      </c>
      <c r="R64" s="329">
        <v>6178.0165000000006</v>
      </c>
      <c r="S64" s="329">
        <v>6059</v>
      </c>
      <c r="T64" s="14">
        <v>6063</v>
      </c>
      <c r="U64" s="14">
        <v>5917</v>
      </c>
      <c r="V64" s="14">
        <v>5629</v>
      </c>
      <c r="W64" s="14">
        <v>5562</v>
      </c>
      <c r="X64" s="424">
        <v>5537.61099333333</v>
      </c>
    </row>
    <row r="65" spans="3:25" ht="13" customHeight="1">
      <c r="C65" s="217" t="str">
        <f>VLOOKUP(66,Textbausteine_203[],Hilfsgrössen!$D$2,FALSE)</f>
        <v>Berna</v>
      </c>
      <c r="D65" s="66" t="str">
        <f>VLOOKUP(15,Textbausteine_203[],Hilfsgrössen!$D$2,FALSE)</f>
        <v>unità di personale</v>
      </c>
      <c r="E65" s="37" t="s">
        <v>127</v>
      </c>
      <c r="F65" s="11" t="s">
        <v>124</v>
      </c>
      <c r="G65" s="50"/>
      <c r="H65" s="329">
        <v>8405</v>
      </c>
      <c r="I65" s="329">
        <v>8277</v>
      </c>
      <c r="J65" s="329">
        <v>8240</v>
      </c>
      <c r="K65" s="329">
        <v>8349</v>
      </c>
      <c r="L65" s="329">
        <v>8269</v>
      </c>
      <c r="M65" s="329">
        <v>7938.2110000000002</v>
      </c>
      <c r="N65" s="329">
        <v>7973.0468378380756</v>
      </c>
      <c r="O65" s="329">
        <v>7929</v>
      </c>
      <c r="P65" s="329">
        <v>8080</v>
      </c>
      <c r="Q65" s="329">
        <v>7981.5377499999995</v>
      </c>
      <c r="R65" s="329">
        <v>7975.4466666666667</v>
      </c>
      <c r="S65" s="329">
        <v>8048</v>
      </c>
      <c r="T65" s="14">
        <v>8037</v>
      </c>
      <c r="U65" s="14">
        <v>7870</v>
      </c>
      <c r="V65" s="14">
        <v>7669</v>
      </c>
      <c r="W65" s="14">
        <v>7720</v>
      </c>
      <c r="X65" s="424">
        <v>7901.7459166666704</v>
      </c>
    </row>
    <row r="66" spans="3:25" ht="13" customHeight="1">
      <c r="C66" s="143" t="str">
        <f>VLOOKUP(74,Textbausteine_203[],Hilfsgrössen!$D$2,FALSE)</f>
        <v>Lucerna</v>
      </c>
      <c r="D66" s="1" t="str">
        <f>VLOOKUP(15,Textbausteine_203[],Hilfsgrössen!$D$2,FALSE)</f>
        <v>unità di personale</v>
      </c>
      <c r="E66" s="37" t="s">
        <v>127</v>
      </c>
      <c r="F66" s="11" t="s">
        <v>124</v>
      </c>
      <c r="G66" s="49"/>
      <c r="H66" s="329">
        <v>1832</v>
      </c>
      <c r="I66" s="329">
        <v>1759</v>
      </c>
      <c r="J66" s="329">
        <v>1753</v>
      </c>
      <c r="K66" s="329">
        <v>1738</v>
      </c>
      <c r="L66" s="329">
        <v>1647</v>
      </c>
      <c r="M66" s="329">
        <v>1531.7330000000002</v>
      </c>
      <c r="N66" s="329">
        <v>1696.4962445402036</v>
      </c>
      <c r="O66" s="329">
        <v>1672</v>
      </c>
      <c r="P66" s="329">
        <v>1656</v>
      </c>
      <c r="Q66" s="329">
        <v>1631.0616666666667</v>
      </c>
      <c r="R66" s="329">
        <v>1574.9935833333334</v>
      </c>
      <c r="S66" s="329">
        <v>1644</v>
      </c>
      <c r="T66" s="17">
        <v>1612</v>
      </c>
      <c r="U66" s="17">
        <v>1532</v>
      </c>
      <c r="V66" s="17">
        <v>1407</v>
      </c>
      <c r="W66" s="17">
        <v>1346</v>
      </c>
      <c r="X66" s="410">
        <v>1337.6677499999998</v>
      </c>
      <c r="Y66" s="11"/>
    </row>
    <row r="67" spans="3:25" ht="13" customHeight="1">
      <c r="C67" s="143" t="str">
        <f>VLOOKUP(84,Textbausteine_203[],Hilfsgrössen!$D$2,FALSE)</f>
        <v>Uri</v>
      </c>
      <c r="D67" s="1" t="str">
        <f>VLOOKUP(15,Textbausteine_203[],Hilfsgrössen!$D$2,FALSE)</f>
        <v>unità di personale</v>
      </c>
      <c r="E67" s="11" t="s">
        <v>84</v>
      </c>
      <c r="F67" s="11" t="s">
        <v>124</v>
      </c>
      <c r="G67" s="51"/>
      <c r="H67" s="329">
        <v>103</v>
      </c>
      <c r="I67" s="329">
        <v>98</v>
      </c>
      <c r="J67" s="329">
        <v>99</v>
      </c>
      <c r="K67" s="329">
        <v>97</v>
      </c>
      <c r="L67" s="329">
        <v>95</v>
      </c>
      <c r="M67" s="329">
        <v>96.533999999999992</v>
      </c>
      <c r="N67" s="329">
        <v>92.973333333333343</v>
      </c>
      <c r="O67" s="329">
        <v>93</v>
      </c>
      <c r="P67" s="329">
        <v>91</v>
      </c>
      <c r="Q67" s="329">
        <v>86.510083333333327</v>
      </c>
      <c r="R67" s="329">
        <v>85.333749999999995</v>
      </c>
      <c r="S67" s="329">
        <v>83</v>
      </c>
      <c r="T67" s="14">
        <v>80</v>
      </c>
      <c r="U67" s="14">
        <v>76</v>
      </c>
      <c r="V67" s="14">
        <v>70.299333300000001</v>
      </c>
      <c r="W67" s="14">
        <v>64</v>
      </c>
      <c r="X67" s="424">
        <v>60.627666666666698</v>
      </c>
      <c r="Y67" s="11"/>
    </row>
    <row r="68" spans="3:25" ht="13" customHeight="1">
      <c r="C68" s="143" t="str">
        <f>VLOOKUP(81,Textbausteine_203[],Hilfsgrössen!$D$2,FALSE)</f>
        <v>Svitto</v>
      </c>
      <c r="D68" s="1" t="str">
        <f>VLOOKUP(15,Textbausteine_203[],Hilfsgrössen!$D$2,FALSE)</f>
        <v>unità di personale</v>
      </c>
      <c r="E68" s="37" t="s">
        <v>127</v>
      </c>
      <c r="F68" s="11" t="s">
        <v>124</v>
      </c>
      <c r="G68" s="49"/>
      <c r="H68" s="329">
        <v>371</v>
      </c>
      <c r="I68" s="329">
        <v>365</v>
      </c>
      <c r="J68" s="329">
        <v>361</v>
      </c>
      <c r="K68" s="329">
        <v>345</v>
      </c>
      <c r="L68" s="329">
        <v>390</v>
      </c>
      <c r="M68" s="329">
        <v>386.738</v>
      </c>
      <c r="N68" s="329">
        <v>347.43000000000006</v>
      </c>
      <c r="O68" s="329">
        <v>346</v>
      </c>
      <c r="P68" s="329">
        <v>328</v>
      </c>
      <c r="Q68" s="329">
        <v>314.661</v>
      </c>
      <c r="R68" s="329">
        <v>305.14208333333335</v>
      </c>
      <c r="S68" s="329">
        <v>292</v>
      </c>
      <c r="T68" s="17">
        <v>286</v>
      </c>
      <c r="U68" s="17">
        <v>278</v>
      </c>
      <c r="V68" s="17">
        <v>273</v>
      </c>
      <c r="W68" s="17">
        <v>249</v>
      </c>
      <c r="X68" s="410">
        <v>266.82458333333301</v>
      </c>
      <c r="Y68" s="11"/>
    </row>
    <row r="69" spans="3:25" ht="13" customHeight="1">
      <c r="C69" s="143" t="str">
        <f>VLOOKUP(77,Textbausteine_203[],Hilfsgrössen!$D$2,FALSE)</f>
        <v>Obvaldo</v>
      </c>
      <c r="D69" s="1" t="str">
        <f>VLOOKUP(15,Textbausteine_203[],Hilfsgrössen!$D$2,FALSE)</f>
        <v>unità di personale</v>
      </c>
      <c r="E69" s="11" t="s">
        <v>84</v>
      </c>
      <c r="F69" s="11" t="s">
        <v>124</v>
      </c>
      <c r="G69" s="49"/>
      <c r="H69" s="329">
        <v>91</v>
      </c>
      <c r="I69" s="329">
        <v>86</v>
      </c>
      <c r="J69" s="329">
        <v>86</v>
      </c>
      <c r="K69" s="329">
        <v>86</v>
      </c>
      <c r="L69" s="329">
        <v>87</v>
      </c>
      <c r="M69" s="329">
        <v>89.718000000000004</v>
      </c>
      <c r="N69" s="329">
        <v>84.689166666666679</v>
      </c>
      <c r="O69" s="329">
        <v>85</v>
      </c>
      <c r="P69" s="329">
        <v>79</v>
      </c>
      <c r="Q69" s="329">
        <v>79.333749999999995</v>
      </c>
      <c r="R69" s="329">
        <v>76.456583333333327</v>
      </c>
      <c r="S69" s="329">
        <v>76</v>
      </c>
      <c r="T69" s="17">
        <v>70</v>
      </c>
      <c r="U69" s="17">
        <v>67</v>
      </c>
      <c r="V69" s="17">
        <v>63.588083300000001</v>
      </c>
      <c r="W69" s="17">
        <v>81</v>
      </c>
      <c r="X69" s="410">
        <v>91.315666666666701</v>
      </c>
      <c r="Y69" s="11"/>
    </row>
    <row r="70" spans="3:25" ht="13" customHeight="1">
      <c r="C70" s="143" t="str">
        <f>VLOOKUP(76,Textbausteine_203[],Hilfsgrössen!$D$2,FALSE)</f>
        <v>Nidvaldo</v>
      </c>
      <c r="D70" s="1" t="str">
        <f>VLOOKUP(15,Textbausteine_203[],Hilfsgrössen!$D$2,FALSE)</f>
        <v>unità di personale</v>
      </c>
      <c r="E70" s="11" t="s">
        <v>84</v>
      </c>
      <c r="F70" s="11" t="s">
        <v>124</v>
      </c>
      <c r="G70" s="49"/>
      <c r="H70" s="329">
        <v>110</v>
      </c>
      <c r="I70" s="329">
        <v>108</v>
      </c>
      <c r="J70" s="329">
        <v>112</v>
      </c>
      <c r="K70" s="329">
        <v>110</v>
      </c>
      <c r="L70" s="329">
        <v>110</v>
      </c>
      <c r="M70" s="329">
        <v>109.753</v>
      </c>
      <c r="N70" s="329">
        <v>100.94333333333333</v>
      </c>
      <c r="O70" s="329">
        <v>97</v>
      </c>
      <c r="P70" s="329">
        <v>84</v>
      </c>
      <c r="Q70" s="329">
        <v>81.878500000000003</v>
      </c>
      <c r="R70" s="329">
        <v>82.684583333333336</v>
      </c>
      <c r="S70" s="329">
        <v>79</v>
      </c>
      <c r="T70" s="17">
        <v>75</v>
      </c>
      <c r="U70" s="17">
        <v>71</v>
      </c>
      <c r="V70" s="17">
        <v>69.337500000000006</v>
      </c>
      <c r="W70" s="17">
        <v>68</v>
      </c>
      <c r="X70" s="410">
        <v>64.756083333333294</v>
      </c>
      <c r="Y70" s="11"/>
    </row>
    <row r="71" spans="3:25" ht="13" customHeight="1">
      <c r="C71" s="143" t="str">
        <f>VLOOKUP(71,Textbausteine_203[],Hilfsgrössen!$D$2,FALSE)</f>
        <v>Glarona</v>
      </c>
      <c r="D71" s="1" t="str">
        <f>VLOOKUP(15,Textbausteine_203[],Hilfsgrössen!$D$2,FALSE)</f>
        <v>unità di personale</v>
      </c>
      <c r="E71" s="11" t="s">
        <v>84</v>
      </c>
      <c r="F71" s="11" t="s">
        <v>124</v>
      </c>
      <c r="G71" s="49"/>
      <c r="H71" s="329">
        <v>259</v>
      </c>
      <c r="I71" s="329">
        <v>269</v>
      </c>
      <c r="J71" s="329">
        <v>256</v>
      </c>
      <c r="K71" s="329">
        <v>246</v>
      </c>
      <c r="L71" s="329">
        <v>261</v>
      </c>
      <c r="M71" s="329">
        <v>270.69299999999998</v>
      </c>
      <c r="N71" s="329">
        <v>269.86</v>
      </c>
      <c r="O71" s="329">
        <v>268</v>
      </c>
      <c r="P71" s="329">
        <v>260</v>
      </c>
      <c r="Q71" s="329">
        <v>249.26050000000001</v>
      </c>
      <c r="R71" s="329">
        <v>239.46583333333334</v>
      </c>
      <c r="S71" s="329">
        <v>241</v>
      </c>
      <c r="T71" s="17">
        <v>239</v>
      </c>
      <c r="U71" s="17">
        <v>228</v>
      </c>
      <c r="V71" s="17">
        <v>236.73349999999999</v>
      </c>
      <c r="W71" s="17">
        <v>277</v>
      </c>
      <c r="X71" s="410">
        <v>282.18158333333298</v>
      </c>
      <c r="Y71" s="11"/>
    </row>
    <row r="72" spans="3:25" ht="13" customHeight="1">
      <c r="C72" s="143" t="str">
        <f>VLOOKUP(87,Textbausteine_203[],Hilfsgrössen!$D$2,FALSE)</f>
        <v>Zugo</v>
      </c>
      <c r="D72" s="1" t="str">
        <f>VLOOKUP(15,Textbausteine_203[],Hilfsgrössen!$D$2,FALSE)</f>
        <v>unità di personale</v>
      </c>
      <c r="E72" s="37" t="s">
        <v>127</v>
      </c>
      <c r="F72" s="11" t="s">
        <v>124</v>
      </c>
      <c r="G72" s="53"/>
      <c r="H72" s="329">
        <v>393</v>
      </c>
      <c r="I72" s="329">
        <v>378</v>
      </c>
      <c r="J72" s="329">
        <v>375</v>
      </c>
      <c r="K72" s="329">
        <v>367</v>
      </c>
      <c r="L72" s="329">
        <v>343</v>
      </c>
      <c r="M72" s="329">
        <v>351.76799999999997</v>
      </c>
      <c r="N72" s="329">
        <v>328.64416666666665</v>
      </c>
      <c r="O72" s="329">
        <v>327</v>
      </c>
      <c r="P72" s="329">
        <v>387</v>
      </c>
      <c r="Q72" s="329">
        <v>384.39941666666664</v>
      </c>
      <c r="R72" s="329">
        <v>367.84800000000001</v>
      </c>
      <c r="S72" s="329">
        <v>358</v>
      </c>
      <c r="T72" s="14">
        <v>344</v>
      </c>
      <c r="U72" s="14">
        <v>328</v>
      </c>
      <c r="V72" s="14">
        <v>268</v>
      </c>
      <c r="W72" s="14">
        <v>261</v>
      </c>
      <c r="X72" s="424">
        <v>250.14699999999999</v>
      </c>
      <c r="Y72" s="11"/>
    </row>
    <row r="73" spans="3:25" ht="13" customHeight="1">
      <c r="C73" s="229" t="str">
        <f>VLOOKUP(69,Textbausteine_203[],Hilfsgrössen!$D$2,FALSE)</f>
        <v>Friburgo</v>
      </c>
      <c r="D73" s="191" t="str">
        <f>VLOOKUP(15,Textbausteine_203[],Hilfsgrössen!$D$2,FALSE)</f>
        <v>unità di personale</v>
      </c>
      <c r="E73" s="11" t="s">
        <v>84</v>
      </c>
      <c r="F73" s="11" t="s">
        <v>124</v>
      </c>
      <c r="G73" s="49"/>
      <c r="H73" s="329">
        <v>1150</v>
      </c>
      <c r="I73" s="329">
        <v>1187</v>
      </c>
      <c r="J73" s="329">
        <v>1164</v>
      </c>
      <c r="K73" s="329">
        <v>1136</v>
      </c>
      <c r="L73" s="329">
        <v>1117</v>
      </c>
      <c r="M73" s="329">
        <v>1092.145</v>
      </c>
      <c r="N73" s="329">
        <v>1078.5083333333332</v>
      </c>
      <c r="O73" s="329">
        <v>1083</v>
      </c>
      <c r="P73" s="329">
        <v>1096</v>
      </c>
      <c r="Q73" s="329">
        <v>1116.1558333333332</v>
      </c>
      <c r="R73" s="329">
        <v>1138.31925</v>
      </c>
      <c r="S73" s="329">
        <v>1132</v>
      </c>
      <c r="T73" s="14">
        <v>1098</v>
      </c>
      <c r="U73" s="14">
        <v>1054</v>
      </c>
      <c r="V73" s="14">
        <v>1041.1721700000001</v>
      </c>
      <c r="W73" s="14">
        <v>1030</v>
      </c>
      <c r="X73" s="424">
        <v>1009.6277499999997</v>
      </c>
      <c r="Y73" s="11"/>
    </row>
    <row r="74" spans="3:25" ht="13" customHeight="1">
      <c r="C74" s="143" t="str">
        <f>VLOOKUP(80,Textbausteine_203[],Hilfsgrössen!$D$2,FALSE)</f>
        <v>Soletta</v>
      </c>
      <c r="D74" s="1" t="str">
        <f>VLOOKUP(15,Textbausteine_203[],Hilfsgrössen!$D$2,FALSE)</f>
        <v>unità di personale</v>
      </c>
      <c r="E74" s="37" t="s">
        <v>127</v>
      </c>
      <c r="F74" s="11" t="s">
        <v>124</v>
      </c>
      <c r="G74" s="49"/>
      <c r="H74" s="329">
        <v>1512</v>
      </c>
      <c r="I74" s="329">
        <v>1374</v>
      </c>
      <c r="J74" s="329">
        <v>1310</v>
      </c>
      <c r="K74" s="329">
        <v>1334</v>
      </c>
      <c r="L74" s="329">
        <v>1539</v>
      </c>
      <c r="M74" s="329">
        <v>2059.9280000000003</v>
      </c>
      <c r="N74" s="329">
        <v>2099.9425000000001</v>
      </c>
      <c r="O74" s="329">
        <v>2134</v>
      </c>
      <c r="P74" s="329">
        <v>2228</v>
      </c>
      <c r="Q74" s="329">
        <v>2162.4022500000001</v>
      </c>
      <c r="R74" s="329">
        <v>2154.30375</v>
      </c>
      <c r="S74" s="329">
        <v>2176</v>
      </c>
      <c r="T74" s="17">
        <v>2136</v>
      </c>
      <c r="U74" s="17">
        <v>2169</v>
      </c>
      <c r="V74" s="17">
        <v>2129</v>
      </c>
      <c r="W74" s="17">
        <v>2128</v>
      </c>
      <c r="X74" s="410">
        <v>2095.8149999999969</v>
      </c>
      <c r="Y74" s="11"/>
    </row>
    <row r="75" spans="3:25" ht="13" customHeight="1">
      <c r="C75" s="216" t="str">
        <f>VLOOKUP(68,Textbausteine_203[],Hilfsgrössen!$D$2,FALSE)</f>
        <v>Basilea Città</v>
      </c>
      <c r="D75" s="66" t="str">
        <f>VLOOKUP(15,Textbausteine_203[],Hilfsgrössen!$D$2,FALSE)</f>
        <v>unità di personale</v>
      </c>
      <c r="E75" s="37" t="s">
        <v>127</v>
      </c>
      <c r="F75" s="11" t="s">
        <v>124</v>
      </c>
      <c r="G75" s="49"/>
      <c r="H75" s="329">
        <v>1692</v>
      </c>
      <c r="I75" s="329">
        <v>1573</v>
      </c>
      <c r="J75" s="329">
        <v>1527</v>
      </c>
      <c r="K75" s="329">
        <v>1495</v>
      </c>
      <c r="L75" s="329">
        <v>1426</v>
      </c>
      <c r="M75" s="329">
        <v>1264.5559999999998</v>
      </c>
      <c r="N75" s="329">
        <v>1287.9200056752909</v>
      </c>
      <c r="O75" s="329">
        <v>1198</v>
      </c>
      <c r="P75" s="329">
        <v>1501</v>
      </c>
      <c r="Q75" s="329">
        <v>1511.6490833333332</v>
      </c>
      <c r="R75" s="329">
        <v>1551.9482500000001</v>
      </c>
      <c r="S75" s="329">
        <v>1404</v>
      </c>
      <c r="T75" s="14">
        <v>1408</v>
      </c>
      <c r="U75" s="14">
        <v>1340</v>
      </c>
      <c r="V75" s="14">
        <v>1027</v>
      </c>
      <c r="W75" s="14">
        <v>935</v>
      </c>
      <c r="X75" s="424">
        <v>889.31299999999953</v>
      </c>
      <c r="Y75" s="11"/>
    </row>
    <row r="76" spans="3:25" ht="13" customHeight="1">
      <c r="C76" s="217" t="str">
        <f>VLOOKUP(67,Textbausteine_203[],Hilfsgrössen!$D$2,FALSE)</f>
        <v>Basilea Campagna</v>
      </c>
      <c r="D76" s="66" t="str">
        <f>VLOOKUP(15,Textbausteine_203[],Hilfsgrössen!$D$2,FALSE)</f>
        <v>unità di personale</v>
      </c>
      <c r="E76" s="37" t="s">
        <v>127</v>
      </c>
      <c r="F76" s="11" t="s">
        <v>124</v>
      </c>
      <c r="G76" s="49"/>
      <c r="H76" s="329">
        <v>1116</v>
      </c>
      <c r="I76" s="329">
        <v>1013</v>
      </c>
      <c r="J76" s="329">
        <v>972</v>
      </c>
      <c r="K76" s="329">
        <v>983</v>
      </c>
      <c r="L76" s="329">
        <v>1054</v>
      </c>
      <c r="M76" s="329">
        <v>1100.6089999999999</v>
      </c>
      <c r="N76" s="329">
        <v>954.14249999999993</v>
      </c>
      <c r="O76" s="329">
        <v>931</v>
      </c>
      <c r="P76" s="329">
        <v>906</v>
      </c>
      <c r="Q76" s="329">
        <v>874.64083333333338</v>
      </c>
      <c r="R76" s="329">
        <v>813.07783333333339</v>
      </c>
      <c r="S76" s="329">
        <v>784</v>
      </c>
      <c r="T76" s="14">
        <v>756</v>
      </c>
      <c r="U76" s="14">
        <v>732</v>
      </c>
      <c r="V76" s="14">
        <v>699</v>
      </c>
      <c r="W76" s="14">
        <v>630</v>
      </c>
      <c r="X76" s="424">
        <v>634.85025000000007</v>
      </c>
      <c r="Y76" s="11"/>
    </row>
    <row r="77" spans="3:25" ht="13" customHeight="1">
      <c r="C77" s="143" t="str">
        <f>VLOOKUP(79,Textbausteine_203[],Hilfsgrössen!$D$2,FALSE)</f>
        <v>Sciaffusa</v>
      </c>
      <c r="D77" s="1" t="str">
        <f>VLOOKUP(15,Textbausteine_203[],Hilfsgrössen!$D$2,FALSE)</f>
        <v>unità di personale</v>
      </c>
      <c r="E77" s="11" t="s">
        <v>84</v>
      </c>
      <c r="F77" s="11" t="s">
        <v>124</v>
      </c>
      <c r="G77" s="49"/>
      <c r="H77" s="329">
        <v>250</v>
      </c>
      <c r="I77" s="329">
        <v>263</v>
      </c>
      <c r="J77" s="329">
        <v>272</v>
      </c>
      <c r="K77" s="329">
        <v>257</v>
      </c>
      <c r="L77" s="329">
        <v>258</v>
      </c>
      <c r="M77" s="329">
        <v>270.46499999999997</v>
      </c>
      <c r="N77" s="329">
        <v>274.57583333333332</v>
      </c>
      <c r="O77" s="329">
        <v>300</v>
      </c>
      <c r="P77" s="329">
        <v>298</v>
      </c>
      <c r="Q77" s="329">
        <v>301.18891666666667</v>
      </c>
      <c r="R77" s="329">
        <v>293.68608333333333</v>
      </c>
      <c r="S77" s="329">
        <v>307</v>
      </c>
      <c r="T77" s="17">
        <v>280</v>
      </c>
      <c r="U77" s="17">
        <v>288</v>
      </c>
      <c r="V77" s="17">
        <v>271.89</v>
      </c>
      <c r="W77" s="17">
        <v>264</v>
      </c>
      <c r="X77" s="410">
        <v>261.6925</v>
      </c>
      <c r="Y77" s="11"/>
    </row>
    <row r="78" spans="3:25" ht="13" customHeight="1">
      <c r="C78" s="216" t="str">
        <f>VLOOKUP(65,Textbausteine_203[],Hilfsgrössen!$D$2,FALSE)</f>
        <v>Appenzello esterno</v>
      </c>
      <c r="D78" s="66" t="str">
        <f>VLOOKUP(15,Textbausteine_203[],Hilfsgrössen!$D$2,FALSE)</f>
        <v>unità di personale</v>
      </c>
      <c r="E78" s="11" t="s">
        <v>84</v>
      </c>
      <c r="F78" s="11" t="s">
        <v>124</v>
      </c>
      <c r="G78" s="50"/>
      <c r="H78" s="329">
        <v>200</v>
      </c>
      <c r="I78" s="329">
        <v>192</v>
      </c>
      <c r="J78" s="329">
        <v>186</v>
      </c>
      <c r="K78" s="329">
        <v>174</v>
      </c>
      <c r="L78" s="329">
        <v>170</v>
      </c>
      <c r="M78" s="329">
        <v>169.29000000000002</v>
      </c>
      <c r="N78" s="329">
        <v>147.40916666666666</v>
      </c>
      <c r="O78" s="329">
        <v>142</v>
      </c>
      <c r="P78" s="329">
        <v>137</v>
      </c>
      <c r="Q78" s="329">
        <v>132.54058333333333</v>
      </c>
      <c r="R78" s="329">
        <v>129.78966666666668</v>
      </c>
      <c r="S78" s="329">
        <v>124</v>
      </c>
      <c r="T78" s="14">
        <v>121</v>
      </c>
      <c r="U78" s="14">
        <v>119</v>
      </c>
      <c r="V78" s="14">
        <v>114.274917</v>
      </c>
      <c r="W78" s="14">
        <v>108</v>
      </c>
      <c r="X78" s="424">
        <v>101.811833333333</v>
      </c>
      <c r="Y78" s="11"/>
    </row>
    <row r="79" spans="3:25" ht="13" customHeight="1">
      <c r="C79" s="216" t="str">
        <f>VLOOKUP(64,Textbausteine_203[],Hilfsgrössen!$D$2,FALSE)</f>
        <v>Appenzello interno</v>
      </c>
      <c r="D79" s="66" t="str">
        <f>VLOOKUP(15,Textbausteine_203[],Hilfsgrössen!$D$2,FALSE)</f>
        <v>unità di personale</v>
      </c>
      <c r="E79" s="11" t="s">
        <v>84</v>
      </c>
      <c r="F79" s="11" t="s">
        <v>124</v>
      </c>
      <c r="G79" s="49"/>
      <c r="H79" s="329">
        <v>39</v>
      </c>
      <c r="I79" s="329">
        <v>40</v>
      </c>
      <c r="J79" s="329">
        <v>41</v>
      </c>
      <c r="K79" s="329">
        <v>40</v>
      </c>
      <c r="L79" s="329">
        <v>40</v>
      </c>
      <c r="M79" s="329">
        <v>41.997999999999998</v>
      </c>
      <c r="N79" s="329">
        <v>39.446666666666673</v>
      </c>
      <c r="O79" s="329">
        <v>39</v>
      </c>
      <c r="P79" s="329">
        <v>37</v>
      </c>
      <c r="Q79" s="329">
        <v>39.22291666666667</v>
      </c>
      <c r="R79" s="329">
        <v>40.095416666666665</v>
      </c>
      <c r="S79" s="329">
        <v>37</v>
      </c>
      <c r="T79" s="14">
        <v>40</v>
      </c>
      <c r="U79" s="14">
        <v>39</v>
      </c>
      <c r="V79" s="14">
        <v>38.465416699999999</v>
      </c>
      <c r="W79" s="14">
        <v>43</v>
      </c>
      <c r="X79" s="424">
        <v>53.016500000000001</v>
      </c>
      <c r="Y79" s="11"/>
    </row>
    <row r="80" spans="3:25" ht="13" customHeight="1">
      <c r="C80" s="143" t="str">
        <f>VLOOKUP(78,Textbausteine_203[],Hilfsgrössen!$D$2,FALSE)</f>
        <v>San Gallo</v>
      </c>
      <c r="D80" s="1" t="str">
        <f>VLOOKUP(15,Textbausteine_203[],Hilfsgrössen!$D$2,FALSE)</f>
        <v>unità di personale</v>
      </c>
      <c r="E80" s="37" t="s">
        <v>127</v>
      </c>
      <c r="F80" s="11" t="s">
        <v>124</v>
      </c>
      <c r="G80" s="49"/>
      <c r="H80" s="329">
        <v>2001</v>
      </c>
      <c r="I80" s="329">
        <v>1922</v>
      </c>
      <c r="J80" s="329">
        <v>1901</v>
      </c>
      <c r="K80" s="329">
        <v>1854</v>
      </c>
      <c r="L80" s="329">
        <v>1803</v>
      </c>
      <c r="M80" s="329">
        <v>1818.3240000000001</v>
      </c>
      <c r="N80" s="329">
        <v>1912.5952319625715</v>
      </c>
      <c r="O80" s="329">
        <v>1945</v>
      </c>
      <c r="P80" s="329">
        <v>1929</v>
      </c>
      <c r="Q80" s="329">
        <v>1947.7953333333332</v>
      </c>
      <c r="R80" s="329">
        <v>2056.2443333333331</v>
      </c>
      <c r="S80" s="329">
        <v>2026</v>
      </c>
      <c r="T80" s="17">
        <v>1976</v>
      </c>
      <c r="U80" s="17">
        <v>1803</v>
      </c>
      <c r="V80" s="17">
        <v>1596</v>
      </c>
      <c r="W80" s="17">
        <v>1483</v>
      </c>
      <c r="X80" s="410">
        <v>1375.1025</v>
      </c>
      <c r="Y80" s="11"/>
    </row>
    <row r="81" spans="2:25" ht="13" customHeight="1">
      <c r="C81" s="143" t="str">
        <f>VLOOKUP(72,Textbausteine_203[],Hilfsgrössen!$D$2,FALSE)</f>
        <v>Grigioni</v>
      </c>
      <c r="D81" s="1" t="str">
        <f>VLOOKUP(15,Textbausteine_203[],Hilfsgrössen!$D$2,FALSE)</f>
        <v>unità di personale</v>
      </c>
      <c r="E81" s="11" t="s">
        <v>84</v>
      </c>
      <c r="F81" s="11" t="s">
        <v>124</v>
      </c>
      <c r="G81" s="49"/>
      <c r="H81" s="329">
        <v>1120</v>
      </c>
      <c r="I81" s="329">
        <v>1053</v>
      </c>
      <c r="J81" s="329">
        <v>1005</v>
      </c>
      <c r="K81" s="329">
        <v>966</v>
      </c>
      <c r="L81" s="329">
        <v>946</v>
      </c>
      <c r="M81" s="329">
        <v>944.60699999999997</v>
      </c>
      <c r="N81" s="329">
        <v>934.55416666666645</v>
      </c>
      <c r="O81" s="329">
        <v>930</v>
      </c>
      <c r="P81" s="329">
        <v>911</v>
      </c>
      <c r="Q81" s="329">
        <v>899.74924999999996</v>
      </c>
      <c r="R81" s="329">
        <v>920.70725000000004</v>
      </c>
      <c r="S81" s="329">
        <v>901</v>
      </c>
      <c r="T81" s="17">
        <v>875</v>
      </c>
      <c r="U81" s="17">
        <v>861</v>
      </c>
      <c r="V81" s="17">
        <v>844.06224999999995</v>
      </c>
      <c r="W81" s="17">
        <v>845</v>
      </c>
      <c r="X81" s="410">
        <v>850.21391666666705</v>
      </c>
      <c r="Y81" s="11"/>
    </row>
    <row r="82" spans="2:25" ht="13" customHeight="1">
      <c r="C82" s="306" t="str">
        <f>VLOOKUP(63,Textbausteine_203[],Hilfsgrössen!$D$2,FALSE)</f>
        <v>Argovia</v>
      </c>
      <c r="D82" s="66" t="str">
        <f>VLOOKUP(15,Textbausteine_203[],Hilfsgrössen!$D$2,FALSE)</f>
        <v>unità di personale</v>
      </c>
      <c r="E82" s="11" t="s">
        <v>84</v>
      </c>
      <c r="F82" s="11" t="s">
        <v>124</v>
      </c>
      <c r="G82" s="49"/>
      <c r="H82" s="329">
        <v>2575</v>
      </c>
      <c r="I82" s="329">
        <v>2546</v>
      </c>
      <c r="J82" s="329">
        <v>2452</v>
      </c>
      <c r="K82" s="329">
        <v>2354</v>
      </c>
      <c r="L82" s="329">
        <v>2570</v>
      </c>
      <c r="M82" s="329">
        <v>2557.2199999999998</v>
      </c>
      <c r="N82" s="329">
        <v>2505.5350000000003</v>
      </c>
      <c r="O82" s="329">
        <v>2504</v>
      </c>
      <c r="P82" s="329">
        <v>2406</v>
      </c>
      <c r="Q82" s="329">
        <v>2228.5073333333335</v>
      </c>
      <c r="R82" s="329">
        <v>2103.5278333333335</v>
      </c>
      <c r="S82" s="329">
        <v>2008</v>
      </c>
      <c r="T82" s="14">
        <v>1983</v>
      </c>
      <c r="U82" s="14">
        <v>1904</v>
      </c>
      <c r="V82" s="14">
        <v>1918.1749199999999</v>
      </c>
      <c r="W82" s="14">
        <v>1976</v>
      </c>
      <c r="X82" s="424">
        <v>1950.11816666667</v>
      </c>
      <c r="Y82" s="11"/>
    </row>
    <row r="83" spans="2:25" ht="13" customHeight="1">
      <c r="C83" s="143" t="str">
        <f>VLOOKUP(82,Textbausteine_203[],Hilfsgrössen!$D$2,FALSE)</f>
        <v>Turgovia</v>
      </c>
      <c r="D83" s="1" t="str">
        <f>VLOOKUP(15,Textbausteine_203[],Hilfsgrössen!$D$2,FALSE)</f>
        <v>unità di personale</v>
      </c>
      <c r="E83" s="11" t="s">
        <v>84</v>
      </c>
      <c r="F83" s="11" t="s">
        <v>124</v>
      </c>
      <c r="G83" s="51"/>
      <c r="H83" s="329">
        <v>1103</v>
      </c>
      <c r="I83" s="329">
        <v>1051</v>
      </c>
      <c r="J83" s="329">
        <v>1028</v>
      </c>
      <c r="K83" s="329">
        <v>1017</v>
      </c>
      <c r="L83" s="329">
        <v>1054</v>
      </c>
      <c r="M83" s="329">
        <v>1053.6889999999999</v>
      </c>
      <c r="N83" s="329">
        <v>998.76166666666666</v>
      </c>
      <c r="O83" s="329">
        <v>1014</v>
      </c>
      <c r="P83" s="329">
        <v>1018</v>
      </c>
      <c r="Q83" s="329">
        <v>1028.6684166666666</v>
      </c>
      <c r="R83" s="329">
        <v>995.8000833333333</v>
      </c>
      <c r="S83" s="329">
        <v>993</v>
      </c>
      <c r="T83" s="17">
        <v>973</v>
      </c>
      <c r="U83" s="17">
        <v>1078</v>
      </c>
      <c r="V83" s="17">
        <v>1102.99</v>
      </c>
      <c r="W83" s="17">
        <v>1124</v>
      </c>
      <c r="X83" s="410">
        <v>1150.499</v>
      </c>
    </row>
    <row r="84" spans="2:25" ht="13" customHeight="1">
      <c r="C84" s="143" t="str">
        <f>VLOOKUP(83,Textbausteine_203[],Hilfsgrössen!$D$2,FALSE)</f>
        <v>Ticino</v>
      </c>
      <c r="D84" s="1" t="str">
        <f>VLOOKUP(15,Textbausteine_203[],Hilfsgrössen!$D$2,FALSE)</f>
        <v>unità di personale</v>
      </c>
      <c r="E84" s="37" t="s">
        <v>127</v>
      </c>
      <c r="F84" s="11" t="s">
        <v>124</v>
      </c>
      <c r="G84" s="51"/>
      <c r="H84" s="329">
        <v>1845</v>
      </c>
      <c r="I84" s="329">
        <v>1768</v>
      </c>
      <c r="J84" s="329">
        <v>1703</v>
      </c>
      <c r="K84" s="329">
        <v>1640</v>
      </c>
      <c r="L84" s="329">
        <v>1603</v>
      </c>
      <c r="M84" s="329">
        <v>1572.279</v>
      </c>
      <c r="N84" s="329">
        <v>1560.2808333333335</v>
      </c>
      <c r="O84" s="329">
        <v>1545</v>
      </c>
      <c r="P84" s="329">
        <v>1575</v>
      </c>
      <c r="Q84" s="329">
        <v>1547.4628333333333</v>
      </c>
      <c r="R84" s="329">
        <v>1523.1366666666665</v>
      </c>
      <c r="S84" s="329">
        <v>1512</v>
      </c>
      <c r="T84" s="17">
        <v>1482</v>
      </c>
      <c r="U84" s="17">
        <v>1443</v>
      </c>
      <c r="V84" s="17">
        <v>1359</v>
      </c>
      <c r="W84" s="17">
        <v>1346</v>
      </c>
      <c r="X84" s="410">
        <v>1370.8184166666699</v>
      </c>
    </row>
    <row r="85" spans="2:25" ht="13" customHeight="1">
      <c r="C85" s="143" t="str">
        <f>VLOOKUP(85,Textbausteine_203[],Hilfsgrössen!$D$2,FALSE)</f>
        <v>Vaud</v>
      </c>
      <c r="D85" s="1" t="str">
        <f>VLOOKUP(15,Textbausteine_203[],Hilfsgrössen!$D$2,FALSE)</f>
        <v>unità di personale</v>
      </c>
      <c r="E85" s="11" t="s">
        <v>84</v>
      </c>
      <c r="F85" s="11" t="s">
        <v>124</v>
      </c>
      <c r="G85" s="52"/>
      <c r="H85" s="329">
        <v>3764</v>
      </c>
      <c r="I85" s="329">
        <v>3637</v>
      </c>
      <c r="J85" s="329">
        <v>3477</v>
      </c>
      <c r="K85" s="329">
        <v>3348</v>
      </c>
      <c r="L85" s="329">
        <v>3367</v>
      </c>
      <c r="M85" s="329">
        <v>3392.8409999999999</v>
      </c>
      <c r="N85" s="329">
        <v>3303.060833333333</v>
      </c>
      <c r="O85" s="329">
        <v>3316</v>
      </c>
      <c r="P85" s="329">
        <v>3177</v>
      </c>
      <c r="Q85" s="329">
        <v>3084.159916666667</v>
      </c>
      <c r="R85" s="329">
        <v>3059.771666666667</v>
      </c>
      <c r="S85" s="329">
        <v>3038</v>
      </c>
      <c r="T85" s="14">
        <v>2982</v>
      </c>
      <c r="U85" s="14">
        <v>2890</v>
      </c>
      <c r="V85" s="14">
        <v>2820.0921699999999</v>
      </c>
      <c r="W85" s="14">
        <v>2799</v>
      </c>
      <c r="X85" s="424">
        <v>2742.6490000000031</v>
      </c>
    </row>
    <row r="86" spans="2:25" ht="13" customHeight="1">
      <c r="C86" s="143" t="str">
        <f>VLOOKUP(86,Textbausteine_203[],Hilfsgrössen!$D$2,FALSE)</f>
        <v>Vallese</v>
      </c>
      <c r="D86" s="1" t="str">
        <f>VLOOKUP(15,Textbausteine_203[],Hilfsgrössen!$D$2,FALSE)</f>
        <v>unità di personale</v>
      </c>
      <c r="E86" s="37" t="s">
        <v>127</v>
      </c>
      <c r="F86" s="11" t="s">
        <v>124</v>
      </c>
      <c r="G86" s="52"/>
      <c r="H86" s="329">
        <v>1142</v>
      </c>
      <c r="I86" s="329">
        <v>1109</v>
      </c>
      <c r="J86" s="329">
        <v>1074</v>
      </c>
      <c r="K86" s="329">
        <v>1038</v>
      </c>
      <c r="L86" s="329">
        <v>1047</v>
      </c>
      <c r="M86" s="329">
        <v>1047.3909999999998</v>
      </c>
      <c r="N86" s="329">
        <v>1042.2274999999997</v>
      </c>
      <c r="O86" s="329">
        <v>1059</v>
      </c>
      <c r="P86" s="329">
        <v>1062</v>
      </c>
      <c r="Q86" s="329">
        <v>1062.9904166666668</v>
      </c>
      <c r="R86" s="329">
        <v>1086.8663333333334</v>
      </c>
      <c r="S86" s="329">
        <v>1082</v>
      </c>
      <c r="T86" s="14">
        <v>1071</v>
      </c>
      <c r="U86" s="14">
        <v>1057</v>
      </c>
      <c r="V86" s="14">
        <v>1055</v>
      </c>
      <c r="W86" s="14">
        <v>1026</v>
      </c>
      <c r="X86" s="424">
        <v>1044.79608333333</v>
      </c>
    </row>
    <row r="87" spans="2:25" ht="13" customHeight="1">
      <c r="C87" s="143" t="str">
        <f>VLOOKUP(75,Textbausteine_203[],Hilfsgrössen!$D$2,FALSE)</f>
        <v>Neuchâtel</v>
      </c>
      <c r="D87" s="1" t="str">
        <f>VLOOKUP(15,Textbausteine_203[],Hilfsgrössen!$D$2,FALSE)</f>
        <v>unità di personale</v>
      </c>
      <c r="E87" s="11" t="s">
        <v>84</v>
      </c>
      <c r="F87" s="11" t="s">
        <v>124</v>
      </c>
      <c r="G87" s="49"/>
      <c r="H87" s="329">
        <v>743</v>
      </c>
      <c r="I87" s="329">
        <v>709</v>
      </c>
      <c r="J87" s="329">
        <v>680</v>
      </c>
      <c r="K87" s="329">
        <v>655</v>
      </c>
      <c r="L87" s="329">
        <v>645</v>
      </c>
      <c r="M87" s="329">
        <v>644.33799999999997</v>
      </c>
      <c r="N87" s="329">
        <v>632.70416666666654</v>
      </c>
      <c r="O87" s="329">
        <v>626</v>
      </c>
      <c r="P87" s="329">
        <v>597</v>
      </c>
      <c r="Q87" s="329">
        <v>590.3054166666667</v>
      </c>
      <c r="R87" s="329">
        <v>580.35141666666664</v>
      </c>
      <c r="S87" s="329">
        <v>567</v>
      </c>
      <c r="T87" s="17">
        <v>546</v>
      </c>
      <c r="U87" s="17">
        <v>519</v>
      </c>
      <c r="V87" s="17">
        <v>488.40341699999999</v>
      </c>
      <c r="W87" s="17">
        <v>482</v>
      </c>
      <c r="X87" s="410">
        <v>479.56074999999998</v>
      </c>
    </row>
    <row r="88" spans="2:25" ht="13" customHeight="1">
      <c r="C88" s="143" t="str">
        <f>VLOOKUP(70,Textbausteine_203[],Hilfsgrössen!$D$2,FALSE)</f>
        <v>Ginevra</v>
      </c>
      <c r="D88" s="1" t="str">
        <f>VLOOKUP(15,Textbausteine_203[],Hilfsgrössen!$D$2,FALSE)</f>
        <v>unità di personale</v>
      </c>
      <c r="E88" s="11" t="s">
        <v>84</v>
      </c>
      <c r="F88" s="11" t="s">
        <v>124</v>
      </c>
      <c r="G88" s="49"/>
      <c r="H88" s="329">
        <v>2187</v>
      </c>
      <c r="I88" s="329">
        <v>2169</v>
      </c>
      <c r="J88" s="329">
        <v>2097</v>
      </c>
      <c r="K88" s="329">
        <v>1979</v>
      </c>
      <c r="L88" s="329">
        <v>1806</v>
      </c>
      <c r="M88" s="329">
        <v>1612.6959999999999</v>
      </c>
      <c r="N88" s="329">
        <v>1570.3766666666666</v>
      </c>
      <c r="O88" s="329">
        <v>1575</v>
      </c>
      <c r="P88" s="329">
        <v>1504</v>
      </c>
      <c r="Q88" s="329">
        <v>1465.8400833333335</v>
      </c>
      <c r="R88" s="329">
        <v>1431.9389999999999</v>
      </c>
      <c r="S88" s="329">
        <v>1392</v>
      </c>
      <c r="T88" s="17">
        <v>1357</v>
      </c>
      <c r="U88" s="17">
        <v>1289</v>
      </c>
      <c r="V88" s="17">
        <v>1235.62417</v>
      </c>
      <c r="W88" s="17">
        <v>1170</v>
      </c>
      <c r="X88" s="410">
        <v>1127.4347500000001</v>
      </c>
    </row>
    <row r="89" spans="2:25" ht="13" customHeight="1">
      <c r="C89" s="143" t="str">
        <f>VLOOKUP(73,Textbausteine_203[],Hilfsgrössen!$D$2,FALSE)</f>
        <v>Giura</v>
      </c>
      <c r="D89" s="1" t="str">
        <f>VLOOKUP(15,Textbausteine_203[],Hilfsgrössen!$D$2,FALSE)</f>
        <v>unità di personale</v>
      </c>
      <c r="E89" s="37" t="s">
        <v>127</v>
      </c>
      <c r="F89" s="11" t="s">
        <v>124</v>
      </c>
      <c r="G89" s="49"/>
      <c r="H89" s="329">
        <v>338</v>
      </c>
      <c r="I89" s="329">
        <v>329</v>
      </c>
      <c r="J89" s="329">
        <v>318</v>
      </c>
      <c r="K89" s="329">
        <v>311</v>
      </c>
      <c r="L89" s="329">
        <v>317</v>
      </c>
      <c r="M89" s="329">
        <v>315.41800000000001</v>
      </c>
      <c r="N89" s="329">
        <v>305.7</v>
      </c>
      <c r="O89" s="329">
        <v>297</v>
      </c>
      <c r="P89" s="329">
        <v>286</v>
      </c>
      <c r="Q89" s="329">
        <v>279.67633333333333</v>
      </c>
      <c r="R89" s="329">
        <v>289.53483333333332</v>
      </c>
      <c r="S89" s="329">
        <v>317</v>
      </c>
      <c r="T89" s="17">
        <v>334</v>
      </c>
      <c r="U89" s="17">
        <v>326</v>
      </c>
      <c r="V89" s="17">
        <v>320</v>
      </c>
      <c r="W89" s="17">
        <v>326</v>
      </c>
      <c r="X89" s="410">
        <v>318.87491666666699</v>
      </c>
    </row>
    <row r="90" spans="2:25" ht="13" customHeight="1">
      <c r="C90" s="143" t="str">
        <f>VLOOKUP(90,Textbausteine_203[],Hilfsgrössen!$D$2,FALSE)</f>
        <v>Estero</v>
      </c>
      <c r="D90" s="1" t="str">
        <f>VLOOKUP(15,Textbausteine_203[],Hilfsgrössen!$D$2,FALSE)</f>
        <v>unità di personale</v>
      </c>
      <c r="E90" s="473" t="s">
        <v>128</v>
      </c>
      <c r="F90" s="11" t="s">
        <v>124</v>
      </c>
      <c r="G90" s="48"/>
      <c r="H90" s="337" t="s">
        <v>30</v>
      </c>
      <c r="I90" s="337" t="s">
        <v>30</v>
      </c>
      <c r="J90" s="337" t="s">
        <v>30</v>
      </c>
      <c r="K90" s="337" t="s">
        <v>30</v>
      </c>
      <c r="L90" s="337" t="s">
        <v>30</v>
      </c>
      <c r="M90" s="337" t="s">
        <v>30</v>
      </c>
      <c r="N90" s="337" t="s">
        <v>30</v>
      </c>
      <c r="O90" s="337" t="s">
        <v>30</v>
      </c>
      <c r="P90" s="337" t="s">
        <v>30</v>
      </c>
      <c r="Q90" s="337" t="s">
        <v>30</v>
      </c>
      <c r="R90" s="337" t="s">
        <v>30</v>
      </c>
      <c r="S90" s="338" t="s">
        <v>30</v>
      </c>
      <c r="T90" s="337" t="s">
        <v>30</v>
      </c>
      <c r="U90" s="337" t="s">
        <v>30</v>
      </c>
      <c r="V90" s="337" t="s">
        <v>30</v>
      </c>
      <c r="W90" s="118">
        <v>55</v>
      </c>
      <c r="X90" s="257">
        <v>52</v>
      </c>
    </row>
    <row r="91" spans="2:25" ht="13" customHeight="1">
      <c r="E91" s="13"/>
      <c r="F91" s="11"/>
      <c r="G91" s="48"/>
      <c r="T91" s="118"/>
      <c r="U91" s="118"/>
      <c r="V91" s="118"/>
      <c r="W91" s="118"/>
      <c r="X91" s="257"/>
    </row>
    <row r="92" spans="2:25" ht="13" customHeight="1">
      <c r="B92" s="148"/>
      <c r="C92" s="8" t="str">
        <f>VLOOKUP(62,Textbausteine_203[],Hilfsgrössen!$D$2,FALSE)</f>
        <v>Collaboratori della Posta ogni 100 lavoratori per Cantone</v>
      </c>
      <c r="E92" s="39"/>
      <c r="F92" s="39"/>
      <c r="G92" s="49"/>
      <c r="T92" s="118"/>
      <c r="U92" s="118"/>
      <c r="V92" s="118"/>
      <c r="W92" s="118"/>
      <c r="X92" s="257"/>
    </row>
    <row r="93" spans="2:25" ht="13" customHeight="1">
      <c r="C93" s="36" t="str">
        <f>VLOOKUP(89,Textbausteine_203[],Hilfsgrössen!$D$2,FALSE)</f>
        <v>Svizzera</v>
      </c>
      <c r="D93" s="66" t="str">
        <f>VLOOKUP(12,Textbausteine_203[],Hilfsgrössen!$D$2,FALSE)</f>
        <v>%</v>
      </c>
      <c r="E93" s="13" t="s">
        <v>129</v>
      </c>
      <c r="F93" s="11" t="s">
        <v>124</v>
      </c>
      <c r="G93" s="49"/>
      <c r="H93" s="187">
        <v>1.4108364367286998</v>
      </c>
      <c r="I93" s="187">
        <v>1.3763565711030843</v>
      </c>
      <c r="J93" s="187">
        <v>1.3358271694868376</v>
      </c>
      <c r="K93" s="187">
        <v>1.2925343995785739</v>
      </c>
      <c r="L93" s="187">
        <v>1.3026169595629598</v>
      </c>
      <c r="M93" s="187">
        <v>1.3263171993287255</v>
      </c>
      <c r="N93" s="187">
        <v>1.3361010167950553</v>
      </c>
      <c r="O93" s="187">
        <v>1.3084444302818399</v>
      </c>
      <c r="P93" s="187">
        <v>1.1599999999999999</v>
      </c>
      <c r="Q93" s="187">
        <v>1.1499999999999999</v>
      </c>
      <c r="R93" s="187">
        <v>1.1599999999999999</v>
      </c>
      <c r="S93" s="187">
        <v>1.1299999999999999</v>
      </c>
      <c r="T93" s="159">
        <v>1.1200000000000001</v>
      </c>
      <c r="U93" s="159">
        <v>1.08</v>
      </c>
      <c r="V93" s="159">
        <v>1.01426694</v>
      </c>
      <c r="W93" s="159">
        <v>0.98</v>
      </c>
      <c r="X93" s="260">
        <v>0.94195828561916772</v>
      </c>
    </row>
    <row r="94" spans="2:25" ht="13" customHeight="1">
      <c r="C94" s="143" t="str">
        <f>VLOOKUP(88,Textbausteine_203[],Hilfsgrössen!$D$2,FALSE)</f>
        <v>Zurigo</v>
      </c>
      <c r="D94" s="66" t="str">
        <f>VLOOKUP(12,Textbausteine_203[],Hilfsgrössen!$D$2,FALSE)</f>
        <v>%</v>
      </c>
      <c r="E94" s="13" t="s">
        <v>129</v>
      </c>
      <c r="F94" s="11" t="s">
        <v>124</v>
      </c>
      <c r="G94" s="49"/>
      <c r="H94" s="187">
        <v>1.1052724449021936</v>
      </c>
      <c r="I94" s="187">
        <v>1.052315759520462</v>
      </c>
      <c r="J94" s="187">
        <v>1.017758101117737</v>
      </c>
      <c r="K94" s="187">
        <v>0.95760243980882986</v>
      </c>
      <c r="L94" s="187">
        <v>0.9426998665547045</v>
      </c>
      <c r="M94" s="187">
        <v>1.0534211260713899</v>
      </c>
      <c r="N94" s="187">
        <v>1.2699964835664153</v>
      </c>
      <c r="O94" s="187">
        <v>1.1967319042714593</v>
      </c>
      <c r="P94" s="187">
        <v>1.08</v>
      </c>
      <c r="Q94" s="187">
        <v>1.05</v>
      </c>
      <c r="R94" s="187">
        <v>1.07</v>
      </c>
      <c r="S94" s="187">
        <v>1.04</v>
      </c>
      <c r="T94" s="159">
        <v>1.05</v>
      </c>
      <c r="U94" s="159">
        <v>1.02</v>
      </c>
      <c r="V94" s="159">
        <v>0.97397592</v>
      </c>
      <c r="W94" s="159">
        <v>0.95</v>
      </c>
      <c r="X94" s="260">
        <v>0.8995838898608981</v>
      </c>
    </row>
    <row r="95" spans="2:25" ht="13" customHeight="1">
      <c r="C95" s="143" t="str">
        <f>VLOOKUP(66,Textbausteine_203[],Hilfsgrössen!$D$2,FALSE)</f>
        <v>Berna</v>
      </c>
      <c r="D95" s="66" t="str">
        <f>VLOOKUP(12,Textbausteine_203[],Hilfsgrössen!$D$2,FALSE)</f>
        <v>%</v>
      </c>
      <c r="E95" s="13" t="s">
        <v>129</v>
      </c>
      <c r="F95" s="11" t="s">
        <v>124</v>
      </c>
      <c r="H95" s="187">
        <v>2.4419239472726408</v>
      </c>
      <c r="I95" s="187">
        <v>2.4137907550425872</v>
      </c>
      <c r="J95" s="187">
        <v>2.3593339786042642</v>
      </c>
      <c r="K95" s="187">
        <v>2.2824917316791415</v>
      </c>
      <c r="L95" s="187">
        <v>2.2168363848316535</v>
      </c>
      <c r="M95" s="187">
        <v>2.1918632206098776</v>
      </c>
      <c r="N95" s="187">
        <v>2.1615220517799179</v>
      </c>
      <c r="O95" s="187">
        <v>2.1316871858169946</v>
      </c>
      <c r="P95" s="187">
        <v>1.93</v>
      </c>
      <c r="Q95" s="187">
        <v>1.91</v>
      </c>
      <c r="R95" s="187">
        <v>1.91</v>
      </c>
      <c r="S95" s="187">
        <v>1.92</v>
      </c>
      <c r="T95" s="159">
        <v>1.91</v>
      </c>
      <c r="U95" s="159">
        <v>1.86</v>
      </c>
      <c r="V95" s="159">
        <v>1.7813217699999999</v>
      </c>
      <c r="W95" s="159">
        <v>1.81</v>
      </c>
      <c r="X95" s="260">
        <v>1.815835245729984</v>
      </c>
    </row>
    <row r="96" spans="2:25" ht="13" customHeight="1">
      <c r="C96" s="143" t="str">
        <f>VLOOKUP(74,Textbausteine_203[],Hilfsgrössen!$D$2,FALSE)</f>
        <v>Lucerna</v>
      </c>
      <c r="D96" s="66" t="str">
        <f>VLOOKUP(12,Textbausteine_203[],Hilfsgrössen!$D$2,FALSE)</f>
        <v>%</v>
      </c>
      <c r="E96" s="13" t="s">
        <v>129</v>
      </c>
      <c r="F96" s="11" t="s">
        <v>124</v>
      </c>
      <c r="H96" s="187">
        <v>1.3643902949750102</v>
      </c>
      <c r="I96" s="187">
        <v>1.3095296744252047</v>
      </c>
      <c r="J96" s="187">
        <v>1.2952407453242287</v>
      </c>
      <c r="K96" s="187">
        <v>1.276222909193103</v>
      </c>
      <c r="L96" s="187">
        <v>1.2420580472026141</v>
      </c>
      <c r="M96" s="187">
        <v>1.2223124101105949</v>
      </c>
      <c r="N96" s="187">
        <v>1.6291948436424248</v>
      </c>
      <c r="O96" s="187">
        <v>1.6048760237978468</v>
      </c>
      <c r="P96" s="187">
        <v>1.31</v>
      </c>
      <c r="Q96" s="187">
        <v>1.3</v>
      </c>
      <c r="R96" s="187">
        <v>1.25</v>
      </c>
      <c r="S96" s="187">
        <v>1.43</v>
      </c>
      <c r="T96" s="139">
        <v>1.42</v>
      </c>
      <c r="U96" s="139">
        <v>1.38</v>
      </c>
      <c r="V96" s="139">
        <v>1.26056634</v>
      </c>
      <c r="W96" s="139">
        <v>1.22</v>
      </c>
      <c r="X96" s="259">
        <v>1.1871164409886281</v>
      </c>
    </row>
    <row r="97" spans="3:24" ht="13" customHeight="1">
      <c r="C97" s="143" t="str">
        <f>VLOOKUP(84,Textbausteine_203[],Hilfsgrössen!$D$2,FALSE)</f>
        <v>Uri</v>
      </c>
      <c r="D97" s="66" t="str">
        <f>VLOOKUP(12,Textbausteine_203[],Hilfsgrössen!$D$2,FALSE)</f>
        <v>%</v>
      </c>
      <c r="E97" s="13" t="s">
        <v>129</v>
      </c>
      <c r="F97" s="11" t="s">
        <v>124</v>
      </c>
      <c r="H97" s="187">
        <v>1.079694986166408</v>
      </c>
      <c r="I97" s="187">
        <v>1.0622624108689294</v>
      </c>
      <c r="J97" s="187">
        <v>1.0735092336414964</v>
      </c>
      <c r="K97" s="187">
        <v>1.1134354544841083</v>
      </c>
      <c r="L97" s="187">
        <v>1.1606721101288886</v>
      </c>
      <c r="M97" s="187">
        <v>1.1640461569606586</v>
      </c>
      <c r="N97" s="187">
        <v>0.97285016982702377</v>
      </c>
      <c r="O97" s="187">
        <v>0.95935398249994353</v>
      </c>
      <c r="P97" s="187">
        <v>0.85</v>
      </c>
      <c r="Q97" s="187">
        <v>0.81</v>
      </c>
      <c r="R97" s="187">
        <v>0.79</v>
      </c>
      <c r="S97" s="187">
        <v>0.78</v>
      </c>
      <c r="T97" s="159">
        <v>0.75</v>
      </c>
      <c r="U97" s="159">
        <v>0.7</v>
      </c>
      <c r="V97" s="159">
        <v>0.61658411999999996</v>
      </c>
      <c r="W97" s="159">
        <v>0.56000000000000005</v>
      </c>
      <c r="X97" s="260">
        <v>0.50678272231189014</v>
      </c>
    </row>
    <row r="98" spans="3:24" ht="13" customHeight="1">
      <c r="C98" s="143" t="str">
        <f>VLOOKUP(81,Textbausteine_203[],Hilfsgrössen!$D$2,FALSE)</f>
        <v>Svitto</v>
      </c>
      <c r="D98" s="66" t="str">
        <f>VLOOKUP(12,Textbausteine_203[],Hilfsgrössen!$D$2,FALSE)</f>
        <v>%</v>
      </c>
      <c r="E98" s="13" t="s">
        <v>129</v>
      </c>
      <c r="F98" s="11" t="s">
        <v>124</v>
      </c>
      <c r="H98" s="187">
        <v>0.98230842479827607</v>
      </c>
      <c r="I98" s="187">
        <v>0.95975542524933588</v>
      </c>
      <c r="J98" s="187">
        <v>0.94346714779732377</v>
      </c>
      <c r="K98" s="187">
        <v>0.91214353731268483</v>
      </c>
      <c r="L98" s="187">
        <v>1.0201751894730393</v>
      </c>
      <c r="M98" s="187">
        <v>1.0856061745100987</v>
      </c>
      <c r="N98" s="187">
        <v>0.82429821190909758</v>
      </c>
      <c r="O98" s="187">
        <v>0.79450597793704092</v>
      </c>
      <c r="P98" s="187">
        <v>0.62</v>
      </c>
      <c r="Q98" s="187">
        <v>0.59</v>
      </c>
      <c r="R98" s="187">
        <v>0.56999999999999995</v>
      </c>
      <c r="S98" s="187">
        <v>1.52</v>
      </c>
      <c r="T98" s="159">
        <v>0.51</v>
      </c>
      <c r="U98" s="159">
        <v>0.49</v>
      </c>
      <c r="V98" s="159">
        <v>0.45962395</v>
      </c>
      <c r="W98" s="159">
        <v>0.41</v>
      </c>
      <c r="X98" s="260">
        <v>0.42166791697924483</v>
      </c>
    </row>
    <row r="99" spans="3:24" ht="13" customHeight="1">
      <c r="C99" s="143" t="str">
        <f>VLOOKUP(77,Textbausteine_203[],Hilfsgrössen!$D$2,FALSE)</f>
        <v>Obvaldo</v>
      </c>
      <c r="D99" s="66" t="str">
        <f>VLOOKUP(12,Textbausteine_203[],Hilfsgrössen!$D$2,FALSE)</f>
        <v>%</v>
      </c>
      <c r="E99" s="13" t="s">
        <v>129</v>
      </c>
      <c r="F99" s="11" t="s">
        <v>124</v>
      </c>
      <c r="H99" s="187">
        <v>0.77406869859700045</v>
      </c>
      <c r="I99" s="187">
        <v>0.72770520883728429</v>
      </c>
      <c r="J99" s="187">
        <v>0.73022496371552981</v>
      </c>
      <c r="K99" s="187">
        <v>0.74383164005805513</v>
      </c>
      <c r="L99" s="187">
        <v>0.78011611030478956</v>
      </c>
      <c r="M99" s="187">
        <v>0.89451499758103536</v>
      </c>
      <c r="N99" s="187">
        <v>0.77205289469440408</v>
      </c>
      <c r="O99" s="187">
        <v>0.76701338493791316</v>
      </c>
      <c r="P99" s="187">
        <v>0.61</v>
      </c>
      <c r="Q99" s="187">
        <v>0.61</v>
      </c>
      <c r="R99" s="187">
        <v>0.59</v>
      </c>
      <c r="S99" s="187">
        <v>0.56000000000000005</v>
      </c>
      <c r="T99" s="159">
        <v>0.52</v>
      </c>
      <c r="U99" s="159">
        <v>0.49</v>
      </c>
      <c r="V99" s="159">
        <v>0.43803576</v>
      </c>
      <c r="W99" s="159">
        <v>0.54</v>
      </c>
      <c r="X99" s="260">
        <v>0.5799638671718883</v>
      </c>
    </row>
    <row r="100" spans="3:24" ht="13" customHeight="1">
      <c r="C100" s="143" t="str">
        <f>VLOOKUP(76,Textbausteine_203[],Hilfsgrössen!$D$2,FALSE)</f>
        <v>Nidvaldo</v>
      </c>
      <c r="D100" s="66" t="str">
        <f>VLOOKUP(12,Textbausteine_203[],Hilfsgrössen!$D$2,FALSE)</f>
        <v>%</v>
      </c>
      <c r="E100" s="13" t="s">
        <v>129</v>
      </c>
      <c r="F100" s="11" t="s">
        <v>124</v>
      </c>
      <c r="H100" s="187">
        <v>0.91697508700215435</v>
      </c>
      <c r="I100" s="187">
        <v>0.87186285882634562</v>
      </c>
      <c r="J100" s="187">
        <v>0.8704818722495351</v>
      </c>
      <c r="K100" s="187">
        <v>0.86725957023697731</v>
      </c>
      <c r="L100" s="187">
        <v>0.88935535546594491</v>
      </c>
      <c r="M100" s="187">
        <v>0.9648511296470198</v>
      </c>
      <c r="N100" s="187">
        <v>0.79867057025539057</v>
      </c>
      <c r="O100" s="187">
        <v>0.76138393268150772</v>
      </c>
      <c r="P100" s="187">
        <v>0.57999999999999996</v>
      </c>
      <c r="Q100" s="187">
        <v>0.55000000000000004</v>
      </c>
      <c r="R100" s="187">
        <v>0.55000000000000004</v>
      </c>
      <c r="S100" s="187">
        <v>0.51</v>
      </c>
      <c r="T100" s="139">
        <v>0.48</v>
      </c>
      <c r="U100" s="139">
        <v>0.46</v>
      </c>
      <c r="V100" s="139">
        <v>0.42093978999999998</v>
      </c>
      <c r="W100" s="139">
        <v>0.39</v>
      </c>
      <c r="X100" s="259">
        <v>0.3670186023127201</v>
      </c>
    </row>
    <row r="101" spans="3:24" ht="13" customHeight="1">
      <c r="C101" s="143" t="str">
        <f>VLOOKUP(71,Textbausteine_203[],Hilfsgrössen!$D$2,FALSE)</f>
        <v>Glarona</v>
      </c>
      <c r="D101" s="66" t="str">
        <f>VLOOKUP(12,Textbausteine_203[],Hilfsgrössen!$D$2,FALSE)</f>
        <v>%</v>
      </c>
      <c r="E101" s="13" t="s">
        <v>129</v>
      </c>
      <c r="F101" s="11" t="s">
        <v>124</v>
      </c>
      <c r="H101" s="187">
        <v>1.9809162435131966</v>
      </c>
      <c r="I101" s="187">
        <v>2.0980972043970763</v>
      </c>
      <c r="J101" s="187">
        <v>2.005561445603854</v>
      </c>
      <c r="K101" s="187">
        <v>1.9362758774621951</v>
      </c>
      <c r="L101" s="187">
        <v>2.0032364265386975</v>
      </c>
      <c r="M101" s="187">
        <v>2.0339266781987613</v>
      </c>
      <c r="N101" s="187">
        <v>1.9511559994791958</v>
      </c>
      <c r="O101" s="187">
        <v>1.9107006677454756</v>
      </c>
      <c r="P101" s="187">
        <v>1.61</v>
      </c>
      <c r="Q101" s="187">
        <v>1.55</v>
      </c>
      <c r="R101" s="187">
        <v>1.46</v>
      </c>
      <c r="S101" s="187">
        <v>1.46</v>
      </c>
      <c r="T101" s="159">
        <v>1.42</v>
      </c>
      <c r="U101" s="159">
        <v>1.33</v>
      </c>
      <c r="V101" s="159">
        <v>1.32967295</v>
      </c>
      <c r="W101" s="159">
        <v>1.54</v>
      </c>
      <c r="X101" s="260">
        <v>1.5667986578248509</v>
      </c>
    </row>
    <row r="102" spans="3:24" ht="13" customHeight="1">
      <c r="C102" s="143" t="str">
        <f>VLOOKUP(87,Textbausteine_203[],Hilfsgrössen!$D$2,FALSE)</f>
        <v>Zugo</v>
      </c>
      <c r="D102" s="66" t="str">
        <f>VLOOKUP(12,Textbausteine_203[],Hilfsgrössen!$D$2,FALSE)</f>
        <v>%</v>
      </c>
      <c r="E102" s="13" t="s">
        <v>129</v>
      </c>
      <c r="F102" s="11" t="s">
        <v>124</v>
      </c>
      <c r="G102" s="49"/>
      <c r="H102" s="187">
        <v>0.61501676197988564</v>
      </c>
      <c r="I102" s="187">
        <v>0.59221553934135274</v>
      </c>
      <c r="J102" s="187">
        <v>0.57742555708933152</v>
      </c>
      <c r="K102" s="187">
        <v>0.56448432261881287</v>
      </c>
      <c r="L102" s="187">
        <v>0.57434431078682713</v>
      </c>
      <c r="M102" s="187">
        <v>0.65712753894695319</v>
      </c>
      <c r="N102" s="187">
        <v>0.5262768684677579</v>
      </c>
      <c r="O102" s="187">
        <v>0.51816291987116281</v>
      </c>
      <c r="P102" s="187">
        <v>0.71</v>
      </c>
      <c r="Q102" s="187">
        <v>0.71</v>
      </c>
      <c r="R102" s="187">
        <v>0.72</v>
      </c>
      <c r="S102" s="187">
        <v>0.7</v>
      </c>
      <c r="T102" s="159">
        <v>0.68</v>
      </c>
      <c r="U102" s="159">
        <v>0.65</v>
      </c>
      <c r="V102" s="159">
        <v>0.60757103000000001</v>
      </c>
      <c r="W102" s="159">
        <v>0.43</v>
      </c>
      <c r="X102" s="260">
        <v>0.26654729093154067</v>
      </c>
    </row>
    <row r="103" spans="3:24" ht="13" customHeight="1">
      <c r="C103" s="143" t="str">
        <f>VLOOKUP(69,Textbausteine_203[],Hilfsgrössen!$D$2,FALSE)</f>
        <v>Friburgo</v>
      </c>
      <c r="D103" s="66" t="str">
        <f>VLOOKUP(12,Textbausteine_203[],Hilfsgrössen!$D$2,FALSE)</f>
        <v>%</v>
      </c>
      <c r="E103" s="13" t="s">
        <v>129</v>
      </c>
      <c r="F103" s="11" t="s">
        <v>124</v>
      </c>
      <c r="H103" s="187">
        <v>1.5774245599718086</v>
      </c>
      <c r="I103" s="187">
        <v>1.6629277548375423</v>
      </c>
      <c r="J103" s="187">
        <v>1.6472077452380509</v>
      </c>
      <c r="K103" s="187">
        <v>1.6302835840273013</v>
      </c>
      <c r="L103" s="187">
        <v>1.6183432501391302</v>
      </c>
      <c r="M103" s="187">
        <v>1.5040868371756588</v>
      </c>
      <c r="N103" s="187">
        <v>1.4054781732415873</v>
      </c>
      <c r="O103" s="187">
        <v>1.3810579223621491</v>
      </c>
      <c r="P103" s="187">
        <v>1.1200000000000001</v>
      </c>
      <c r="Q103" s="187">
        <v>1.1399999999999999</v>
      </c>
      <c r="R103" s="187">
        <v>1.1499999999999999</v>
      </c>
      <c r="S103" s="187">
        <v>1.1299999999999999</v>
      </c>
      <c r="T103" s="159">
        <v>1.0900000000000001</v>
      </c>
      <c r="U103" s="159">
        <v>1.04</v>
      </c>
      <c r="V103" s="159">
        <v>0.96203344000000002</v>
      </c>
      <c r="W103" s="159">
        <v>0.93</v>
      </c>
      <c r="X103" s="260">
        <v>0.89269926999588944</v>
      </c>
    </row>
    <row r="104" spans="3:24" ht="13" customHeight="1">
      <c r="C104" s="143" t="str">
        <f>VLOOKUP(80,Textbausteine_203[],Hilfsgrössen!$D$2,FALSE)</f>
        <v>Soletta</v>
      </c>
      <c r="D104" s="66" t="str">
        <f>VLOOKUP(12,Textbausteine_203[],Hilfsgrössen!$D$2,FALSE)</f>
        <v>%</v>
      </c>
      <c r="E104" s="13" t="s">
        <v>129</v>
      </c>
      <c r="F104" s="11" t="s">
        <v>124</v>
      </c>
      <c r="H104" s="187">
        <v>1.8399741399843479</v>
      </c>
      <c r="I104" s="187">
        <v>1.7046672037910258</v>
      </c>
      <c r="J104" s="187">
        <v>1.5919677021271295</v>
      </c>
      <c r="K104" s="187">
        <v>1.5805233250535913</v>
      </c>
      <c r="L104" s="187">
        <v>1.8901629861512812</v>
      </c>
      <c r="M104" s="187">
        <v>2.2489281704038926</v>
      </c>
      <c r="N104" s="187">
        <v>2.1691080563022438</v>
      </c>
      <c r="O104" s="187">
        <v>2.1770475347919289</v>
      </c>
      <c r="P104" s="187">
        <v>2.2400000000000002</v>
      </c>
      <c r="Q104" s="187">
        <v>2.2000000000000002</v>
      </c>
      <c r="R104" s="187">
        <v>2.1800000000000002</v>
      </c>
      <c r="S104" s="187">
        <v>2.21</v>
      </c>
      <c r="T104" s="159">
        <v>2.15</v>
      </c>
      <c r="U104" s="159">
        <v>2.16</v>
      </c>
      <c r="V104" s="159">
        <v>2.0841260500000001</v>
      </c>
      <c r="W104" s="159">
        <v>1.88</v>
      </c>
      <c r="X104" s="260">
        <v>1.7228937077852824</v>
      </c>
    </row>
    <row r="105" spans="3:24" ht="13" customHeight="1">
      <c r="C105" s="143" t="str">
        <f>VLOOKUP(68,Textbausteine_203[],Hilfsgrössen!$D$2,FALSE)</f>
        <v>Basilea Città</v>
      </c>
      <c r="D105" s="66" t="str">
        <f>VLOOKUP(12,Textbausteine_203[],Hilfsgrössen!$D$2,FALSE)</f>
        <v>%</v>
      </c>
      <c r="E105" s="13" t="s">
        <v>129</v>
      </c>
      <c r="F105" s="11" t="s">
        <v>124</v>
      </c>
      <c r="H105" s="187">
        <v>1.3629080398378837</v>
      </c>
      <c r="I105" s="187">
        <v>1.272476881669756</v>
      </c>
      <c r="J105" s="187">
        <v>1.2224932515918825</v>
      </c>
      <c r="K105" s="187">
        <v>1.1794275660561122</v>
      </c>
      <c r="L105" s="187">
        <v>1.2391215558138804</v>
      </c>
      <c r="M105" s="187">
        <v>1.0637575795658047</v>
      </c>
      <c r="N105" s="187">
        <v>1.2916051254477872</v>
      </c>
      <c r="O105" s="187">
        <v>1.2049807827243497</v>
      </c>
      <c r="P105" s="187">
        <v>1.48</v>
      </c>
      <c r="Q105" s="187">
        <v>1.53</v>
      </c>
      <c r="R105" s="187">
        <v>1.64</v>
      </c>
      <c r="S105" s="187">
        <v>1.26</v>
      </c>
      <c r="T105" s="159">
        <v>1.25</v>
      </c>
      <c r="U105" s="159">
        <v>1.18</v>
      </c>
      <c r="V105" s="159">
        <v>1.06752702</v>
      </c>
      <c r="W105" s="159">
        <v>0.93</v>
      </c>
      <c r="X105" s="260">
        <v>0.90832507346475544</v>
      </c>
    </row>
    <row r="106" spans="3:24" ht="13" customHeight="1">
      <c r="C106" s="143" t="str">
        <f>VLOOKUP(67,Textbausteine_203[],Hilfsgrössen!$D$2,FALSE)</f>
        <v>Basilea Campagna</v>
      </c>
      <c r="D106" s="66" t="str">
        <f>VLOOKUP(12,Textbausteine_203[],Hilfsgrössen!$D$2,FALSE)</f>
        <v>%</v>
      </c>
      <c r="E106" s="13" t="s">
        <v>129</v>
      </c>
      <c r="F106" s="11" t="s">
        <v>124</v>
      </c>
      <c r="H106" s="187">
        <v>1.1903326662326492</v>
      </c>
      <c r="I106" s="187">
        <v>1.0989166034653897</v>
      </c>
      <c r="J106" s="187">
        <v>1.0472556222744078</v>
      </c>
      <c r="K106" s="187">
        <v>1.0488751717985194</v>
      </c>
      <c r="L106" s="187">
        <v>1.2795473360178107</v>
      </c>
      <c r="M106" s="187">
        <v>1.4396249768925968</v>
      </c>
      <c r="N106" s="187">
        <v>0.97787851266017789</v>
      </c>
      <c r="O106" s="187">
        <v>0.95249385811920462</v>
      </c>
      <c r="P106" s="187">
        <v>0.83</v>
      </c>
      <c r="Q106" s="187">
        <v>0.8</v>
      </c>
      <c r="R106" s="187">
        <v>0.75</v>
      </c>
      <c r="S106" s="187">
        <v>0.7</v>
      </c>
      <c r="T106" s="159">
        <v>0.67</v>
      </c>
      <c r="U106" s="159">
        <v>0.64</v>
      </c>
      <c r="V106" s="159">
        <v>0.59342196999999997</v>
      </c>
      <c r="W106" s="159">
        <v>0.53</v>
      </c>
      <c r="X106" s="260">
        <v>0.52758613685757039</v>
      </c>
    </row>
    <row r="107" spans="3:24" ht="13" customHeight="1">
      <c r="C107" s="143" t="str">
        <f>VLOOKUP(79,Textbausteine_203[],Hilfsgrössen!$D$2,FALSE)</f>
        <v>Sciaffusa</v>
      </c>
      <c r="D107" s="66" t="str">
        <f>VLOOKUP(12,Textbausteine_203[],Hilfsgrössen!$D$2,FALSE)</f>
        <v>%</v>
      </c>
      <c r="E107" s="13" t="s">
        <v>129</v>
      </c>
      <c r="F107" s="11" t="s">
        <v>124</v>
      </c>
      <c r="H107" s="187">
        <v>0.9880641846494348</v>
      </c>
      <c r="I107" s="187">
        <v>1.0240736349344364</v>
      </c>
      <c r="J107" s="187">
        <v>1.030880299317577</v>
      </c>
      <c r="K107" s="187">
        <v>0.98279450899797127</v>
      </c>
      <c r="L107" s="187">
        <v>0.9880641846494348</v>
      </c>
      <c r="M107" s="187">
        <v>1.0159486733591547</v>
      </c>
      <c r="N107" s="187">
        <v>0.96918118023168998</v>
      </c>
      <c r="O107" s="187">
        <v>1.0319781484116319</v>
      </c>
      <c r="P107" s="187">
        <v>0.89</v>
      </c>
      <c r="Q107" s="187">
        <v>0.87</v>
      </c>
      <c r="R107" s="187">
        <v>0.85</v>
      </c>
      <c r="S107" s="187">
        <v>0.53</v>
      </c>
      <c r="T107" s="159">
        <v>0.8</v>
      </c>
      <c r="U107" s="159">
        <v>0.81</v>
      </c>
      <c r="V107" s="159">
        <v>0.75841104999999998</v>
      </c>
      <c r="W107" s="159">
        <v>0.72</v>
      </c>
      <c r="X107" s="260">
        <v>0.69251819374850787</v>
      </c>
    </row>
    <row r="108" spans="3:24" ht="13" customHeight="1">
      <c r="C108" s="143" t="str">
        <f>VLOOKUP(65,Textbausteine_203[],Hilfsgrössen!$D$2,FALSE)</f>
        <v>Appenzello esterno</v>
      </c>
      <c r="D108" s="66" t="str">
        <f>VLOOKUP(12,Textbausteine_203[],Hilfsgrössen!$D$2,FALSE)</f>
        <v>%</v>
      </c>
      <c r="E108" s="13" t="s">
        <v>129</v>
      </c>
      <c r="F108" s="11" t="s">
        <v>124</v>
      </c>
      <c r="H108" s="187">
        <v>1.3698630136986301</v>
      </c>
      <c r="I108" s="187">
        <v>1.3588029893665765</v>
      </c>
      <c r="J108" s="187">
        <v>1.2975778546712802</v>
      </c>
      <c r="K108" s="187">
        <v>1.1850026070057353</v>
      </c>
      <c r="L108" s="187">
        <v>1.1707825757216666</v>
      </c>
      <c r="M108" s="187">
        <v>1.275456226003697</v>
      </c>
      <c r="N108" s="187">
        <v>0.94444707778357107</v>
      </c>
      <c r="O108" s="187">
        <v>0.89230696307531865</v>
      </c>
      <c r="P108" s="187">
        <v>0.77</v>
      </c>
      <c r="Q108" s="187">
        <v>0.76</v>
      </c>
      <c r="R108" s="187">
        <v>0.73</v>
      </c>
      <c r="S108" s="187">
        <v>0.67</v>
      </c>
      <c r="T108" s="159">
        <v>0.66</v>
      </c>
      <c r="U108" s="159">
        <v>0.64</v>
      </c>
      <c r="V108" s="159">
        <v>0.58383233999999995</v>
      </c>
      <c r="W108" s="159">
        <v>0.55000000000000004</v>
      </c>
      <c r="X108" s="260">
        <v>0.51703044264834241</v>
      </c>
    </row>
    <row r="109" spans="3:24" ht="13" customHeight="1">
      <c r="C109" s="143" t="str">
        <f>VLOOKUP(64,Textbausteine_203[],Hilfsgrössen!$D$2,FALSE)</f>
        <v>Appenzello interno</v>
      </c>
      <c r="D109" s="66" t="str">
        <f>VLOOKUP(12,Textbausteine_203[],Hilfsgrössen!$D$2,FALSE)</f>
        <v>%</v>
      </c>
      <c r="E109" s="13" t="s">
        <v>129</v>
      </c>
      <c r="F109" s="11" t="s">
        <v>124</v>
      </c>
      <c r="H109" s="187">
        <v>0.99901735997379626</v>
      </c>
      <c r="I109" s="187">
        <v>1.009935582487171</v>
      </c>
      <c r="J109" s="187">
        <v>1.0426902500272954</v>
      </c>
      <c r="K109" s="187">
        <v>1.0317720275139208</v>
      </c>
      <c r="L109" s="187">
        <v>1.0645266950540453</v>
      </c>
      <c r="M109" s="187">
        <v>1.151867016049787</v>
      </c>
      <c r="N109" s="187">
        <v>0.94579102522109415</v>
      </c>
      <c r="O109" s="187">
        <v>0.91849546893765699</v>
      </c>
      <c r="P109" s="187">
        <v>0.74</v>
      </c>
      <c r="Q109" s="187">
        <v>0.77</v>
      </c>
      <c r="R109" s="187">
        <v>0.79</v>
      </c>
      <c r="S109" s="187">
        <v>0.74</v>
      </c>
      <c r="T109" s="159">
        <v>0.79</v>
      </c>
      <c r="U109" s="159">
        <v>0.76</v>
      </c>
      <c r="V109" s="159">
        <v>0.71222350000000001</v>
      </c>
      <c r="W109" s="159">
        <v>0.78</v>
      </c>
      <c r="X109" s="260">
        <v>0.89113680154142627</v>
      </c>
    </row>
    <row r="110" spans="3:24" ht="13" customHeight="1">
      <c r="C110" s="143" t="str">
        <f>VLOOKUP(78,Textbausteine_203[],Hilfsgrössen!$D$2,FALSE)</f>
        <v>San Gallo</v>
      </c>
      <c r="D110" s="66" t="str">
        <f>VLOOKUP(12,Textbausteine_203[],Hilfsgrössen!$D$2,FALSE)</f>
        <v>%</v>
      </c>
      <c r="E110" s="13" t="s">
        <v>129</v>
      </c>
      <c r="F110" s="11" t="s">
        <v>124</v>
      </c>
      <c r="H110" s="187">
        <v>1.1738766005062162</v>
      </c>
      <c r="I110" s="187">
        <v>1.13272416721376</v>
      </c>
      <c r="J110" s="187">
        <v>1.1278878143017375</v>
      </c>
      <c r="K110" s="187">
        <v>1.1107027982278304</v>
      </c>
      <c r="L110" s="187">
        <v>1.0958383741623277</v>
      </c>
      <c r="M110" s="187">
        <v>1.1529908459921796</v>
      </c>
      <c r="N110" s="187">
        <v>1.3034404351429221</v>
      </c>
      <c r="O110" s="187">
        <v>1.3400347111828641</v>
      </c>
      <c r="P110" s="187">
        <v>1.17</v>
      </c>
      <c r="Q110" s="187">
        <v>1.3</v>
      </c>
      <c r="R110" s="187">
        <v>1.55</v>
      </c>
      <c r="S110" s="187">
        <v>0.99</v>
      </c>
      <c r="T110" s="159">
        <v>1.45</v>
      </c>
      <c r="U110" s="159">
        <v>1.34</v>
      </c>
      <c r="V110" s="159">
        <v>1.18714389</v>
      </c>
      <c r="W110" s="159">
        <v>1.08</v>
      </c>
      <c r="X110" s="260">
        <v>0.98669417554215155</v>
      </c>
    </row>
    <row r="111" spans="3:24" ht="13" customHeight="1">
      <c r="C111" s="143" t="str">
        <f>VLOOKUP(72,Textbausteine_203[],Hilfsgrössen!$D$2,FALSE)</f>
        <v>Grigioni</v>
      </c>
      <c r="D111" s="66" t="str">
        <f>VLOOKUP(12,Textbausteine_203[],Hilfsgrössen!$D$2,FALSE)</f>
        <v>%</v>
      </c>
      <c r="E111" s="13" t="s">
        <v>129</v>
      </c>
      <c r="F111" s="11" t="s">
        <v>124</v>
      </c>
      <c r="H111" s="187">
        <v>1.7506620150477072</v>
      </c>
      <c r="I111" s="187">
        <v>1.6917286649012935</v>
      </c>
      <c r="J111" s="187">
        <v>1.6386623793311195</v>
      </c>
      <c r="K111" s="187">
        <v>1.5867344794249925</v>
      </c>
      <c r="L111" s="187">
        <v>1.6266655457946282</v>
      </c>
      <c r="M111" s="187">
        <v>1.5851582531209281</v>
      </c>
      <c r="N111" s="187">
        <v>1.3943473022011126</v>
      </c>
      <c r="O111" s="187">
        <v>1.3599330278957029</v>
      </c>
      <c r="P111" s="187">
        <v>1.07</v>
      </c>
      <c r="Q111" s="187">
        <v>1.05</v>
      </c>
      <c r="R111" s="187">
        <v>1.06</v>
      </c>
      <c r="S111" s="187">
        <v>1.03</v>
      </c>
      <c r="T111" s="294">
        <v>1</v>
      </c>
      <c r="U111" s="294">
        <v>0.97</v>
      </c>
      <c r="V111" s="294">
        <v>0.92750657000000003</v>
      </c>
      <c r="W111" s="294">
        <v>0.92</v>
      </c>
      <c r="X111" s="261">
        <v>0.90158647917122303</v>
      </c>
    </row>
    <row r="112" spans="3:24" ht="13" customHeight="1">
      <c r="C112" s="143" t="str">
        <f>VLOOKUP(63,Textbausteine_203[],Hilfsgrössen!$D$2,FALSE)</f>
        <v>Argovia</v>
      </c>
      <c r="D112" s="66" t="str">
        <f>VLOOKUP(12,Textbausteine_203[],Hilfsgrössen!$D$2,FALSE)</f>
        <v>%</v>
      </c>
      <c r="E112" s="13" t="s">
        <v>129</v>
      </c>
      <c r="F112" s="11" t="s">
        <v>124</v>
      </c>
      <c r="G112" s="46"/>
      <c r="H112" s="187">
        <v>1.309817049549385</v>
      </c>
      <c r="I112" s="187">
        <v>1.3080356761751266</v>
      </c>
      <c r="J112" s="187">
        <v>1.2523431029207071</v>
      </c>
      <c r="K112" s="187">
        <v>1.206391205514096</v>
      </c>
      <c r="L112" s="187">
        <v>1.2970258674248791</v>
      </c>
      <c r="M112" s="187">
        <v>1.2784483199695935</v>
      </c>
      <c r="N112" s="187">
        <v>1.179590633443703</v>
      </c>
      <c r="O112" s="187">
        <v>1.1588067898031134</v>
      </c>
      <c r="P112" s="187">
        <v>0.98</v>
      </c>
      <c r="Q112" s="187">
        <v>0.91</v>
      </c>
      <c r="R112" s="187">
        <v>0.86</v>
      </c>
      <c r="S112" s="187">
        <v>0.81</v>
      </c>
      <c r="T112" s="139">
        <v>0.79</v>
      </c>
      <c r="U112" s="139">
        <v>0.75</v>
      </c>
      <c r="V112" s="139">
        <v>0.72422096999999996</v>
      </c>
      <c r="W112" s="139">
        <v>0.73</v>
      </c>
      <c r="X112" s="259">
        <v>0.69897674437179558</v>
      </c>
    </row>
    <row r="113" spans="1:82" ht="13" customHeight="1">
      <c r="C113" s="143" t="str">
        <f>VLOOKUP(82,Textbausteine_203[],Hilfsgrössen!$D$2,FALSE)</f>
        <v>Turgovia</v>
      </c>
      <c r="D113" s="66" t="str">
        <f>VLOOKUP(12,Textbausteine_203[],Hilfsgrössen!$D$2,FALSE)</f>
        <v>%</v>
      </c>
      <c r="E113" s="13" t="s">
        <v>129</v>
      </c>
      <c r="F113" s="11" t="s">
        <v>124</v>
      </c>
      <c r="H113" s="187">
        <v>1.4557934734440263</v>
      </c>
      <c r="I113" s="187">
        <v>1.3977283084572423</v>
      </c>
      <c r="J113" s="187">
        <v>1.356634829041697</v>
      </c>
      <c r="K113" s="187">
        <v>1.3369916744453558</v>
      </c>
      <c r="L113" s="187">
        <v>1.3643349456434626</v>
      </c>
      <c r="M113" s="187">
        <v>1.4631007269538654</v>
      </c>
      <c r="N113" s="187">
        <v>1.2291114694022509</v>
      </c>
      <c r="O113" s="187">
        <v>1.2201541909063194</v>
      </c>
      <c r="P113" s="187">
        <v>1.0900000000000001</v>
      </c>
      <c r="Q113" s="187">
        <v>1.0900000000000001</v>
      </c>
      <c r="R113" s="187">
        <v>1.05</v>
      </c>
      <c r="S113" s="187">
        <v>0.97</v>
      </c>
      <c r="T113" s="159">
        <v>1</v>
      </c>
      <c r="U113" s="159">
        <v>1.0900000000000001</v>
      </c>
      <c r="V113" s="159">
        <v>1.07594028</v>
      </c>
      <c r="W113" s="159">
        <v>1.07</v>
      </c>
      <c r="X113" s="260">
        <v>1.0654106579831524</v>
      </c>
    </row>
    <row r="114" spans="1:82" ht="13" customHeight="1">
      <c r="C114" s="143" t="str">
        <f>VLOOKUP(83,Textbausteine_203[],Hilfsgrössen!$D$2,FALSE)</f>
        <v>Ticino</v>
      </c>
      <c r="D114" s="66" t="str">
        <f>VLOOKUP(12,Textbausteine_203[],Hilfsgrössen!$D$2,FALSE)</f>
        <v>%</v>
      </c>
      <c r="E114" s="13" t="s">
        <v>129</v>
      </c>
      <c r="F114" s="11" t="s">
        <v>124</v>
      </c>
      <c r="H114" s="187">
        <v>1.3728575442540039</v>
      </c>
      <c r="I114" s="187">
        <v>1.3381983421021719</v>
      </c>
      <c r="J114" s="187">
        <v>1.3033178411692361</v>
      </c>
      <c r="K114" s="187">
        <v>1.2891261590334364</v>
      </c>
      <c r="L114" s="187">
        <v>1.2655240236021355</v>
      </c>
      <c r="M114" s="187">
        <v>1.2258595110986232</v>
      </c>
      <c r="N114" s="187">
        <v>1.1321063969279761</v>
      </c>
      <c r="O114" s="187">
        <v>1.1130467359745249</v>
      </c>
      <c r="P114" s="187">
        <v>1.03</v>
      </c>
      <c r="Q114" s="187">
        <v>1.02</v>
      </c>
      <c r="R114" s="187">
        <v>1.01</v>
      </c>
      <c r="S114" s="187">
        <v>1.02</v>
      </c>
      <c r="T114" s="159">
        <v>0.96</v>
      </c>
      <c r="U114" s="159">
        <v>0.93</v>
      </c>
      <c r="V114" s="159">
        <v>0.83160433</v>
      </c>
      <c r="W114" s="159">
        <v>0.82</v>
      </c>
      <c r="X114" s="260">
        <v>0.80595963595464204</v>
      </c>
    </row>
    <row r="115" spans="1:82" ht="13" customHeight="1">
      <c r="C115" s="143" t="str">
        <f>VLOOKUP(85,Textbausteine_203[],Hilfsgrössen!$D$2,FALSE)</f>
        <v>Vaud</v>
      </c>
      <c r="D115" s="66" t="str">
        <f>VLOOKUP(12,Textbausteine_203[],Hilfsgrössen!$D$2,FALSE)</f>
        <v>%</v>
      </c>
      <c r="E115" s="13" t="s">
        <v>129</v>
      </c>
      <c r="F115" s="11" t="s">
        <v>124</v>
      </c>
      <c r="H115" s="187">
        <v>1.4888809754779768</v>
      </c>
      <c r="I115" s="187">
        <v>1.4629350775832723</v>
      </c>
      <c r="J115" s="187">
        <v>1.4029073464613198</v>
      </c>
      <c r="K115" s="187">
        <v>1.3547281948008889</v>
      </c>
      <c r="L115" s="187">
        <v>1.3767185481091746</v>
      </c>
      <c r="M115" s="187">
        <v>1.3737867922443114</v>
      </c>
      <c r="N115" s="187">
        <v>1.3050476646569329</v>
      </c>
      <c r="O115" s="187">
        <v>1.2909263193225029</v>
      </c>
      <c r="P115" s="187">
        <v>1.01</v>
      </c>
      <c r="Q115" s="187">
        <v>0.97</v>
      </c>
      <c r="R115" s="187">
        <v>0.96</v>
      </c>
      <c r="S115" s="187">
        <v>0.94</v>
      </c>
      <c r="T115" s="159">
        <v>0.93</v>
      </c>
      <c r="U115" s="159">
        <v>0.9</v>
      </c>
      <c r="V115" s="159">
        <v>0.83015676999999999</v>
      </c>
      <c r="W115" s="159">
        <v>0.81</v>
      </c>
      <c r="X115" s="260">
        <v>0.76893825768938184</v>
      </c>
    </row>
    <row r="116" spans="1:82" ht="13" customHeight="1">
      <c r="C116" s="143" t="str">
        <f>VLOOKUP(86,Textbausteine_203[],Hilfsgrössen!$D$2,FALSE)</f>
        <v>Vallese</v>
      </c>
      <c r="D116" s="66" t="str">
        <f>VLOOKUP(12,Textbausteine_203[],Hilfsgrössen!$D$2,FALSE)</f>
        <v>%</v>
      </c>
      <c r="E116" s="13" t="s">
        <v>129</v>
      </c>
      <c r="F116" s="11" t="s">
        <v>124</v>
      </c>
      <c r="G116" s="49"/>
      <c r="H116" s="187">
        <v>1.2505175348473463</v>
      </c>
      <c r="I116" s="187">
        <v>1.2424765767561683</v>
      </c>
      <c r="J116" s="187">
        <v>1.218059793803894</v>
      </c>
      <c r="K116" s="187">
        <v>1.2198488031527457</v>
      </c>
      <c r="L116" s="187">
        <v>1.2390167604618711</v>
      </c>
      <c r="M116" s="187">
        <v>1.2230437182770306</v>
      </c>
      <c r="N116" s="187">
        <v>1.1165974064475896</v>
      </c>
      <c r="O116" s="187">
        <v>1.1214532889659017</v>
      </c>
      <c r="P116" s="187">
        <v>0.93</v>
      </c>
      <c r="Q116" s="187">
        <v>0.92</v>
      </c>
      <c r="R116" s="187">
        <v>0.93</v>
      </c>
      <c r="S116" s="187">
        <v>0.91</v>
      </c>
      <c r="T116" s="159">
        <v>0.9</v>
      </c>
      <c r="U116" s="159">
        <v>0.88</v>
      </c>
      <c r="V116" s="159">
        <v>0.84012909000000002</v>
      </c>
      <c r="W116" s="159">
        <v>0.81</v>
      </c>
      <c r="X116" s="260">
        <v>0.78863347983236154</v>
      </c>
    </row>
    <row r="117" spans="1:82" ht="13" customHeight="1">
      <c r="C117" s="143" t="str">
        <f>VLOOKUP(75,Textbausteine_203[],Hilfsgrössen!$D$2,FALSE)</f>
        <v>Neuchâtel</v>
      </c>
      <c r="D117" s="66" t="str">
        <f>VLOOKUP(12,Textbausteine_203[],Hilfsgrössen!$D$2,FALSE)</f>
        <v>%</v>
      </c>
      <c r="E117" s="13" t="s">
        <v>129</v>
      </c>
      <c r="F117" s="11" t="s">
        <v>124</v>
      </c>
      <c r="H117" s="187">
        <v>1.1246145474333396</v>
      </c>
      <c r="I117" s="187">
        <v>1.0840853437329947</v>
      </c>
      <c r="J117" s="187">
        <v>1.0398716669689823</v>
      </c>
      <c r="K117" s="187">
        <v>0.98970614910212218</v>
      </c>
      <c r="L117" s="187">
        <v>1.0051014439243662</v>
      </c>
      <c r="M117" s="187">
        <v>1.0235273444585524</v>
      </c>
      <c r="N117" s="187">
        <v>0.94596484067960585</v>
      </c>
      <c r="O117" s="187">
        <v>0.92943194872725088</v>
      </c>
      <c r="P117" s="187">
        <v>0.77</v>
      </c>
      <c r="Q117" s="187">
        <v>0.75</v>
      </c>
      <c r="R117" s="187">
        <v>0.73</v>
      </c>
      <c r="S117" s="187">
        <v>0.71</v>
      </c>
      <c r="T117" s="139">
        <v>0.68</v>
      </c>
      <c r="U117" s="139">
        <v>0.64</v>
      </c>
      <c r="V117" s="139">
        <v>0.58487454999999999</v>
      </c>
      <c r="W117" s="139">
        <v>0.56000000000000005</v>
      </c>
      <c r="X117" s="259">
        <v>0.53609159956598718</v>
      </c>
    </row>
    <row r="118" spans="1:82" ht="13" customHeight="1">
      <c r="C118" s="143" t="str">
        <f>VLOOKUP(70,Textbausteine_203[],Hilfsgrössen!$D$2,FALSE)</f>
        <v>Ginevra</v>
      </c>
      <c r="D118" s="66" t="str">
        <f>VLOOKUP(12,Textbausteine_203[],Hilfsgrössen!$D$2,FALSE)</f>
        <v>%</v>
      </c>
      <c r="E118" s="13" t="s">
        <v>129</v>
      </c>
      <c r="F118" s="11" t="s">
        <v>124</v>
      </c>
      <c r="H118" s="187">
        <v>1.0265724612674139</v>
      </c>
      <c r="I118" s="187">
        <v>1.0448868142712704</v>
      </c>
      <c r="J118" s="187">
        <v>1.0070472419492527</v>
      </c>
      <c r="K118" s="187">
        <v>0.93067184917449197</v>
      </c>
      <c r="L118" s="187">
        <v>0.83065285863504756</v>
      </c>
      <c r="M118" s="187">
        <v>0.75197813175436368</v>
      </c>
      <c r="N118" s="187">
        <v>0.72600517039916201</v>
      </c>
      <c r="O118" s="187">
        <v>0.72821621228908218</v>
      </c>
      <c r="P118" s="187">
        <v>0.59</v>
      </c>
      <c r="Q118" s="187">
        <v>0.57999999999999996</v>
      </c>
      <c r="R118" s="187">
        <v>0.56999999999999995</v>
      </c>
      <c r="S118" s="187">
        <v>0.54</v>
      </c>
      <c r="T118" s="159">
        <v>0.53</v>
      </c>
      <c r="U118" s="159">
        <v>0.5</v>
      </c>
      <c r="V118" s="159">
        <v>0.46017728000000002</v>
      </c>
      <c r="W118" s="159">
        <v>0.43</v>
      </c>
      <c r="X118" s="260">
        <v>0.40072061816166193</v>
      </c>
    </row>
    <row r="119" spans="1:82" ht="13" customHeight="1">
      <c r="C119" s="143" t="str">
        <f>VLOOKUP(73,Textbausteine_203[],Hilfsgrössen!$D$2,FALSE)</f>
        <v>Giura</v>
      </c>
      <c r="D119" s="66" t="str">
        <f>VLOOKUP(12,Textbausteine_203[],Hilfsgrössen!$D$2,FALSE)</f>
        <v>%</v>
      </c>
      <c r="E119" s="13" t="s">
        <v>129</v>
      </c>
      <c r="F119" s="11" t="s">
        <v>124</v>
      </c>
      <c r="H119" s="187">
        <v>1.4999107196000239</v>
      </c>
      <c r="I119" s="187">
        <v>1.4547745173898379</v>
      </c>
      <c r="J119" s="187">
        <v>1.4014542785151678</v>
      </c>
      <c r="K119" s="187">
        <v>1.4255103862865306</v>
      </c>
      <c r="L119" s="187">
        <v>1.4582465329444676</v>
      </c>
      <c r="M119" s="187">
        <v>1.38781322540325</v>
      </c>
      <c r="N119" s="187">
        <v>1.2397575541138424</v>
      </c>
      <c r="O119" s="187">
        <v>1.179245283018868</v>
      </c>
      <c r="P119" s="187">
        <v>0.98</v>
      </c>
      <c r="Q119" s="187">
        <v>0.97</v>
      </c>
      <c r="R119" s="187">
        <v>1.01</v>
      </c>
      <c r="S119" s="187">
        <v>1.07</v>
      </c>
      <c r="T119" s="294">
        <v>1.1100000000000001</v>
      </c>
      <c r="U119" s="294">
        <v>1.07</v>
      </c>
      <c r="V119" s="294">
        <v>1.0434845800000001</v>
      </c>
      <c r="W119" s="294">
        <v>1</v>
      </c>
      <c r="X119" s="261">
        <v>0.96535539395122494</v>
      </c>
    </row>
    <row r="120" spans="1:82" ht="13" customHeight="1">
      <c r="E120" s="13"/>
      <c r="G120" s="49"/>
      <c r="T120" s="106"/>
      <c r="U120" s="106"/>
      <c r="V120" s="106"/>
      <c r="W120" s="106"/>
      <c r="X120" s="258"/>
    </row>
    <row r="121" spans="1:82" ht="13" customHeight="1">
      <c r="B121" s="225"/>
      <c r="C121" s="8" t="str">
        <f>VLOOKUP(101,Textbausteine_203[],Hilfsgrössen!$D$2,FALSE)</f>
        <v>Posti di lavoro nei comuni rurali</v>
      </c>
      <c r="E121" s="13"/>
      <c r="G121" s="49"/>
      <c r="T121" s="106"/>
      <c r="U121" s="106"/>
      <c r="V121" s="106"/>
      <c r="W121" s="106"/>
      <c r="X121" s="258"/>
    </row>
    <row r="122" spans="1:82" s="31" customFormat="1" ht="13" customHeight="1">
      <c r="A122" s="89"/>
      <c r="B122" s="225"/>
      <c r="C122" s="148" t="str">
        <f>VLOOKUP(102,Textbausteine_203[],Hilfsgrössen!$D$2,FALSE)</f>
        <v>Organico</v>
      </c>
      <c r="E122" s="7"/>
      <c r="F122" s="39"/>
      <c r="G122" s="48"/>
      <c r="H122" s="95"/>
      <c r="I122" s="95"/>
      <c r="J122" s="95"/>
      <c r="K122" s="95"/>
      <c r="L122" s="95"/>
      <c r="M122" s="95"/>
      <c r="N122" s="95"/>
      <c r="O122" s="95"/>
      <c r="P122" s="95"/>
      <c r="Q122" s="95"/>
      <c r="R122" s="95"/>
      <c r="S122" s="95"/>
      <c r="T122" s="102"/>
      <c r="U122" s="102"/>
      <c r="V122" s="102"/>
      <c r="W122" s="102"/>
      <c r="X122" s="327"/>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row>
    <row r="123" spans="1:82" ht="13" customHeight="1">
      <c r="C123" s="143" t="str">
        <f>VLOOKUP(103,Textbausteine_203[],Hilfsgrössen!$D$2,FALSE)</f>
        <v>Posti di lavoro nei comuni rurali</v>
      </c>
      <c r="D123" s="1" t="str">
        <f>VLOOKUP(15,Textbausteine_203[],Hilfsgrössen!$D$2,FALSE)</f>
        <v>unità di personale</v>
      </c>
      <c r="E123" s="13" t="s">
        <v>130</v>
      </c>
      <c r="F123" s="11" t="s">
        <v>124</v>
      </c>
      <c r="H123" s="99">
        <v>15818.296666666667</v>
      </c>
      <c r="I123" s="99">
        <v>15315.269166666663</v>
      </c>
      <c r="J123" s="99">
        <v>14931.553249999999</v>
      </c>
      <c r="K123" s="99">
        <v>14492.717416666666</v>
      </c>
      <c r="L123" s="99">
        <v>14628.051666666668</v>
      </c>
      <c r="M123" s="99">
        <v>14515.069166666668</v>
      </c>
      <c r="N123" s="99">
        <v>14523</v>
      </c>
      <c r="O123" s="99">
        <v>14338.631416666669</v>
      </c>
      <c r="P123" s="99">
        <v>14203</v>
      </c>
      <c r="Q123" s="99">
        <v>13668.8575833333</v>
      </c>
      <c r="R123" s="99">
        <v>13442</v>
      </c>
      <c r="S123" s="99">
        <v>13135</v>
      </c>
      <c r="T123" s="106">
        <v>12842.4985</v>
      </c>
      <c r="U123" s="106">
        <v>12539</v>
      </c>
      <c r="V123" s="106">
        <v>12094</v>
      </c>
      <c r="W123" s="106">
        <v>11814</v>
      </c>
      <c r="X123" s="258">
        <v>11715.963166666699</v>
      </c>
    </row>
    <row r="124" spans="1:82" ht="13" customHeight="1">
      <c r="C124" s="143" t="str">
        <f>VLOOKUP(104,Textbausteine_203[],Hilfsgrössen!$D$2,FALSE)</f>
        <v>Quota di tutti i posti di lavoro</v>
      </c>
      <c r="D124" s="1" t="str">
        <f>VLOOKUP(12,Textbausteine_203[],Hilfsgrössen!$D$2,FALSE)</f>
        <v>%</v>
      </c>
      <c r="E124" s="13" t="s">
        <v>130</v>
      </c>
      <c r="F124" s="11" t="s">
        <v>124</v>
      </c>
      <c r="H124" s="99">
        <f>IFERROR(H123/('102'!H$198-'102'!H$199)*100,"—")</f>
        <v>38.463007991700302</v>
      </c>
      <c r="I124" s="99">
        <f>IFERROR(I123/('102'!I$198-'102'!I$199)*100,"—")</f>
        <v>38.552255869371855</v>
      </c>
      <c r="J124" s="99">
        <f>IFERROR(J123/('102'!J$198-'102'!J$199)*100,"—")</f>
        <v>38.484376530322947</v>
      </c>
      <c r="K124" s="99">
        <f>IFERROR(K123/('102'!K$198-'102'!K$199)*100,"—")</f>
        <v>38.205086246287415</v>
      </c>
      <c r="L124" s="99">
        <f>IFERROR(L123/('102'!L$198-'102'!L$199)*100,"—")</f>
        <v>38.594405748157534</v>
      </c>
      <c r="M124" s="99">
        <f>IFERROR(M123/('102'!M$198-'102'!M$199)*100,"—")</f>
        <v>38.382391957761506</v>
      </c>
      <c r="N124" s="99">
        <f>IFERROR(N123/('102'!N$198-'102'!N$199)*100,"—")</f>
        <v>38.345566879653589</v>
      </c>
      <c r="O124" s="99">
        <f>IFERROR(O123/('102'!O$198-'102'!O$199)*100,"—")</f>
        <v>38.030478785949839</v>
      </c>
      <c r="P124" s="99">
        <f>IFERROR(P123/('102'!P$198-'102'!P$199)*100,"—")</f>
        <v>37.392059814658801</v>
      </c>
      <c r="Q124" s="99">
        <f>IFERROR(Q123/('102'!Q$198-'102'!Q$199)*100,"—")</f>
        <v>36.620204638411025</v>
      </c>
      <c r="R124" s="99">
        <f>IFERROR(R123/('102'!R$198-'102'!R$199)*100,"—")</f>
        <v>36.276785232363579</v>
      </c>
      <c r="S124" s="99">
        <f>IFERROR(S123/('102'!S$198-'102'!S$199)*100,"—")</f>
        <v>35.807753121421953</v>
      </c>
      <c r="T124" s="20">
        <f>IFERROR(T123/('102'!T$198-'102'!T$199)*100,"—")</f>
        <v>35.388532653623592</v>
      </c>
      <c r="U124" s="20">
        <f>IFERROR(U123/('102'!U$198-'102'!U$199)*100,"—")</f>
        <v>35.476022068185031</v>
      </c>
      <c r="V124" s="20">
        <v>35.24</v>
      </c>
      <c r="W124" s="20">
        <v>35.43</v>
      </c>
      <c r="X124" s="258">
        <v>35.182016055574003</v>
      </c>
    </row>
    <row r="125" spans="1:82" ht="13" customHeight="1">
      <c r="E125" s="13"/>
      <c r="F125" s="11"/>
      <c r="X125" s="256"/>
    </row>
    <row r="126" spans="1:82" ht="13" customHeight="1">
      <c r="C126" s="143" t="str">
        <f>VLOOKUP(103,Textbausteine_203[],Hilfsgrössen!$D$2,FALSE)</f>
        <v>Posti di lavoro nei comuni rurali</v>
      </c>
      <c r="D126" s="1" t="str">
        <f>VLOOKUP(16,Textbausteine_203[],Hilfsgrössen!$D$2,FALSE)</f>
        <v>persone</v>
      </c>
      <c r="E126" s="13" t="s">
        <v>131</v>
      </c>
      <c r="F126" s="11" t="s">
        <v>124</v>
      </c>
      <c r="H126" s="99">
        <v>22395.25</v>
      </c>
      <c r="I126" s="99">
        <v>21916.416666666672</v>
      </c>
      <c r="J126" s="99">
        <v>21420</v>
      </c>
      <c r="K126" s="99">
        <v>21068.583333333332</v>
      </c>
      <c r="L126" s="99">
        <v>21319.083333333332</v>
      </c>
      <c r="M126" s="99">
        <v>20776.166666666668</v>
      </c>
      <c r="N126" s="99">
        <v>20603</v>
      </c>
      <c r="O126" s="99">
        <v>20417.5</v>
      </c>
      <c r="P126" s="99">
        <v>20172</v>
      </c>
      <c r="Q126" s="99">
        <v>19494.166666666668</v>
      </c>
      <c r="R126" s="99">
        <v>19106</v>
      </c>
      <c r="S126" s="99">
        <v>18633</v>
      </c>
      <c r="T126" s="20">
        <v>18175.666666666668</v>
      </c>
      <c r="U126" s="20">
        <v>17640</v>
      </c>
      <c r="V126" s="20">
        <v>16765</v>
      </c>
      <c r="W126" s="20">
        <v>16073</v>
      </c>
      <c r="X126" s="256">
        <v>15655.166666666701</v>
      </c>
    </row>
    <row r="127" spans="1:82" ht="13" customHeight="1">
      <c r="C127" s="143" t="str">
        <f>VLOOKUP(104,Textbausteine_203[],Hilfsgrössen!$D$2,FALSE)</f>
        <v>Quota di tutti i posti di lavoro</v>
      </c>
      <c r="D127" s="1" t="str">
        <f>VLOOKUP(12,Textbausteine_203[],Hilfsgrössen!$D$2,FALSE)</f>
        <v>%</v>
      </c>
      <c r="E127" s="13" t="s">
        <v>131</v>
      </c>
      <c r="F127" s="11" t="s">
        <v>124</v>
      </c>
      <c r="H127" s="99" t="str">
        <f>IFERROR(H126/('102'!H$202-'102'!H$203)*100,"—")</f>
        <v>—</v>
      </c>
      <c r="I127" s="99" t="str">
        <f>IFERROR(I126/('102'!I$202-'102'!I$203)*100,"—")</f>
        <v>—</v>
      </c>
      <c r="J127" s="99" t="str">
        <f>IFERROR(J126/('102'!J$202-'102'!J$203)*100,"—")</f>
        <v>—</v>
      </c>
      <c r="K127" s="99" t="str">
        <f>IFERROR(K126/('102'!K$202-'102'!K$203)*100,"—")</f>
        <v>—</v>
      </c>
      <c r="L127" s="99" t="str">
        <f>IFERROR(L126/('102'!L$202-'102'!L$203)*100,"—")</f>
        <v>—</v>
      </c>
      <c r="M127" s="99">
        <f>IFERROR(M126/('102'!M$202-'102'!M$203)*100,"—")</f>
        <v>39.017008144127907</v>
      </c>
      <c r="N127" s="99">
        <f>IFERROR(N126/('102'!N$202-'102'!N$203)*100,"—")</f>
        <v>38.389729447715588</v>
      </c>
      <c r="O127" s="99">
        <f>IFERROR(O126/('102'!O$202-'102'!O$203)*100,"—")</f>
        <v>38.847558887324482</v>
      </c>
      <c r="P127" s="99">
        <f>IFERROR(P126/('102'!P$202-'102'!P$203)*100,"—")</f>
        <v>36.704392445139931</v>
      </c>
      <c r="Q127" s="99">
        <f>IFERROR(Q126/('102'!Q$202-'102'!Q$203)*100,"—")</f>
        <v>35.827620640434226</v>
      </c>
      <c r="R127" s="99">
        <f>IFERROR(R126/('102'!R$202-'102'!R$203)*100,"—")</f>
        <v>34.753979081400637</v>
      </c>
      <c r="S127" s="99">
        <f>IFERROR(S126/('102'!S$202-'102'!S$203)*100,"—")</f>
        <v>34.239250275633957</v>
      </c>
      <c r="T127" s="20">
        <f>IFERROR(T126/('102'!T$202-'102'!T$203)*100,"—")</f>
        <v>33.944657141967816</v>
      </c>
      <c r="U127" s="20">
        <f>IFERROR(U126/('102'!U$202-'102'!U$203)*100,"—")</f>
        <v>33.987129590381876</v>
      </c>
      <c r="V127" s="20">
        <v>33.340000000000003</v>
      </c>
      <c r="W127" s="20">
        <v>32.74</v>
      </c>
      <c r="X127" s="256">
        <v>32.629763502214303</v>
      </c>
    </row>
    <row r="128" spans="1:82" ht="13" customHeight="1">
      <c r="G128" s="49"/>
    </row>
    <row r="129" spans="1:82" s="21" customFormat="1" ht="13" customHeight="1">
      <c r="A129" s="315"/>
      <c r="B129" s="22" t="str">
        <f>VLOOKUP(211,Textbausteine_203[],Hilfsgrössen!$D$2,FALSE)</f>
        <v>1) Escluso il personale in formazione</v>
      </c>
      <c r="C129" s="22"/>
      <c r="D129" s="22"/>
      <c r="E129" s="22"/>
      <c r="F129" s="22"/>
      <c r="G129" s="22"/>
      <c r="H129" s="22"/>
      <c r="I129" s="22"/>
      <c r="J129" s="22"/>
      <c r="K129" s="22"/>
      <c r="L129" s="22"/>
      <c r="M129" s="22"/>
      <c r="N129" s="22"/>
      <c r="O129" s="22"/>
      <c r="P129" s="22"/>
      <c r="Q129" s="22"/>
      <c r="R129" s="22"/>
      <c r="S129" s="316"/>
      <c r="T129" s="317"/>
      <c r="U129" s="317"/>
      <c r="V129" s="317"/>
      <c r="W129" s="317"/>
      <c r="X129" s="317"/>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18"/>
      <c r="BO129" s="318"/>
      <c r="BP129" s="318"/>
      <c r="BQ129" s="318"/>
      <c r="BR129" s="318"/>
      <c r="BS129" s="318"/>
      <c r="BT129" s="318"/>
      <c r="BU129" s="318"/>
      <c r="BV129" s="318"/>
      <c r="BW129" s="318"/>
      <c r="BX129" s="318"/>
      <c r="BY129" s="318"/>
      <c r="BZ129" s="318"/>
      <c r="CA129" s="318"/>
      <c r="CB129" s="318"/>
      <c r="CC129" s="318"/>
      <c r="CD129" s="318"/>
    </row>
    <row r="130" spans="1:82" s="21" customFormat="1" ht="13" customHeight="1">
      <c r="A130" s="315"/>
      <c r="B130" s="22" t="str">
        <f>VLOOKUP(212,Textbausteine_203[],Hilfsgrössen!$D$2,FALSE)</f>
        <v>2) Un'unità di personale corrisponde a un impiego a tempo pieno.</v>
      </c>
      <c r="C130" s="22"/>
      <c r="D130" s="22"/>
      <c r="E130" s="22"/>
      <c r="F130" s="22"/>
      <c r="G130" s="22"/>
      <c r="H130" s="22"/>
      <c r="I130" s="22"/>
      <c r="J130" s="22"/>
      <c r="K130" s="22"/>
      <c r="L130" s="22"/>
      <c r="M130" s="22"/>
      <c r="N130" s="22"/>
      <c r="O130" s="22"/>
      <c r="P130" s="22"/>
      <c r="Q130" s="22"/>
      <c r="R130" s="22"/>
      <c r="S130" s="316"/>
      <c r="T130" s="317"/>
      <c r="U130" s="317"/>
      <c r="V130" s="317"/>
      <c r="W130" s="317"/>
      <c r="X130" s="317"/>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row>
    <row r="131" spans="1:82" s="21" customFormat="1" ht="13" customHeight="1">
      <c r="A131" s="315"/>
      <c r="B131" s="24" t="str">
        <f>VLOOKUP(213,Textbausteine_203[],Hilfsgrössen!$D$2,FALSE)</f>
        <v>3) Valori medi annuali.</v>
      </c>
      <c r="C131" s="24"/>
      <c r="D131" s="24"/>
      <c r="E131" s="24"/>
      <c r="F131" s="24"/>
      <c r="G131" s="24"/>
      <c r="H131" s="24"/>
      <c r="I131" s="24"/>
      <c r="J131" s="24"/>
      <c r="K131" s="24"/>
      <c r="L131" s="24"/>
      <c r="M131" s="24"/>
      <c r="N131" s="24"/>
      <c r="O131" s="24"/>
      <c r="P131" s="24"/>
      <c r="Q131" s="24"/>
      <c r="R131" s="24"/>
      <c r="S131" s="316"/>
      <c r="T131" s="319"/>
      <c r="U131" s="319"/>
      <c r="V131" s="319"/>
      <c r="W131" s="319"/>
      <c r="X131" s="319"/>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row>
    <row r="132" spans="1:82" s="21" customFormat="1" ht="13" customHeight="1">
      <c r="A132" s="315"/>
      <c r="B132" s="24" t="str">
        <f>VLOOKUP(214,Textbausteine_203[],Hilfsgrössen!$D$2,FALSE)</f>
        <v>4) Dal 2015 il numero di collaboratori nei Cantoni si basa sul rilevamento STATENT.</v>
      </c>
      <c r="C132" s="24"/>
      <c r="D132" s="24"/>
      <c r="E132" s="24"/>
      <c r="F132" s="24"/>
      <c r="G132" s="24"/>
      <c r="H132" s="24"/>
      <c r="I132" s="24"/>
      <c r="J132" s="24"/>
      <c r="K132" s="24"/>
      <c r="L132" s="24"/>
      <c r="M132" s="24"/>
      <c r="N132" s="24"/>
      <c r="O132" s="24"/>
      <c r="P132" s="24"/>
      <c r="Q132" s="24"/>
      <c r="R132" s="24"/>
      <c r="S132" s="316"/>
      <c r="T132" s="319"/>
      <c r="U132" s="319"/>
      <c r="V132" s="319"/>
      <c r="W132" s="319"/>
      <c r="X132" s="319"/>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c r="BP132" s="318"/>
      <c r="BQ132" s="318"/>
      <c r="BR132" s="318"/>
      <c r="BS132" s="318"/>
      <c r="BT132" s="318"/>
      <c r="BU132" s="318"/>
      <c r="BV132" s="318"/>
      <c r="BW132" s="318"/>
      <c r="BX132" s="318"/>
      <c r="BY132" s="318"/>
      <c r="BZ132" s="318"/>
      <c r="CA132" s="318"/>
      <c r="CB132" s="318"/>
      <c r="CC132" s="318"/>
      <c r="CD132" s="318"/>
    </row>
    <row r="133" spans="1:82" s="21" customFormat="1" ht="13" customHeight="1">
      <c r="A133" s="315"/>
      <c r="B133" s="24" t="str">
        <f>VLOOKUP(215,Textbausteine_203[],Hilfsgrössen!$D$2,FALSE)</f>
        <v>5) La definizione delle comunità rurali si basa sulle tipologie territoriali dell' Ufficio federale di statistica (UST)</v>
      </c>
      <c r="C133" s="24"/>
      <c r="D133" s="24"/>
      <c r="E133" s="24"/>
      <c r="F133" s="24"/>
      <c r="G133" s="24"/>
      <c r="H133" s="24"/>
      <c r="I133" s="24"/>
      <c r="J133" s="24"/>
      <c r="K133" s="24"/>
      <c r="L133" s="24"/>
      <c r="M133" s="24"/>
      <c r="N133" s="24"/>
      <c r="O133" s="24"/>
      <c r="P133" s="24"/>
      <c r="Q133" s="24"/>
      <c r="R133" s="24"/>
      <c r="S133" s="316"/>
      <c r="T133" s="320"/>
      <c r="U133" s="320"/>
      <c r="V133" s="320"/>
      <c r="W133" s="320"/>
      <c r="X133" s="320"/>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c r="BP133" s="318"/>
      <c r="BQ133" s="318"/>
      <c r="BR133" s="318"/>
      <c r="BS133" s="318"/>
      <c r="BT133" s="318"/>
      <c r="BU133" s="318"/>
      <c r="BV133" s="318"/>
      <c r="BW133" s="318"/>
      <c r="BX133" s="318"/>
      <c r="BY133" s="318"/>
      <c r="BZ133" s="318"/>
      <c r="CA133" s="318"/>
      <c r="CB133" s="318"/>
      <c r="CC133" s="318"/>
      <c r="CD133" s="318"/>
    </row>
    <row r="134" spans="1:82" s="21" customFormat="1" ht="13" customHeight="1">
      <c r="A134" s="315"/>
      <c r="B134" s="24" t="str">
        <f>VLOOKUP(216,Textbausteine_203[],Hilfsgrössen!$D$2,FALSE)</f>
        <v>6)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SA, PubliBike SA, Destinas AG, Eden-Trans GmbH, Relatra AG, BPS Speditions-Service AG, Arlesheim, BPS Speditions-Service AG, Pfungen, Walli-Trans AG, Asmiq AG, notime AG e notime Schweiz AG.</v>
      </c>
      <c r="C134" s="24"/>
      <c r="D134" s="24"/>
      <c r="E134" s="24"/>
      <c r="F134" s="24"/>
      <c r="G134" s="24"/>
      <c r="H134" s="24"/>
      <c r="I134" s="24"/>
      <c r="J134" s="24"/>
      <c r="K134" s="24"/>
      <c r="L134" s="24"/>
      <c r="M134" s="24"/>
      <c r="N134" s="24"/>
      <c r="O134" s="24"/>
      <c r="P134" s="24"/>
      <c r="Q134" s="24"/>
      <c r="R134" s="24"/>
      <c r="S134" s="316"/>
      <c r="T134" s="320"/>
      <c r="U134" s="320"/>
      <c r="V134" s="320"/>
      <c r="W134" s="320"/>
      <c r="X134" s="320"/>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c r="BP134" s="318"/>
      <c r="BQ134" s="318"/>
      <c r="BR134" s="318"/>
      <c r="BS134" s="318"/>
      <c r="BT134" s="318"/>
      <c r="BU134" s="318"/>
      <c r="BV134" s="318"/>
      <c r="BW134" s="318"/>
      <c r="BX134" s="318"/>
      <c r="BY134" s="318"/>
      <c r="BZ134" s="318"/>
      <c r="CA134" s="318"/>
      <c r="CB134" s="318"/>
      <c r="CC134" s="318"/>
      <c r="CD134" s="318"/>
    </row>
    <row r="135" spans="1:82" s="21" customFormat="1" ht="13" customHeight="1">
      <c r="A135" s="315"/>
      <c r="B135" s="24" t="str">
        <f>VLOOKUP(217,Textbausteine_203[],Hilfsgrössen!$D$2,FALSE)</f>
        <v>7)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v>
      </c>
      <c r="C135" s="24"/>
      <c r="D135" s="24"/>
      <c r="E135" s="24"/>
      <c r="F135" s="24"/>
      <c r="G135" s="24"/>
      <c r="H135" s="24"/>
      <c r="I135" s="24"/>
      <c r="J135" s="24"/>
      <c r="K135" s="24"/>
      <c r="L135" s="24"/>
      <c r="M135" s="24"/>
      <c r="N135" s="24"/>
      <c r="O135" s="24"/>
      <c r="P135" s="24"/>
      <c r="Q135" s="24"/>
      <c r="R135" s="24"/>
      <c r="S135" s="316"/>
      <c r="T135" s="320"/>
      <c r="U135" s="320"/>
      <c r="V135" s="320"/>
      <c r="W135" s="320"/>
      <c r="X135" s="320"/>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318"/>
      <c r="BF135" s="318"/>
      <c r="BG135" s="318"/>
      <c r="BH135" s="318"/>
      <c r="BI135" s="318"/>
      <c r="BJ135" s="318"/>
      <c r="BK135" s="318"/>
      <c r="BL135" s="318"/>
      <c r="BM135" s="318"/>
      <c r="BN135" s="318"/>
      <c r="BO135" s="318"/>
      <c r="BP135" s="318"/>
      <c r="BQ135" s="318"/>
      <c r="BR135" s="318"/>
      <c r="BS135" s="318"/>
      <c r="BT135" s="318"/>
      <c r="BU135" s="318"/>
      <c r="BV135" s="318"/>
      <c r="BW135" s="318"/>
      <c r="BX135" s="318"/>
      <c r="BY135" s="318"/>
      <c r="BZ135" s="318"/>
      <c r="CA135" s="318"/>
      <c r="CB135" s="318"/>
      <c r="CC135" s="318"/>
      <c r="CD135" s="318"/>
    </row>
    <row r="136" spans="1:82" s="21" customFormat="1" ht="13" customHeight="1">
      <c r="A136" s="315"/>
      <c r="B136" s="24" t="str">
        <f>VLOOKUP(218,Textbausteine_203[],Hilfsgrössen!$D$2,FALSE)</f>
        <v>8) Poiché i centri d’esercizio di SPS in Germania e in Austria non hanno una propria forma giuridica, i collaboratori di questi centri sono stati conteggiati nel totale dei posti di lavori in Svizzera. La modifica è applicata retroattivamente al 2019.</v>
      </c>
      <c r="C136" s="24"/>
      <c r="D136" s="24"/>
      <c r="E136" s="24"/>
      <c r="F136" s="24"/>
      <c r="G136" s="24"/>
      <c r="H136" s="24"/>
      <c r="I136" s="24"/>
      <c r="J136" s="24"/>
      <c r="K136" s="24"/>
      <c r="L136" s="24"/>
      <c r="M136" s="24"/>
      <c r="N136" s="24"/>
      <c r="O136" s="24"/>
      <c r="P136" s="24"/>
      <c r="Q136" s="24"/>
      <c r="R136" s="24"/>
      <c r="S136" s="316"/>
      <c r="T136" s="320"/>
      <c r="U136" s="320"/>
      <c r="V136" s="320"/>
      <c r="W136" s="320"/>
      <c r="X136" s="320"/>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318"/>
      <c r="BP136" s="318"/>
      <c r="BQ136" s="318"/>
      <c r="BR136" s="318"/>
      <c r="BS136" s="318"/>
      <c r="BT136" s="318"/>
      <c r="BU136" s="318"/>
      <c r="BV136" s="318"/>
      <c r="BW136" s="318"/>
      <c r="BX136" s="318"/>
      <c r="BY136" s="318"/>
      <c r="BZ136" s="318"/>
      <c r="CA136" s="318"/>
      <c r="CB136" s="318"/>
      <c r="CC136" s="318"/>
      <c r="CD136" s="318"/>
    </row>
    <row r="137" spans="1:82" ht="13" customHeight="1">
      <c r="T137" s="139"/>
      <c r="U137" s="139"/>
      <c r="V137" s="139"/>
      <c r="W137" s="139"/>
      <c r="X137" s="139"/>
    </row>
    <row r="138" spans="1:82" ht="13" customHeight="1">
      <c r="T138" s="139"/>
      <c r="U138" s="139"/>
      <c r="V138" s="139"/>
      <c r="W138" s="139"/>
      <c r="X138" s="139"/>
    </row>
    <row r="139" spans="1:82" s="31" customFormat="1" ht="13" customHeight="1">
      <c r="A139" s="56" t="s">
        <v>27</v>
      </c>
      <c r="B139" s="495" t="str">
        <f>$C$10</f>
        <v>Confronto dei prezzi dei servizi postali</v>
      </c>
      <c r="C139" s="495"/>
      <c r="D139" s="6" t="str">
        <f>VLOOKUP(32,Textbausteine_Menu[],Hilfsgrössen!$D$2,FALSE)</f>
        <v>Unità</v>
      </c>
      <c r="E139" s="39" t="str">
        <f>VLOOKUP(33,Textbausteine_Menu[],Hilfsgrössen!$D$2,FALSE)</f>
        <v>Note</v>
      </c>
      <c r="F139" s="39" t="str">
        <f>VLOOKUP(34,Textbausteine_Menu[],Hilfsgrössen!$D$2,FALSE)</f>
        <v>GRI</v>
      </c>
      <c r="G139" s="53"/>
      <c r="H139" s="116">
        <v>2004</v>
      </c>
      <c r="I139" s="116">
        <v>2005</v>
      </c>
      <c r="J139" s="116">
        <v>2006</v>
      </c>
      <c r="K139" s="116">
        <v>2007</v>
      </c>
      <c r="L139" s="116">
        <v>2008</v>
      </c>
      <c r="M139" s="116">
        <v>2009</v>
      </c>
      <c r="N139" s="116">
        <v>2010</v>
      </c>
      <c r="O139" s="116">
        <v>2011</v>
      </c>
      <c r="P139" s="116">
        <v>2012</v>
      </c>
      <c r="Q139" s="116">
        <v>2013</v>
      </c>
      <c r="R139" s="116">
        <v>2014</v>
      </c>
      <c r="S139" s="116">
        <v>2015</v>
      </c>
      <c r="T139" s="116">
        <v>2016</v>
      </c>
      <c r="U139" s="116">
        <v>2017</v>
      </c>
      <c r="V139" s="116">
        <v>2018</v>
      </c>
      <c r="W139" s="116">
        <v>2019</v>
      </c>
      <c r="X139" s="255">
        <v>2020</v>
      </c>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row>
    <row r="140" spans="1:82" s="31" customFormat="1" ht="13" customHeight="1">
      <c r="A140" s="55"/>
      <c r="B140" s="495"/>
      <c r="C140" s="495"/>
      <c r="D140" s="6"/>
      <c r="E140" s="37"/>
      <c r="F140" s="37"/>
      <c r="G140" s="47"/>
      <c r="H140" s="116"/>
      <c r="I140" s="116"/>
      <c r="J140" s="116"/>
      <c r="K140" s="116"/>
      <c r="L140" s="105"/>
      <c r="M140" s="105"/>
      <c r="N140" s="106"/>
      <c r="O140" s="106"/>
      <c r="P140" s="106"/>
      <c r="Q140" s="106"/>
      <c r="R140" s="106"/>
      <c r="S140" s="106"/>
      <c r="T140" s="20"/>
      <c r="U140" s="20"/>
      <c r="V140" s="20"/>
      <c r="W140" s="20"/>
      <c r="X140" s="256"/>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row>
    <row r="141" spans="1:82" ht="13" customHeight="1">
      <c r="A141" s="65"/>
      <c r="B141" s="8"/>
      <c r="C141" s="9"/>
      <c r="D141" s="9"/>
      <c r="E141" s="40"/>
      <c r="F141" s="40"/>
      <c r="H141" s="116"/>
      <c r="I141" s="116"/>
      <c r="J141" s="116"/>
      <c r="K141" s="116"/>
      <c r="L141" s="105"/>
      <c r="M141" s="105"/>
      <c r="N141" s="106"/>
      <c r="O141" s="106"/>
      <c r="P141" s="106"/>
      <c r="Q141" s="106"/>
      <c r="R141" s="106"/>
      <c r="S141" s="106"/>
      <c r="X141" s="256"/>
    </row>
    <row r="142" spans="1:82" ht="13" customHeight="1">
      <c r="A142" s="65"/>
      <c r="B142" s="8" t="str">
        <f>VLOOKUP(36,Textbausteine_Menu[],Hilfsgrössen!$D$2,FALSE)</f>
        <v>Gruppo</v>
      </c>
      <c r="C142" s="9"/>
      <c r="D142" s="9"/>
      <c r="E142" s="40"/>
      <c r="F142" s="40"/>
      <c r="H142" s="116"/>
      <c r="I142" s="116"/>
      <c r="J142" s="116"/>
      <c r="K142" s="116"/>
      <c r="L142" s="105"/>
      <c r="M142" s="105"/>
      <c r="N142" s="106"/>
      <c r="O142" s="106"/>
      <c r="P142" s="106"/>
      <c r="Q142" s="106"/>
      <c r="R142" s="106"/>
      <c r="S142" s="106"/>
      <c r="X142" s="256"/>
    </row>
    <row r="143" spans="1:82" ht="13" customHeight="1">
      <c r="C143" s="31" t="str">
        <f>VLOOKUP(111,Textbausteine_203[],Hilfsgrössen!$D$2,FALSE)</f>
        <v>Indice della posta-lettere rettificato in base al corso di cambio</v>
      </c>
      <c r="X143" s="256"/>
    </row>
    <row r="144" spans="1:82" ht="13" customHeight="1">
      <c r="C144" s="36" t="str">
        <f>VLOOKUP(119,Textbausteine_203[],Hilfsgrössen!$D$2,FALSE)</f>
        <v>Danimarca</v>
      </c>
      <c r="D144" s="1" t="str">
        <f>VLOOKUP(17,Textbausteine_203[],Hilfsgrössen!$D$2,FALSE)</f>
        <v>Indice</v>
      </c>
      <c r="E144" s="37" t="s">
        <v>83</v>
      </c>
      <c r="H144" s="99" t="s">
        <v>30</v>
      </c>
      <c r="I144" s="99" t="s">
        <v>30</v>
      </c>
      <c r="J144" s="99" t="s">
        <v>30</v>
      </c>
      <c r="K144" s="99" t="s">
        <v>30</v>
      </c>
      <c r="L144" s="329">
        <v>137</v>
      </c>
      <c r="M144" s="329">
        <v>127</v>
      </c>
      <c r="N144" s="329">
        <v>129</v>
      </c>
      <c r="O144" s="329">
        <v>147</v>
      </c>
      <c r="P144" s="329">
        <v>146</v>
      </c>
      <c r="Q144" s="329">
        <v>150</v>
      </c>
      <c r="R144" s="329">
        <v>164</v>
      </c>
      <c r="S144" s="329">
        <v>156</v>
      </c>
      <c r="T144" s="14">
        <v>303</v>
      </c>
      <c r="U144" s="14">
        <v>324</v>
      </c>
      <c r="V144" s="14">
        <v>325</v>
      </c>
      <c r="W144" s="14">
        <v>338</v>
      </c>
      <c r="X144" s="424">
        <v>335</v>
      </c>
    </row>
    <row r="145" spans="1:82" ht="13" customHeight="1">
      <c r="C145" s="36" t="str">
        <f>VLOOKUP(121,Textbausteine_203[],Hilfsgrössen!$D$2,FALSE)</f>
        <v>Finlandia</v>
      </c>
      <c r="D145" s="1" t="str">
        <f>VLOOKUP(17,Textbausteine_203[],Hilfsgrössen!$D$2,FALSE)</f>
        <v>Indice</v>
      </c>
      <c r="E145" s="37" t="s">
        <v>83</v>
      </c>
      <c r="H145" s="99" t="s">
        <v>30</v>
      </c>
      <c r="I145" s="99" t="s">
        <v>30</v>
      </c>
      <c r="J145" s="99" t="s">
        <v>30</v>
      </c>
      <c r="K145" s="99" t="s">
        <v>30</v>
      </c>
      <c r="L145" s="329">
        <v>116</v>
      </c>
      <c r="M145" s="329">
        <v>116</v>
      </c>
      <c r="N145" s="329">
        <v>117</v>
      </c>
      <c r="O145" s="329">
        <v>93</v>
      </c>
      <c r="P145" s="329">
        <v>103</v>
      </c>
      <c r="Q145" s="329">
        <v>112</v>
      </c>
      <c r="R145" s="329">
        <v>131</v>
      </c>
      <c r="S145" s="329">
        <v>130</v>
      </c>
      <c r="T145" s="14">
        <v>142</v>
      </c>
      <c r="U145" s="14">
        <v>182</v>
      </c>
      <c r="V145" s="14">
        <v>192</v>
      </c>
      <c r="W145" s="14">
        <v>201</v>
      </c>
      <c r="X145" s="424">
        <v>214</v>
      </c>
    </row>
    <row r="146" spans="1:82" ht="13" customHeight="1">
      <c r="C146" s="36" t="str">
        <f>VLOOKUP(127,Textbausteine_203[],Hilfsgrössen!$D$2,FALSE)</f>
        <v>Norvegia</v>
      </c>
      <c r="D146" s="1" t="str">
        <f>VLOOKUP(17,Textbausteine_203[],Hilfsgrössen!$D$2,FALSE)</f>
        <v>Indice</v>
      </c>
      <c r="E146" s="37" t="s">
        <v>83</v>
      </c>
      <c r="H146" s="99" t="s">
        <v>30</v>
      </c>
      <c r="I146" s="99" t="s">
        <v>30</v>
      </c>
      <c r="J146" s="99" t="s">
        <v>30</v>
      </c>
      <c r="K146" s="99" t="s">
        <v>30</v>
      </c>
      <c r="L146" s="329">
        <v>206</v>
      </c>
      <c r="M146" s="329">
        <v>173</v>
      </c>
      <c r="N146" s="329">
        <v>206</v>
      </c>
      <c r="O146" s="329">
        <v>203</v>
      </c>
      <c r="P146" s="329">
        <v>214</v>
      </c>
      <c r="Q146" s="329">
        <v>209</v>
      </c>
      <c r="R146" s="329">
        <v>199</v>
      </c>
      <c r="S146" s="329">
        <v>166</v>
      </c>
      <c r="T146" s="14">
        <v>179</v>
      </c>
      <c r="U146" s="14">
        <v>211</v>
      </c>
      <c r="V146" s="14">
        <v>220</v>
      </c>
      <c r="W146" s="14">
        <v>221</v>
      </c>
      <c r="X146" s="424">
        <v>208</v>
      </c>
      <c r="Y146" s="11"/>
    </row>
    <row r="147" spans="1:82" ht="13" customHeight="1">
      <c r="C147" s="36" t="str">
        <f>VLOOKUP(125,Textbausteine_203[],Hilfsgrössen!$D$2,FALSE)</f>
        <v>Italia</v>
      </c>
      <c r="D147" s="1" t="str">
        <f>VLOOKUP(17,Textbausteine_203[],Hilfsgrössen!$D$2,FALSE)</f>
        <v>Indice</v>
      </c>
      <c r="E147" s="37" t="s">
        <v>83</v>
      </c>
      <c r="H147" s="99" t="s">
        <v>30</v>
      </c>
      <c r="I147" s="99" t="s">
        <v>30</v>
      </c>
      <c r="J147" s="99" t="s">
        <v>30</v>
      </c>
      <c r="K147" s="99" t="s">
        <v>30</v>
      </c>
      <c r="L147" s="329">
        <v>166</v>
      </c>
      <c r="M147" s="329">
        <v>152</v>
      </c>
      <c r="N147" s="329">
        <v>147</v>
      </c>
      <c r="O147" s="329">
        <v>130</v>
      </c>
      <c r="P147" s="329">
        <v>130</v>
      </c>
      <c r="Q147" s="329">
        <v>169</v>
      </c>
      <c r="R147" s="329">
        <v>161</v>
      </c>
      <c r="S147" s="329">
        <v>182</v>
      </c>
      <c r="T147" s="14">
        <v>182</v>
      </c>
      <c r="U147" s="14">
        <v>195</v>
      </c>
      <c r="V147" s="14">
        <v>201</v>
      </c>
      <c r="W147" s="14">
        <v>190</v>
      </c>
      <c r="X147" s="424">
        <v>188</v>
      </c>
      <c r="Y147" s="11"/>
    </row>
    <row r="148" spans="1:82" ht="13" customHeight="1">
      <c r="C148" s="36" t="str">
        <f>VLOOKUP(122,Textbausteine_203[],Hilfsgrössen!$D$2,FALSE)</f>
        <v>Francia</v>
      </c>
      <c r="D148" s="1" t="str">
        <f>VLOOKUP(17,Textbausteine_203[],Hilfsgrössen!$D$2,FALSE)</f>
        <v>Indice</v>
      </c>
      <c r="E148" s="37" t="s">
        <v>83</v>
      </c>
      <c r="H148" s="99" t="s">
        <v>30</v>
      </c>
      <c r="I148" s="99" t="s">
        <v>30</v>
      </c>
      <c r="J148" s="99" t="s">
        <v>30</v>
      </c>
      <c r="K148" s="99" t="s">
        <v>30</v>
      </c>
      <c r="L148" s="329">
        <v>117</v>
      </c>
      <c r="M148" s="329">
        <v>110</v>
      </c>
      <c r="N148" s="329">
        <v>114</v>
      </c>
      <c r="O148" s="329">
        <v>111</v>
      </c>
      <c r="P148" s="329">
        <v>111</v>
      </c>
      <c r="Q148" s="329">
        <v>118</v>
      </c>
      <c r="R148" s="329">
        <v>121</v>
      </c>
      <c r="S148" s="329">
        <v>119</v>
      </c>
      <c r="T148" s="14">
        <v>128</v>
      </c>
      <c r="U148" s="14">
        <v>145</v>
      </c>
      <c r="V148" s="14">
        <v>157</v>
      </c>
      <c r="W148" s="14">
        <v>160</v>
      </c>
      <c r="X148" s="424">
        <v>179</v>
      </c>
      <c r="Y148" s="11"/>
    </row>
    <row r="149" spans="1:82" ht="13" customHeight="1">
      <c r="C149" s="36" t="str">
        <f>VLOOKUP(126,Textbausteine_203[],Hilfsgrössen!$D$2,FALSE)</f>
        <v>Paesi Bassi</v>
      </c>
      <c r="D149" s="1" t="str">
        <f>VLOOKUP(17,Textbausteine_203[],Hilfsgrössen!$D$2,FALSE)</f>
        <v>Indice</v>
      </c>
      <c r="E149" s="37" t="s">
        <v>83</v>
      </c>
      <c r="H149" s="99" t="s">
        <v>30</v>
      </c>
      <c r="I149" s="99" t="s">
        <v>30</v>
      </c>
      <c r="J149" s="99" t="s">
        <v>30</v>
      </c>
      <c r="K149" s="99" t="s">
        <v>30</v>
      </c>
      <c r="L149" s="329">
        <v>116</v>
      </c>
      <c r="M149" s="329">
        <v>106</v>
      </c>
      <c r="N149" s="329">
        <v>103</v>
      </c>
      <c r="O149" s="329">
        <v>95</v>
      </c>
      <c r="P149" s="329">
        <v>103</v>
      </c>
      <c r="Q149" s="329">
        <v>126</v>
      </c>
      <c r="R149" s="329">
        <v>132</v>
      </c>
      <c r="S149" s="329">
        <v>120</v>
      </c>
      <c r="T149" s="14">
        <v>126</v>
      </c>
      <c r="U149" s="14">
        <v>145</v>
      </c>
      <c r="V149" s="14">
        <v>150</v>
      </c>
      <c r="W149" s="14">
        <v>149</v>
      </c>
      <c r="X149" s="424">
        <v>153</v>
      </c>
      <c r="Y149" s="11"/>
    </row>
    <row r="150" spans="1:82" ht="13" customHeight="1">
      <c r="C150" s="36" t="str">
        <f>VLOOKUP(116,Textbausteine_203[],Hilfsgrössen!$D$2,FALSE)</f>
        <v>Belgio</v>
      </c>
      <c r="D150" s="1" t="str">
        <f>VLOOKUP(17,Textbausteine_203[],Hilfsgrössen!$D$2,FALSE)</f>
        <v>Indice</v>
      </c>
      <c r="E150" s="37" t="s">
        <v>83</v>
      </c>
      <c r="H150" s="99" t="s">
        <v>30</v>
      </c>
      <c r="I150" s="99" t="s">
        <v>30</v>
      </c>
      <c r="J150" s="99" t="s">
        <v>30</v>
      </c>
      <c r="K150" s="99" t="s">
        <v>30</v>
      </c>
      <c r="L150" s="329">
        <v>102</v>
      </c>
      <c r="M150" s="329">
        <v>105</v>
      </c>
      <c r="N150" s="329">
        <v>120</v>
      </c>
      <c r="O150" s="329">
        <v>109</v>
      </c>
      <c r="P150" s="329">
        <v>114</v>
      </c>
      <c r="Q150" s="329">
        <v>120</v>
      </c>
      <c r="R150" s="329">
        <v>118</v>
      </c>
      <c r="S150" s="329">
        <v>103</v>
      </c>
      <c r="T150" s="14">
        <v>105</v>
      </c>
      <c r="U150" s="14">
        <v>112</v>
      </c>
      <c r="V150" s="14">
        <v>121</v>
      </c>
      <c r="W150" s="14">
        <v>131</v>
      </c>
      <c r="X150" s="424">
        <v>147</v>
      </c>
      <c r="Y150" s="11"/>
    </row>
    <row r="151" spans="1:82" ht="13" customHeight="1">
      <c r="C151" s="36" t="str">
        <f>VLOOKUP(129,Textbausteine_203[],Hilfsgrössen!$D$2,FALSE)</f>
        <v>Svezia</v>
      </c>
      <c r="D151" s="1" t="str">
        <f>VLOOKUP(17,Textbausteine_203[],Hilfsgrössen!$D$2,FALSE)</f>
        <v>Indice</v>
      </c>
      <c r="E151" s="37" t="s">
        <v>83</v>
      </c>
      <c r="H151" s="99" t="s">
        <v>30</v>
      </c>
      <c r="I151" s="99" t="s">
        <v>30</v>
      </c>
      <c r="J151" s="99" t="s">
        <v>30</v>
      </c>
      <c r="K151" s="99" t="s">
        <v>30</v>
      </c>
      <c r="L151" s="329">
        <v>141</v>
      </c>
      <c r="M151" s="329">
        <v>122</v>
      </c>
      <c r="N151" s="329">
        <v>140</v>
      </c>
      <c r="O151" s="329">
        <v>127</v>
      </c>
      <c r="P151" s="329">
        <v>133</v>
      </c>
      <c r="Q151" s="329">
        <v>132</v>
      </c>
      <c r="R151" s="329">
        <v>119</v>
      </c>
      <c r="S151" s="329">
        <v>103</v>
      </c>
      <c r="T151" s="14">
        <v>90</v>
      </c>
      <c r="U151" s="14">
        <v>101</v>
      </c>
      <c r="V151" s="14">
        <v>128</v>
      </c>
      <c r="W151" s="14">
        <v>118</v>
      </c>
      <c r="X151" s="424">
        <v>144</v>
      </c>
      <c r="Y151" s="11"/>
    </row>
    <row r="152" spans="1:82" ht="13" customHeight="1">
      <c r="C152" s="36" t="str">
        <f>VLOOKUP(115,Textbausteine_203[],Hilfsgrössen!$D$2,FALSE)</f>
        <v>Austria</v>
      </c>
      <c r="D152" s="1" t="str">
        <f>VLOOKUP(17,Textbausteine_203[],Hilfsgrössen!$D$2,FALSE)</f>
        <v>Indice</v>
      </c>
      <c r="E152" s="37" t="s">
        <v>83</v>
      </c>
      <c r="H152" s="99" t="s">
        <v>30</v>
      </c>
      <c r="I152" s="99" t="s">
        <v>30</v>
      </c>
      <c r="J152" s="99" t="s">
        <v>30</v>
      </c>
      <c r="K152" s="99" t="s">
        <v>30</v>
      </c>
      <c r="L152" s="329">
        <v>110</v>
      </c>
      <c r="M152" s="329">
        <v>100</v>
      </c>
      <c r="N152" s="329">
        <v>97</v>
      </c>
      <c r="O152" s="329">
        <v>102</v>
      </c>
      <c r="P152" s="329">
        <v>101</v>
      </c>
      <c r="Q152" s="329">
        <v>103</v>
      </c>
      <c r="R152" s="329">
        <v>101</v>
      </c>
      <c r="S152" s="329">
        <v>96</v>
      </c>
      <c r="T152" s="14">
        <v>96</v>
      </c>
      <c r="U152" s="14">
        <v>123</v>
      </c>
      <c r="V152" s="14">
        <v>130</v>
      </c>
      <c r="W152" s="14">
        <v>123</v>
      </c>
      <c r="X152" s="424">
        <v>125</v>
      </c>
      <c r="Y152" s="11"/>
    </row>
    <row r="153" spans="1:82" ht="13" customHeight="1">
      <c r="C153" s="36" t="str">
        <f>VLOOKUP(124,Textbausteine_203[],Hilfsgrössen!$D$2,FALSE)</f>
        <v>Irlanda</v>
      </c>
      <c r="D153" s="1" t="str">
        <f>VLOOKUP(17,Textbausteine_203[],Hilfsgrössen!$D$2,FALSE)</f>
        <v>Indice</v>
      </c>
      <c r="E153" s="37" t="s">
        <v>83</v>
      </c>
      <c r="H153" s="99" t="s">
        <v>30</v>
      </c>
      <c r="I153" s="99" t="s">
        <v>30</v>
      </c>
      <c r="J153" s="99" t="s">
        <v>30</v>
      </c>
      <c r="K153" s="99" t="s">
        <v>30</v>
      </c>
      <c r="L153" s="329">
        <v>96</v>
      </c>
      <c r="M153" s="329">
        <v>88</v>
      </c>
      <c r="N153" s="329">
        <v>86</v>
      </c>
      <c r="O153" s="329">
        <v>76</v>
      </c>
      <c r="P153" s="329">
        <v>77</v>
      </c>
      <c r="Q153" s="329">
        <v>85</v>
      </c>
      <c r="R153" s="329">
        <v>94</v>
      </c>
      <c r="S153" s="329">
        <v>87</v>
      </c>
      <c r="T153" s="14">
        <v>89</v>
      </c>
      <c r="U153" s="14">
        <v>128</v>
      </c>
      <c r="V153" s="14">
        <v>128</v>
      </c>
      <c r="W153" s="14">
        <v>125</v>
      </c>
      <c r="X153" s="424">
        <v>121</v>
      </c>
      <c r="Y153" s="11"/>
    </row>
    <row r="154" spans="1:82" ht="13" customHeight="1">
      <c r="C154" s="314" t="str">
        <f>VLOOKUP(117,Textbausteine_203[],Hilfsgrössen!$D$2,FALSE)</f>
        <v>Svizzera</v>
      </c>
      <c r="D154" s="31" t="str">
        <f>VLOOKUP(17,Textbausteine_203[],Hilfsgrössen!$D$2,FALSE)</f>
        <v>Indice</v>
      </c>
      <c r="E154" s="39" t="s">
        <v>83</v>
      </c>
      <c r="F154" s="39"/>
      <c r="G154" s="46"/>
      <c r="H154" s="95" t="s">
        <v>30</v>
      </c>
      <c r="I154" s="95" t="s">
        <v>30</v>
      </c>
      <c r="J154" s="95" t="s">
        <v>30</v>
      </c>
      <c r="K154" s="95" t="s">
        <v>30</v>
      </c>
      <c r="L154" s="425">
        <v>100</v>
      </c>
      <c r="M154" s="425">
        <v>100</v>
      </c>
      <c r="N154" s="425">
        <v>100</v>
      </c>
      <c r="O154" s="425">
        <v>100</v>
      </c>
      <c r="P154" s="425">
        <v>100</v>
      </c>
      <c r="Q154" s="425">
        <v>100</v>
      </c>
      <c r="R154" s="425">
        <v>100</v>
      </c>
      <c r="S154" s="425">
        <v>100</v>
      </c>
      <c r="T154" s="123">
        <v>100</v>
      </c>
      <c r="U154" s="123">
        <v>100</v>
      </c>
      <c r="V154" s="123">
        <v>100</v>
      </c>
      <c r="W154" s="123">
        <v>100</v>
      </c>
      <c r="X154" s="426">
        <v>100</v>
      </c>
      <c r="Y154" s="11"/>
    </row>
    <row r="155" spans="1:82" ht="13" customHeight="1">
      <c r="C155" s="36" t="str">
        <f>VLOOKUP(118,Textbausteine_203[],Hilfsgrössen!$D$2,FALSE)</f>
        <v>Germania</v>
      </c>
      <c r="D155" s="1" t="str">
        <f>VLOOKUP(17,Textbausteine_203[],Hilfsgrössen!$D$2,FALSE)</f>
        <v>Indice</v>
      </c>
      <c r="E155" s="37" t="s">
        <v>83</v>
      </c>
      <c r="H155" s="99" t="s">
        <v>30</v>
      </c>
      <c r="I155" s="99" t="s">
        <v>30</v>
      </c>
      <c r="J155" s="99" t="s">
        <v>30</v>
      </c>
      <c r="K155" s="99" t="s">
        <v>30</v>
      </c>
      <c r="L155" s="329">
        <v>123</v>
      </c>
      <c r="M155" s="329">
        <v>113</v>
      </c>
      <c r="N155" s="329">
        <v>110</v>
      </c>
      <c r="O155" s="329">
        <v>97</v>
      </c>
      <c r="P155" s="329">
        <v>96</v>
      </c>
      <c r="Q155" s="329">
        <v>101</v>
      </c>
      <c r="R155" s="329">
        <v>99</v>
      </c>
      <c r="S155" s="329">
        <v>85</v>
      </c>
      <c r="T155" s="14">
        <v>91</v>
      </c>
      <c r="U155" s="14">
        <v>97</v>
      </c>
      <c r="V155" s="14">
        <v>95</v>
      </c>
      <c r="W155" s="14">
        <v>102</v>
      </c>
      <c r="X155" s="424">
        <v>99</v>
      </c>
      <c r="Y155" s="11"/>
    </row>
    <row r="156" spans="1:82" ht="13" customHeight="1">
      <c r="C156" s="36" t="str">
        <f t="array" ref="C156">VLOOKUP(123,Textbausteine_203[],Hilfsgrössen!$D$2,FALSE)</f>
        <v>Gran Bretagna</v>
      </c>
      <c r="D156" s="1" t="str">
        <f>VLOOKUP(17,Textbausteine_203[],Hilfsgrössen!$D$2,FALSE)</f>
        <v>Indice</v>
      </c>
      <c r="E156" s="37" t="s">
        <v>83</v>
      </c>
      <c r="H156" s="99" t="s">
        <v>30</v>
      </c>
      <c r="I156" s="99" t="s">
        <v>30</v>
      </c>
      <c r="J156" s="99" t="s">
        <v>30</v>
      </c>
      <c r="K156" s="99" t="s">
        <v>30</v>
      </c>
      <c r="L156" s="329">
        <v>67</v>
      </c>
      <c r="M156" s="329">
        <v>56</v>
      </c>
      <c r="N156" s="329">
        <v>67</v>
      </c>
      <c r="O156" s="329">
        <v>67</v>
      </c>
      <c r="P156" s="329">
        <v>92</v>
      </c>
      <c r="Q156" s="329">
        <v>88</v>
      </c>
      <c r="R156" s="329">
        <v>97</v>
      </c>
      <c r="S156" s="329">
        <v>98</v>
      </c>
      <c r="T156" s="14">
        <v>79</v>
      </c>
      <c r="U156" s="14">
        <v>88</v>
      </c>
      <c r="V156" s="14">
        <v>89</v>
      </c>
      <c r="W156" s="14">
        <v>92</v>
      </c>
      <c r="X156" s="424">
        <v>92</v>
      </c>
      <c r="Y156" s="11"/>
    </row>
    <row r="157" spans="1:82" ht="13" customHeight="1">
      <c r="C157" s="36" t="str">
        <f>VLOOKUP(120,Textbausteine_203[],Hilfsgrössen!$D$2,FALSE)</f>
        <v>Spagna</v>
      </c>
      <c r="D157" s="1" t="str">
        <f>VLOOKUP(17,Textbausteine_203[],Hilfsgrössen!$D$2,FALSE)</f>
        <v>Indice</v>
      </c>
      <c r="E157" s="37" t="s">
        <v>83</v>
      </c>
      <c r="H157" s="99" t="s">
        <v>30</v>
      </c>
      <c r="I157" s="99" t="s">
        <v>30</v>
      </c>
      <c r="J157" s="99" t="s">
        <v>30</v>
      </c>
      <c r="K157" s="99" t="s">
        <v>30</v>
      </c>
      <c r="L157" s="329">
        <v>82</v>
      </c>
      <c r="M157" s="329">
        <v>83</v>
      </c>
      <c r="N157" s="329">
        <v>79</v>
      </c>
      <c r="O157" s="329">
        <v>68</v>
      </c>
      <c r="P157" s="329">
        <v>69</v>
      </c>
      <c r="Q157" s="329">
        <v>72</v>
      </c>
      <c r="R157" s="329">
        <v>72</v>
      </c>
      <c r="S157" s="329">
        <v>66</v>
      </c>
      <c r="T157" s="14">
        <v>68</v>
      </c>
      <c r="U157" s="14">
        <v>78</v>
      </c>
      <c r="V157" s="14">
        <v>82</v>
      </c>
      <c r="W157" s="14">
        <v>84</v>
      </c>
      <c r="X157" s="424">
        <v>87</v>
      </c>
      <c r="Y157" s="11"/>
    </row>
    <row r="158" spans="1:82" ht="13" customHeight="1">
      <c r="C158" s="36" t="str">
        <f>VLOOKUP(128,Textbausteine_203[],Hilfsgrössen!$D$2,FALSE)</f>
        <v>Portogallo</v>
      </c>
      <c r="D158" s="1" t="str">
        <f>VLOOKUP(17,Textbausteine_203[],Hilfsgrössen!$D$2,FALSE)</f>
        <v>Indice</v>
      </c>
      <c r="E158" s="37" t="s">
        <v>83</v>
      </c>
      <c r="H158" s="99" t="s">
        <v>30</v>
      </c>
      <c r="I158" s="99" t="s">
        <v>30</v>
      </c>
      <c r="J158" s="99" t="s">
        <v>30</v>
      </c>
      <c r="K158" s="99" t="s">
        <v>30</v>
      </c>
      <c r="L158" s="329">
        <v>83</v>
      </c>
      <c r="M158" s="329">
        <v>82</v>
      </c>
      <c r="N158" s="329">
        <v>80</v>
      </c>
      <c r="O158" s="329">
        <v>71</v>
      </c>
      <c r="P158" s="329">
        <v>70</v>
      </c>
      <c r="Q158" s="329">
        <v>79</v>
      </c>
      <c r="R158" s="329">
        <v>80</v>
      </c>
      <c r="S158" s="329">
        <v>75</v>
      </c>
      <c r="T158" s="14">
        <v>78</v>
      </c>
      <c r="U158" s="14">
        <v>87</v>
      </c>
      <c r="V158" s="14">
        <v>91</v>
      </c>
      <c r="W158" s="14">
        <v>86</v>
      </c>
      <c r="X158" s="424">
        <v>80</v>
      </c>
      <c r="Y158" s="11"/>
    </row>
    <row r="159" spans="1:82" ht="13" customHeight="1">
      <c r="X159" s="256"/>
      <c r="Y159" s="11"/>
    </row>
    <row r="160" spans="1:82" s="31" customFormat="1" ht="13" customHeight="1">
      <c r="A160" s="89"/>
      <c r="C160" s="31" t="str">
        <f>VLOOKUP(112,Textbausteine_203[],Hilfsgrössen!$D$2,FALSE)</f>
        <v>Indice della posta-lettere rettificato in base al potere d'acquisto</v>
      </c>
      <c r="E160" s="39"/>
      <c r="F160" s="39"/>
      <c r="G160" s="46"/>
      <c r="H160" s="95"/>
      <c r="I160" s="95"/>
      <c r="J160" s="95"/>
      <c r="K160" s="95"/>
      <c r="L160" s="95"/>
      <c r="M160" s="95"/>
      <c r="N160" s="95"/>
      <c r="O160" s="95"/>
      <c r="P160" s="95"/>
      <c r="Q160" s="95"/>
      <c r="R160" s="95"/>
      <c r="S160" s="95"/>
      <c r="T160" s="116"/>
      <c r="U160" s="116"/>
      <c r="V160" s="116"/>
      <c r="W160" s="116"/>
      <c r="X160" s="255"/>
      <c r="Y160" s="40"/>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row>
    <row r="161" spans="3:24" ht="13" customHeight="1">
      <c r="C161" s="36" t="str">
        <f>VLOOKUP(119,Textbausteine_203[],Hilfsgrössen!$D$2,FALSE)</f>
        <v>Danimarca</v>
      </c>
      <c r="D161" s="1" t="str">
        <f>VLOOKUP(17,Textbausteine_203[],Hilfsgrössen!$D$2,FALSE)</f>
        <v>Indice</v>
      </c>
      <c r="E161" s="37">
        <v>1</v>
      </c>
      <c r="H161" s="99" t="s">
        <v>30</v>
      </c>
      <c r="I161" s="99" t="s">
        <v>30</v>
      </c>
      <c r="J161" s="99" t="s">
        <v>30</v>
      </c>
      <c r="K161" s="99" t="s">
        <v>30</v>
      </c>
      <c r="L161" s="99" t="s">
        <v>30</v>
      </c>
      <c r="M161" s="99" t="s">
        <v>30</v>
      </c>
      <c r="N161" s="99" t="s">
        <v>30</v>
      </c>
      <c r="O161" s="99">
        <v>172</v>
      </c>
      <c r="P161" s="99">
        <v>169</v>
      </c>
      <c r="Q161" s="99">
        <v>163</v>
      </c>
      <c r="R161" s="99">
        <v>182</v>
      </c>
      <c r="S161" s="99">
        <v>193</v>
      </c>
      <c r="T161" s="20">
        <v>354</v>
      </c>
      <c r="U161" s="20">
        <v>352</v>
      </c>
      <c r="V161" s="20">
        <v>358</v>
      </c>
      <c r="W161" s="20">
        <v>393</v>
      </c>
      <c r="X161" s="256">
        <v>402</v>
      </c>
    </row>
    <row r="162" spans="3:24" ht="13" customHeight="1">
      <c r="C162" s="36" t="str">
        <f>VLOOKUP(125,Textbausteine_203[],Hilfsgrössen!$D$2,FALSE)</f>
        <v>Italia</v>
      </c>
      <c r="D162" s="1" t="str">
        <f>VLOOKUP(17,Textbausteine_203[],Hilfsgrössen!$D$2,FALSE)</f>
        <v>Indice</v>
      </c>
      <c r="E162" s="37">
        <v>1</v>
      </c>
      <c r="H162" s="99" t="s">
        <v>30</v>
      </c>
      <c r="I162" s="99" t="s">
        <v>30</v>
      </c>
      <c r="J162" s="99" t="s">
        <v>30</v>
      </c>
      <c r="K162" s="99" t="s">
        <v>30</v>
      </c>
      <c r="L162" s="99" t="s">
        <v>30</v>
      </c>
      <c r="M162" s="99" t="s">
        <v>30</v>
      </c>
      <c r="N162" s="99" t="s">
        <v>30</v>
      </c>
      <c r="O162" s="99">
        <v>201</v>
      </c>
      <c r="P162" s="99">
        <v>199</v>
      </c>
      <c r="Q162" s="99">
        <v>245</v>
      </c>
      <c r="R162" s="99">
        <v>245</v>
      </c>
      <c r="S162" s="99">
        <v>302</v>
      </c>
      <c r="T162" s="20">
        <v>285</v>
      </c>
      <c r="U162" s="20">
        <v>285</v>
      </c>
      <c r="V162" s="20">
        <v>299</v>
      </c>
      <c r="W162" s="20">
        <v>295</v>
      </c>
      <c r="X162" s="256">
        <v>302</v>
      </c>
    </row>
    <row r="163" spans="3:24" ht="13" customHeight="1">
      <c r="C163" s="36" t="str">
        <f>VLOOKUP(121,Textbausteine_203[],Hilfsgrössen!$D$2,FALSE)</f>
        <v>Finlandia</v>
      </c>
      <c r="D163" s="1" t="str">
        <f>VLOOKUP(17,Textbausteine_203[],Hilfsgrössen!$D$2,FALSE)</f>
        <v>Indice</v>
      </c>
      <c r="E163" s="37" t="s">
        <v>83</v>
      </c>
      <c r="H163" s="99" t="s">
        <v>30</v>
      </c>
      <c r="I163" s="99" t="s">
        <v>30</v>
      </c>
      <c r="J163" s="99" t="s">
        <v>30</v>
      </c>
      <c r="K163" s="99" t="s">
        <v>30</v>
      </c>
      <c r="L163" s="99" t="s">
        <v>30</v>
      </c>
      <c r="M163" s="99" t="s">
        <v>30</v>
      </c>
      <c r="N163" s="99" t="s">
        <v>30</v>
      </c>
      <c r="O163" s="99">
        <v>121</v>
      </c>
      <c r="P163" s="99">
        <v>133</v>
      </c>
      <c r="Q163" s="99">
        <v>137</v>
      </c>
      <c r="R163" s="99">
        <v>162</v>
      </c>
      <c r="S163" s="99">
        <v>174</v>
      </c>
      <c r="T163" s="20">
        <v>180</v>
      </c>
      <c r="U163" s="20">
        <v>213</v>
      </c>
      <c r="V163" s="20">
        <v>227</v>
      </c>
      <c r="W163" s="20">
        <v>248</v>
      </c>
      <c r="X163" s="256">
        <v>272</v>
      </c>
    </row>
    <row r="164" spans="3:24" ht="13" customHeight="1">
      <c r="C164" s="36" t="str">
        <f>VLOOKUP(122,Textbausteine_203[],Hilfsgrössen!$D$2,FALSE)</f>
        <v>Francia</v>
      </c>
      <c r="D164" s="1" t="str">
        <f>VLOOKUP(17,Textbausteine_203[],Hilfsgrössen!$D$2,FALSE)</f>
        <v>Indice</v>
      </c>
      <c r="E164" s="37">
        <v>1</v>
      </c>
      <c r="H164" s="99" t="s">
        <v>30</v>
      </c>
      <c r="I164" s="99" t="s">
        <v>30</v>
      </c>
      <c r="J164" s="99" t="s">
        <v>30</v>
      </c>
      <c r="K164" s="99" t="s">
        <v>30</v>
      </c>
      <c r="L164" s="99" t="s">
        <v>30</v>
      </c>
      <c r="M164" s="99" t="s">
        <v>30</v>
      </c>
      <c r="N164" s="99" t="s">
        <v>30</v>
      </c>
      <c r="O164" s="99">
        <v>158</v>
      </c>
      <c r="P164" s="99">
        <v>154</v>
      </c>
      <c r="Q164" s="99">
        <v>156</v>
      </c>
      <c r="R164" s="99">
        <v>165</v>
      </c>
      <c r="S164" s="99">
        <v>180</v>
      </c>
      <c r="T164" s="20">
        <v>183</v>
      </c>
      <c r="U164" s="20">
        <v>191</v>
      </c>
      <c r="V164" s="20">
        <v>211</v>
      </c>
      <c r="W164" s="20">
        <v>223</v>
      </c>
      <c r="X164" s="256">
        <v>263</v>
      </c>
    </row>
    <row r="165" spans="3:24" ht="13" customHeight="1">
      <c r="C165" s="36" t="str">
        <f>VLOOKUP(127,Textbausteine_203[],Hilfsgrössen!$D$2,FALSE)</f>
        <v>Norvegia</v>
      </c>
      <c r="D165" s="1" t="str">
        <f>VLOOKUP(17,Textbausteine_203[],Hilfsgrössen!$D$2,FALSE)</f>
        <v>Indice</v>
      </c>
      <c r="E165" s="37">
        <v>1</v>
      </c>
      <c r="H165" s="99" t="s">
        <v>30</v>
      </c>
      <c r="I165" s="99" t="s">
        <v>30</v>
      </c>
      <c r="J165" s="99" t="s">
        <v>30</v>
      </c>
      <c r="K165" s="99" t="s">
        <v>30</v>
      </c>
      <c r="L165" s="99" t="s">
        <v>30</v>
      </c>
      <c r="M165" s="99" t="s">
        <v>30</v>
      </c>
      <c r="N165" s="99" t="s">
        <v>30</v>
      </c>
      <c r="O165" s="99">
        <v>202</v>
      </c>
      <c r="P165" s="99">
        <v>215</v>
      </c>
      <c r="Q165" s="99">
        <v>215</v>
      </c>
      <c r="R165" s="99">
        <v>215</v>
      </c>
      <c r="S165" s="99">
        <v>206</v>
      </c>
      <c r="T165" s="20">
        <v>196</v>
      </c>
      <c r="U165" s="20">
        <v>212</v>
      </c>
      <c r="V165" s="20">
        <v>221</v>
      </c>
      <c r="W165" s="20">
        <v>242</v>
      </c>
      <c r="X165" s="256">
        <v>251</v>
      </c>
    </row>
    <row r="166" spans="3:24" ht="13" customHeight="1">
      <c r="C166" s="36" t="str">
        <f>VLOOKUP(126,Textbausteine_203[],Hilfsgrössen!$D$2,FALSE)</f>
        <v>Paesi Bassi</v>
      </c>
      <c r="D166" s="1" t="str">
        <f>VLOOKUP(17,Textbausteine_203[],Hilfsgrössen!$D$2,FALSE)</f>
        <v>Indice</v>
      </c>
      <c r="E166" s="37">
        <v>1</v>
      </c>
      <c r="H166" s="99" t="s">
        <v>30</v>
      </c>
      <c r="I166" s="99" t="s">
        <v>30</v>
      </c>
      <c r="J166" s="99" t="s">
        <v>30</v>
      </c>
      <c r="K166" s="99" t="s">
        <v>30</v>
      </c>
      <c r="L166" s="99" t="s">
        <v>30</v>
      </c>
      <c r="M166" s="99" t="s">
        <v>30</v>
      </c>
      <c r="N166" s="99" t="s">
        <v>30</v>
      </c>
      <c r="O166" s="99">
        <v>141</v>
      </c>
      <c r="P166" s="99">
        <v>148</v>
      </c>
      <c r="Q166" s="99">
        <v>172</v>
      </c>
      <c r="R166" s="99">
        <v>184</v>
      </c>
      <c r="S166" s="99">
        <v>183</v>
      </c>
      <c r="T166" s="20">
        <v>180</v>
      </c>
      <c r="U166" s="20">
        <v>189</v>
      </c>
      <c r="V166" s="20">
        <v>197</v>
      </c>
      <c r="W166" s="20">
        <v>202</v>
      </c>
      <c r="X166" s="256">
        <v>210</v>
      </c>
    </row>
    <row r="167" spans="3:24" ht="13" customHeight="1">
      <c r="C167" s="36" t="str">
        <f>VLOOKUP(116,Textbausteine_203[],Hilfsgrössen!$D$2,FALSE)</f>
        <v>Belgio</v>
      </c>
      <c r="D167" s="1" t="str">
        <f>VLOOKUP(17,Textbausteine_203[],Hilfsgrössen!$D$2,FALSE)</f>
        <v>Indice</v>
      </c>
      <c r="E167" s="37">
        <v>1</v>
      </c>
      <c r="H167" s="99" t="s">
        <v>30</v>
      </c>
      <c r="I167" s="99" t="s">
        <v>30</v>
      </c>
      <c r="J167" s="99" t="s">
        <v>30</v>
      </c>
      <c r="K167" s="99" t="s">
        <v>30</v>
      </c>
      <c r="L167" s="99" t="s">
        <v>30</v>
      </c>
      <c r="M167" s="99" t="s">
        <v>30</v>
      </c>
      <c r="N167" s="99" t="s">
        <v>30</v>
      </c>
      <c r="O167" s="99">
        <v>155</v>
      </c>
      <c r="P167" s="99">
        <v>159</v>
      </c>
      <c r="Q167" s="99">
        <v>159</v>
      </c>
      <c r="R167" s="99">
        <v>160</v>
      </c>
      <c r="S167" s="99">
        <v>155</v>
      </c>
      <c r="T167" s="20">
        <v>150</v>
      </c>
      <c r="U167" s="20">
        <v>148</v>
      </c>
      <c r="V167" s="20">
        <v>162</v>
      </c>
      <c r="W167" s="20">
        <v>181</v>
      </c>
      <c r="X167" s="256">
        <v>209</v>
      </c>
    </row>
    <row r="168" spans="3:24" ht="13" customHeight="1">
      <c r="C168" s="36" t="str">
        <f>VLOOKUP(129,Textbausteine_203[],Hilfsgrössen!$D$2,FALSE)</f>
        <v>Svezia</v>
      </c>
      <c r="D168" s="1" t="str">
        <f>VLOOKUP(17,Textbausteine_203[],Hilfsgrössen!$D$2,FALSE)</f>
        <v>Indice</v>
      </c>
      <c r="E168" s="37" t="s">
        <v>83</v>
      </c>
      <c r="H168" s="99" t="s">
        <v>30</v>
      </c>
      <c r="I168" s="99" t="s">
        <v>30</v>
      </c>
      <c r="J168" s="99" t="s">
        <v>30</v>
      </c>
      <c r="K168" s="99" t="s">
        <v>30</v>
      </c>
      <c r="L168" s="99" t="s">
        <v>30</v>
      </c>
      <c r="M168" s="99" t="s">
        <v>30</v>
      </c>
      <c r="N168" s="99" t="s">
        <v>30</v>
      </c>
      <c r="O168" s="99">
        <v>159</v>
      </c>
      <c r="P168" s="99">
        <v>154</v>
      </c>
      <c r="Q168" s="99">
        <v>152</v>
      </c>
      <c r="R168" s="99">
        <v>146</v>
      </c>
      <c r="S168" s="99">
        <v>136</v>
      </c>
      <c r="T168" s="20">
        <v>115</v>
      </c>
      <c r="U168" s="20">
        <v>116</v>
      </c>
      <c r="V168" s="20">
        <v>156</v>
      </c>
      <c r="W168" s="20">
        <v>154</v>
      </c>
      <c r="X168" s="256">
        <v>184</v>
      </c>
    </row>
    <row r="169" spans="3:24" ht="13" customHeight="1">
      <c r="C169" s="36" t="str">
        <f>VLOOKUP(115,Textbausteine_203[],Hilfsgrössen!$D$2,FALSE)</f>
        <v>Austria</v>
      </c>
      <c r="D169" s="1" t="str">
        <f>VLOOKUP(17,Textbausteine_203[],Hilfsgrössen!$D$2,FALSE)</f>
        <v>Indice</v>
      </c>
      <c r="E169" s="37">
        <v>1</v>
      </c>
      <c r="H169" s="99" t="s">
        <v>30</v>
      </c>
      <c r="I169" s="99" t="s">
        <v>30</v>
      </c>
      <c r="J169" s="99" t="s">
        <v>30</v>
      </c>
      <c r="K169" s="99" t="s">
        <v>30</v>
      </c>
      <c r="L169" s="99" t="s">
        <v>30</v>
      </c>
      <c r="M169" s="99" t="s">
        <v>30</v>
      </c>
      <c r="N169" s="99" t="s">
        <v>30</v>
      </c>
      <c r="O169" s="99">
        <v>148</v>
      </c>
      <c r="P169" s="99">
        <v>144</v>
      </c>
      <c r="Q169" s="99">
        <v>141</v>
      </c>
      <c r="R169" s="99">
        <v>139</v>
      </c>
      <c r="S169" s="99">
        <v>145</v>
      </c>
      <c r="T169" s="20">
        <v>138</v>
      </c>
      <c r="U169" s="20">
        <v>163</v>
      </c>
      <c r="V169" s="20">
        <v>173</v>
      </c>
      <c r="W169" s="20">
        <v>169</v>
      </c>
      <c r="X169" s="256">
        <v>178</v>
      </c>
    </row>
    <row r="170" spans="3:24" ht="13" customHeight="1">
      <c r="C170" s="36" t="str">
        <f>VLOOKUP(124,Textbausteine_203[],Hilfsgrössen!$D$2,FALSE)</f>
        <v>Irlanda</v>
      </c>
      <c r="D170" s="1" t="str">
        <f>VLOOKUP(17,Textbausteine_203[],Hilfsgrössen!$D$2,FALSE)</f>
        <v>Indice</v>
      </c>
      <c r="E170" s="37">
        <v>1</v>
      </c>
      <c r="H170" s="99" t="s">
        <v>30</v>
      </c>
      <c r="I170" s="99" t="s">
        <v>30</v>
      </c>
      <c r="J170" s="99" t="s">
        <v>30</v>
      </c>
      <c r="K170" s="99" t="s">
        <v>30</v>
      </c>
      <c r="L170" s="99" t="s">
        <v>30</v>
      </c>
      <c r="M170" s="99" t="s">
        <v>30</v>
      </c>
      <c r="N170" s="99" t="s">
        <v>30</v>
      </c>
      <c r="O170" s="99">
        <v>111</v>
      </c>
      <c r="P170" s="99">
        <v>112</v>
      </c>
      <c r="Q170" s="99">
        <v>118</v>
      </c>
      <c r="R170" s="99">
        <v>131</v>
      </c>
      <c r="S170" s="99">
        <v>130</v>
      </c>
      <c r="T170" s="20">
        <v>124</v>
      </c>
      <c r="U170" s="20">
        <v>168</v>
      </c>
      <c r="V170" s="20">
        <v>169</v>
      </c>
      <c r="W170" s="20">
        <v>169</v>
      </c>
      <c r="X170" s="256">
        <v>164</v>
      </c>
    </row>
    <row r="171" spans="3:24" ht="13" customHeight="1">
      <c r="C171" s="36" t="str">
        <f>VLOOKUP(128,Textbausteine_203[],Hilfsgrössen!$D$2,FALSE)</f>
        <v>Portogallo</v>
      </c>
      <c r="D171" s="1" t="str">
        <f>VLOOKUP(17,Textbausteine_203[],Hilfsgrössen!$D$2,FALSE)</f>
        <v>Indice</v>
      </c>
      <c r="E171" s="37">
        <v>1</v>
      </c>
      <c r="H171" s="99" t="s">
        <v>30</v>
      </c>
      <c r="I171" s="99" t="s">
        <v>30</v>
      </c>
      <c r="J171" s="99" t="s">
        <v>30</v>
      </c>
      <c r="K171" s="99" t="s">
        <v>30</v>
      </c>
      <c r="L171" s="99" t="s">
        <v>30</v>
      </c>
      <c r="M171" s="99" t="s">
        <v>30</v>
      </c>
      <c r="N171" s="99" t="s">
        <v>30</v>
      </c>
      <c r="O171" s="99">
        <v>138</v>
      </c>
      <c r="P171" s="99">
        <v>134</v>
      </c>
      <c r="Q171" s="99">
        <v>145</v>
      </c>
      <c r="R171" s="99">
        <v>151</v>
      </c>
      <c r="S171" s="99">
        <v>160</v>
      </c>
      <c r="T171" s="20">
        <v>154</v>
      </c>
      <c r="U171" s="20">
        <v>158</v>
      </c>
      <c r="V171" s="20">
        <v>164</v>
      </c>
      <c r="W171" s="20">
        <v>156</v>
      </c>
      <c r="X171" s="256">
        <v>152</v>
      </c>
    </row>
    <row r="172" spans="3:24" ht="13" customHeight="1">
      <c r="C172" s="36" t="str">
        <f>VLOOKUP(120,Textbausteine_203[],Hilfsgrössen!$D$2,FALSE)</f>
        <v>Spagna</v>
      </c>
      <c r="D172" s="1" t="str">
        <f>VLOOKUP(17,Textbausteine_203[],Hilfsgrössen!$D$2,FALSE)</f>
        <v>Indice</v>
      </c>
      <c r="E172" s="37">
        <v>1</v>
      </c>
      <c r="H172" s="99" t="s">
        <v>30</v>
      </c>
      <c r="I172" s="99" t="s">
        <v>30</v>
      </c>
      <c r="J172" s="99" t="s">
        <v>30</v>
      </c>
      <c r="K172" s="99" t="s">
        <v>30</v>
      </c>
      <c r="L172" s="99" t="s">
        <v>30</v>
      </c>
      <c r="M172" s="99" t="s">
        <v>30</v>
      </c>
      <c r="N172" s="99" t="s">
        <v>30</v>
      </c>
      <c r="O172" s="99">
        <v>117</v>
      </c>
      <c r="P172" s="99">
        <v>117</v>
      </c>
      <c r="Q172" s="99">
        <v>117</v>
      </c>
      <c r="R172" s="99">
        <v>122</v>
      </c>
      <c r="S172" s="99">
        <v>122</v>
      </c>
      <c r="T172" s="20">
        <v>119</v>
      </c>
      <c r="U172" s="20">
        <v>125</v>
      </c>
      <c r="V172" s="20">
        <v>134</v>
      </c>
      <c r="W172" s="20">
        <v>141</v>
      </c>
      <c r="X172" s="256">
        <v>150</v>
      </c>
    </row>
    <row r="173" spans="3:24" ht="13" customHeight="1">
      <c r="C173" s="36" t="str">
        <f>VLOOKUP(118,Textbausteine_203[],Hilfsgrössen!$D$2,FALSE)</f>
        <v>Germania</v>
      </c>
      <c r="D173" s="1" t="str">
        <f>VLOOKUP(17,Textbausteine_203[],Hilfsgrössen!$D$2,FALSE)</f>
        <v>Indice</v>
      </c>
      <c r="E173" s="37">
        <v>1</v>
      </c>
      <c r="H173" s="99" t="s">
        <v>30</v>
      </c>
      <c r="I173" s="99" t="s">
        <v>30</v>
      </c>
      <c r="J173" s="99" t="s">
        <v>30</v>
      </c>
      <c r="K173" s="99" t="s">
        <v>30</v>
      </c>
      <c r="L173" s="99" t="s">
        <v>30</v>
      </c>
      <c r="M173" s="99" t="s">
        <v>30</v>
      </c>
      <c r="N173" s="99" t="s">
        <v>30</v>
      </c>
      <c r="O173" s="99">
        <v>150</v>
      </c>
      <c r="P173" s="99">
        <v>145</v>
      </c>
      <c r="Q173" s="99">
        <v>144</v>
      </c>
      <c r="R173" s="99">
        <v>146</v>
      </c>
      <c r="S173" s="99">
        <v>137</v>
      </c>
      <c r="T173" s="20">
        <v>136</v>
      </c>
      <c r="U173" s="20">
        <v>132</v>
      </c>
      <c r="V173" s="20">
        <v>130</v>
      </c>
      <c r="W173" s="20">
        <v>145</v>
      </c>
      <c r="X173" s="256">
        <v>145</v>
      </c>
    </row>
    <row r="174" spans="3:24" ht="13" customHeight="1">
      <c r="C174" s="36" t="str">
        <f>VLOOKUP(123,Textbausteine_203[],Hilfsgrössen!$D$2,FALSE)</f>
        <v>Gran Bretagna</v>
      </c>
      <c r="D174" s="1" t="str">
        <f>VLOOKUP(17,Textbausteine_203[],Hilfsgrössen!$D$2,FALSE)</f>
        <v>Indice</v>
      </c>
      <c r="E174" s="37">
        <v>1</v>
      </c>
      <c r="H174" s="99" t="s">
        <v>30</v>
      </c>
      <c r="I174" s="99" t="s">
        <v>30</v>
      </c>
      <c r="J174" s="99" t="s">
        <v>30</v>
      </c>
      <c r="K174" s="99" t="s">
        <v>30</v>
      </c>
      <c r="L174" s="99" t="s">
        <v>30</v>
      </c>
      <c r="M174" s="99" t="s">
        <v>30</v>
      </c>
      <c r="N174" s="99" t="s">
        <v>30</v>
      </c>
      <c r="O174" s="99">
        <v>107</v>
      </c>
      <c r="P174" s="99">
        <v>132</v>
      </c>
      <c r="Q174" s="99">
        <v>127</v>
      </c>
      <c r="R174" s="99">
        <v>126</v>
      </c>
      <c r="S174" s="99">
        <v>124</v>
      </c>
      <c r="T174" s="20">
        <v>121</v>
      </c>
      <c r="U174" s="20">
        <v>118</v>
      </c>
      <c r="V174" s="20">
        <v>118</v>
      </c>
      <c r="W174" s="20">
        <v>123</v>
      </c>
      <c r="X174" s="256">
        <v>131</v>
      </c>
    </row>
    <row r="175" spans="3:24" ht="13" customHeight="1">
      <c r="C175" s="314" t="str">
        <f>VLOOKUP(117,Textbausteine_203[],Hilfsgrössen!$D$2,FALSE)</f>
        <v>Svizzera</v>
      </c>
      <c r="D175" s="31" t="str">
        <f>VLOOKUP(17,Textbausteine_203[],Hilfsgrössen!$D$2,FALSE)</f>
        <v>Indice</v>
      </c>
      <c r="E175" s="39">
        <v>1</v>
      </c>
      <c r="F175" s="39"/>
      <c r="G175" s="46"/>
      <c r="H175" s="95" t="s">
        <v>30</v>
      </c>
      <c r="I175" s="95" t="s">
        <v>30</v>
      </c>
      <c r="J175" s="95" t="s">
        <v>30</v>
      </c>
      <c r="K175" s="95" t="s">
        <v>30</v>
      </c>
      <c r="L175" s="95" t="s">
        <v>30</v>
      </c>
      <c r="M175" s="95" t="s">
        <v>30</v>
      </c>
      <c r="N175" s="95" t="s">
        <v>30</v>
      </c>
      <c r="O175" s="95">
        <v>100</v>
      </c>
      <c r="P175" s="95">
        <v>100</v>
      </c>
      <c r="Q175" s="95">
        <v>100</v>
      </c>
      <c r="R175" s="95">
        <v>100</v>
      </c>
      <c r="S175" s="95">
        <v>100</v>
      </c>
      <c r="T175" s="116">
        <v>100</v>
      </c>
      <c r="U175" s="116">
        <v>100</v>
      </c>
      <c r="V175" s="116">
        <v>100</v>
      </c>
      <c r="W175" s="116">
        <v>100</v>
      </c>
      <c r="X175" s="255">
        <v>100</v>
      </c>
    </row>
    <row r="176" spans="3:24" ht="13" customHeight="1">
      <c r="X176" s="256"/>
    </row>
    <row r="177" spans="1:82" s="31" customFormat="1" ht="13" customHeight="1">
      <c r="A177" s="89"/>
      <c r="C177" s="31" t="str">
        <f>VLOOKUP(113,Textbausteine_203[],Hilfsgrössen!$D$2,FALSE)</f>
        <v>Indice della posta-pacchi rettificato in base al corso del cambio</v>
      </c>
      <c r="E177" s="39"/>
      <c r="F177" s="39"/>
      <c r="G177" s="46"/>
      <c r="H177" s="95"/>
      <c r="I177" s="95"/>
      <c r="J177" s="95"/>
      <c r="K177" s="95"/>
      <c r="L177" s="95"/>
      <c r="M177" s="95"/>
      <c r="N177" s="95"/>
      <c r="O177" s="95"/>
      <c r="P177" s="95"/>
      <c r="Q177" s="95"/>
      <c r="R177" s="95"/>
      <c r="S177" s="95"/>
      <c r="T177" s="116"/>
      <c r="U177" s="116"/>
      <c r="V177" s="116"/>
      <c r="W177" s="116"/>
      <c r="X177" s="255"/>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row>
    <row r="178" spans="1:82" ht="13" customHeight="1">
      <c r="C178" s="36" t="str">
        <f>VLOOKUP(121,Textbausteine_203[],Hilfsgrössen!$D$2,FALSE)</f>
        <v>Finlandia</v>
      </c>
      <c r="D178" s="1" t="str">
        <f>VLOOKUP(17,Textbausteine_203[],Hilfsgrössen!$D$2,FALSE)</f>
        <v>Indice</v>
      </c>
      <c r="E178" s="37" t="s">
        <v>120</v>
      </c>
      <c r="H178" s="99" t="s">
        <v>30</v>
      </c>
      <c r="I178" s="99" t="s">
        <v>30</v>
      </c>
      <c r="J178" s="99" t="s">
        <v>30</v>
      </c>
      <c r="K178" s="99" t="s">
        <v>30</v>
      </c>
      <c r="L178" s="329">
        <v>308</v>
      </c>
      <c r="M178" s="329">
        <v>284</v>
      </c>
      <c r="N178" s="329">
        <v>245</v>
      </c>
      <c r="O178" s="329">
        <v>219</v>
      </c>
      <c r="P178" s="329">
        <v>217</v>
      </c>
      <c r="Q178" s="329">
        <v>243</v>
      </c>
      <c r="R178" s="329">
        <v>245</v>
      </c>
      <c r="S178" s="329">
        <v>265</v>
      </c>
      <c r="T178" s="14">
        <v>272</v>
      </c>
      <c r="U178" s="14">
        <v>295</v>
      </c>
      <c r="V178" s="14">
        <v>298</v>
      </c>
      <c r="W178" s="14">
        <v>287</v>
      </c>
      <c r="X178" s="424">
        <v>279</v>
      </c>
    </row>
    <row r="179" spans="1:82" ht="13" customHeight="1">
      <c r="C179" s="36" t="str">
        <f>VLOOKUP(127,Textbausteine_203[],Hilfsgrössen!$D$2,FALSE)</f>
        <v>Norvegia</v>
      </c>
      <c r="D179" s="1" t="str">
        <f>VLOOKUP(17,Textbausteine_203[],Hilfsgrössen!$D$2,FALSE)</f>
        <v>Indice</v>
      </c>
      <c r="E179" s="37" t="s">
        <v>120</v>
      </c>
      <c r="H179" s="99" t="s">
        <v>30</v>
      </c>
      <c r="I179" s="99" t="s">
        <v>30</v>
      </c>
      <c r="J179" s="99" t="s">
        <v>30</v>
      </c>
      <c r="K179" s="99" t="s">
        <v>30</v>
      </c>
      <c r="L179" s="329">
        <v>370</v>
      </c>
      <c r="M179" s="329">
        <v>316</v>
      </c>
      <c r="N179" s="329">
        <v>323</v>
      </c>
      <c r="O179" s="329">
        <v>318</v>
      </c>
      <c r="P179" s="329">
        <v>353</v>
      </c>
      <c r="Q179" s="329">
        <v>271</v>
      </c>
      <c r="R179" s="329">
        <v>270</v>
      </c>
      <c r="S179" s="329">
        <v>227</v>
      </c>
      <c r="T179" s="14">
        <v>241</v>
      </c>
      <c r="U179" s="14">
        <v>260</v>
      </c>
      <c r="V179" s="14">
        <v>257</v>
      </c>
      <c r="W179" s="14">
        <v>238</v>
      </c>
      <c r="X179" s="424">
        <v>219</v>
      </c>
    </row>
    <row r="180" spans="1:82" ht="13" customHeight="1">
      <c r="C180" s="36" t="str">
        <f>VLOOKUP(129,Textbausteine_203[],Hilfsgrössen!$D$2,FALSE)</f>
        <v>Svezia</v>
      </c>
      <c r="D180" s="1" t="str">
        <f>VLOOKUP(17,Textbausteine_203[],Hilfsgrössen!$D$2,FALSE)</f>
        <v>Indice</v>
      </c>
      <c r="E180" s="37" t="s">
        <v>120</v>
      </c>
      <c r="H180" s="99" t="s">
        <v>30</v>
      </c>
      <c r="I180" s="99" t="s">
        <v>30</v>
      </c>
      <c r="J180" s="99" t="s">
        <v>30</v>
      </c>
      <c r="K180" s="99" t="s">
        <v>30</v>
      </c>
      <c r="L180" s="329">
        <v>399</v>
      </c>
      <c r="M180" s="329">
        <v>339</v>
      </c>
      <c r="N180" s="329">
        <v>311</v>
      </c>
      <c r="O180" s="329">
        <v>285</v>
      </c>
      <c r="P180" s="329">
        <v>307</v>
      </c>
      <c r="Q180" s="329">
        <v>308</v>
      </c>
      <c r="R180" s="329">
        <v>288</v>
      </c>
      <c r="S180" s="329">
        <v>256</v>
      </c>
      <c r="T180" s="14">
        <v>226</v>
      </c>
      <c r="U180" s="14">
        <v>246</v>
      </c>
      <c r="V180" s="14">
        <v>197</v>
      </c>
      <c r="W180" s="14">
        <v>183</v>
      </c>
      <c r="X180" s="424">
        <v>185</v>
      </c>
    </row>
    <row r="181" spans="1:82" ht="13" customHeight="1">
      <c r="C181" s="36" t="str">
        <f>VLOOKUP(120,Textbausteine_203[],Hilfsgrössen!$D$2,FALSE)</f>
        <v>Spagna</v>
      </c>
      <c r="D181" s="1" t="str">
        <f>VLOOKUP(17,Textbausteine_203[],Hilfsgrössen!$D$2,FALSE)</f>
        <v>Indice</v>
      </c>
      <c r="E181" s="37" t="s">
        <v>120</v>
      </c>
      <c r="H181" s="99" t="s">
        <v>30</v>
      </c>
      <c r="I181" s="99" t="s">
        <v>30</v>
      </c>
      <c r="J181" s="99" t="s">
        <v>30</v>
      </c>
      <c r="K181" s="99" t="s">
        <v>30</v>
      </c>
      <c r="L181" s="329">
        <v>170</v>
      </c>
      <c r="M181" s="329">
        <v>163</v>
      </c>
      <c r="N181" s="329">
        <v>141</v>
      </c>
      <c r="O181" s="329">
        <v>125</v>
      </c>
      <c r="P181" s="329">
        <v>132</v>
      </c>
      <c r="Q181" s="329">
        <v>137</v>
      </c>
      <c r="R181" s="329">
        <v>143</v>
      </c>
      <c r="S181" s="329">
        <v>138</v>
      </c>
      <c r="T181" s="14">
        <v>138</v>
      </c>
      <c r="U181" s="14">
        <v>177</v>
      </c>
      <c r="V181" s="14">
        <v>184</v>
      </c>
      <c r="W181" s="14">
        <v>181</v>
      </c>
      <c r="X181" s="424">
        <v>177</v>
      </c>
    </row>
    <row r="182" spans="1:82" ht="13" customHeight="1">
      <c r="C182" s="36" t="str">
        <f>VLOOKUP(124,Textbausteine_203[],Hilfsgrössen!$D$2,FALSE)</f>
        <v>Irlanda</v>
      </c>
      <c r="D182" s="1" t="str">
        <f>VLOOKUP(17,Textbausteine_203[],Hilfsgrössen!$D$2,FALSE)</f>
        <v>Indice</v>
      </c>
      <c r="E182" s="37" t="s">
        <v>120</v>
      </c>
      <c r="H182" s="99" t="s">
        <v>30</v>
      </c>
      <c r="I182" s="99" t="s">
        <v>30</v>
      </c>
      <c r="J182" s="99" t="s">
        <v>30</v>
      </c>
      <c r="K182" s="99" t="s">
        <v>30</v>
      </c>
      <c r="L182" s="329">
        <v>211</v>
      </c>
      <c r="M182" s="329">
        <v>195</v>
      </c>
      <c r="N182" s="329">
        <v>154</v>
      </c>
      <c r="O182" s="329">
        <v>137</v>
      </c>
      <c r="P182" s="329">
        <v>140</v>
      </c>
      <c r="Q182" s="329">
        <v>144</v>
      </c>
      <c r="R182" s="329">
        <v>151</v>
      </c>
      <c r="S182" s="329">
        <v>137</v>
      </c>
      <c r="T182" s="14">
        <v>138</v>
      </c>
      <c r="U182" s="14">
        <v>162</v>
      </c>
      <c r="V182" s="14">
        <v>169</v>
      </c>
      <c r="W182" s="14">
        <v>159</v>
      </c>
      <c r="X182" s="424">
        <v>140</v>
      </c>
    </row>
    <row r="183" spans="1:82" ht="13" customHeight="1">
      <c r="C183" s="36" t="str">
        <f>VLOOKUP(125,Textbausteine_203[],Hilfsgrössen!$D$2,FALSE)</f>
        <v>Italia</v>
      </c>
      <c r="D183" s="1" t="str">
        <f>VLOOKUP(17,Textbausteine_203[],Hilfsgrössen!$D$2,FALSE)</f>
        <v>Indice</v>
      </c>
      <c r="E183" s="37" t="s">
        <v>120</v>
      </c>
      <c r="H183" s="99" t="s">
        <v>30</v>
      </c>
      <c r="I183" s="99" t="s">
        <v>30</v>
      </c>
      <c r="J183" s="99" t="s">
        <v>30</v>
      </c>
      <c r="K183" s="99" t="s">
        <v>30</v>
      </c>
      <c r="L183" s="329">
        <v>220</v>
      </c>
      <c r="M183" s="329">
        <v>204</v>
      </c>
      <c r="N183" s="329">
        <v>204</v>
      </c>
      <c r="O183" s="329">
        <v>181</v>
      </c>
      <c r="P183" s="329">
        <v>170</v>
      </c>
      <c r="Q183" s="329">
        <v>167</v>
      </c>
      <c r="R183" s="329">
        <v>164</v>
      </c>
      <c r="S183" s="329">
        <v>147</v>
      </c>
      <c r="T183" s="14">
        <v>151</v>
      </c>
      <c r="U183" s="14">
        <v>161</v>
      </c>
      <c r="V183" s="14">
        <v>156</v>
      </c>
      <c r="W183" s="14">
        <v>138</v>
      </c>
      <c r="X183" s="424">
        <v>135</v>
      </c>
    </row>
    <row r="184" spans="1:82" ht="13" customHeight="1">
      <c r="C184" s="36" t="str">
        <f>VLOOKUP(122,Textbausteine_203[],Hilfsgrössen!$D$2,FALSE)</f>
        <v>Francia</v>
      </c>
      <c r="D184" s="1" t="str">
        <f>VLOOKUP(17,Textbausteine_203[],Hilfsgrössen!$D$2,FALSE)</f>
        <v>Indice</v>
      </c>
      <c r="E184" s="37" t="s">
        <v>120</v>
      </c>
      <c r="H184" s="99" t="s">
        <v>30</v>
      </c>
      <c r="I184" s="99" t="s">
        <v>30</v>
      </c>
      <c r="J184" s="99" t="s">
        <v>30</v>
      </c>
      <c r="K184" s="99" t="s">
        <v>30</v>
      </c>
      <c r="L184" s="329">
        <v>176</v>
      </c>
      <c r="M184" s="329">
        <v>162</v>
      </c>
      <c r="N184" s="329">
        <v>137</v>
      </c>
      <c r="O184" s="329">
        <v>123</v>
      </c>
      <c r="P184" s="329">
        <v>126</v>
      </c>
      <c r="Q184" s="329">
        <v>134</v>
      </c>
      <c r="R184" s="329">
        <v>136</v>
      </c>
      <c r="S184" s="329">
        <v>126</v>
      </c>
      <c r="T184" s="14">
        <v>124</v>
      </c>
      <c r="U184" s="14">
        <v>135</v>
      </c>
      <c r="V184" s="14">
        <v>133</v>
      </c>
      <c r="W184" s="14">
        <v>130</v>
      </c>
      <c r="X184" s="424">
        <v>129</v>
      </c>
    </row>
    <row r="185" spans="1:82" ht="13" customHeight="1">
      <c r="C185" s="36" t="str">
        <f>VLOOKUP(128,Textbausteine_203[],Hilfsgrössen!$D$2,FALSE)</f>
        <v>Portogallo</v>
      </c>
      <c r="D185" s="1" t="str">
        <f>VLOOKUP(17,Textbausteine_203[],Hilfsgrössen!$D$2,FALSE)</f>
        <v>Indice</v>
      </c>
      <c r="E185" s="37" t="s">
        <v>120</v>
      </c>
      <c r="H185" s="99" t="s">
        <v>30</v>
      </c>
      <c r="I185" s="99" t="s">
        <v>30</v>
      </c>
      <c r="J185" s="99" t="s">
        <v>30</v>
      </c>
      <c r="K185" s="99" t="s">
        <v>30</v>
      </c>
      <c r="L185" s="329">
        <v>88</v>
      </c>
      <c r="M185" s="329">
        <v>123</v>
      </c>
      <c r="N185" s="329">
        <v>104</v>
      </c>
      <c r="O185" s="329">
        <v>95</v>
      </c>
      <c r="P185" s="329">
        <v>97</v>
      </c>
      <c r="Q185" s="329">
        <v>109</v>
      </c>
      <c r="R185" s="329">
        <v>116</v>
      </c>
      <c r="S185" s="329">
        <v>109</v>
      </c>
      <c r="T185" s="14">
        <v>113</v>
      </c>
      <c r="U185" s="14">
        <v>126</v>
      </c>
      <c r="V185" s="14">
        <v>128</v>
      </c>
      <c r="W185" s="14">
        <v>125</v>
      </c>
      <c r="X185" s="424">
        <v>128</v>
      </c>
    </row>
    <row r="186" spans="1:82" ht="13" customHeight="1">
      <c r="C186" s="36" t="str">
        <f>VLOOKUP(119,Textbausteine_203[],Hilfsgrössen!$D$2,FALSE)</f>
        <v>Danimarca</v>
      </c>
      <c r="D186" s="1" t="str">
        <f>VLOOKUP(17,Textbausteine_203[],Hilfsgrössen!$D$2,FALSE)</f>
        <v>Indice</v>
      </c>
      <c r="E186" s="37" t="s">
        <v>120</v>
      </c>
      <c r="H186" s="99" t="s">
        <v>30</v>
      </c>
      <c r="I186" s="99" t="s">
        <v>30</v>
      </c>
      <c r="J186" s="99" t="s">
        <v>30</v>
      </c>
      <c r="K186" s="99" t="s">
        <v>30</v>
      </c>
      <c r="L186" s="329">
        <v>211</v>
      </c>
      <c r="M186" s="329">
        <v>210</v>
      </c>
      <c r="N186" s="329">
        <v>181</v>
      </c>
      <c r="O186" s="329">
        <v>169</v>
      </c>
      <c r="P186" s="329">
        <v>171</v>
      </c>
      <c r="Q186" s="329">
        <v>212</v>
      </c>
      <c r="R186" s="329">
        <v>208</v>
      </c>
      <c r="S186" s="329">
        <v>190</v>
      </c>
      <c r="T186" s="14">
        <v>208</v>
      </c>
      <c r="U186" s="14">
        <v>199</v>
      </c>
      <c r="V186" s="14">
        <v>210</v>
      </c>
      <c r="W186" s="14">
        <v>123</v>
      </c>
      <c r="X186" s="424">
        <v>120</v>
      </c>
    </row>
    <row r="187" spans="1:82" ht="13" customHeight="1">
      <c r="C187" s="314" t="str">
        <f>VLOOKUP(117,Textbausteine_203[],Hilfsgrössen!$D$2,FALSE)</f>
        <v>Svizzera</v>
      </c>
      <c r="D187" s="31" t="str">
        <f>VLOOKUP(17,Textbausteine_203[],Hilfsgrössen!$D$2,FALSE)</f>
        <v>Indice</v>
      </c>
      <c r="E187" s="39" t="s">
        <v>120</v>
      </c>
      <c r="F187" s="39"/>
      <c r="G187" s="46"/>
      <c r="H187" s="95" t="s">
        <v>30</v>
      </c>
      <c r="I187" s="95" t="s">
        <v>30</v>
      </c>
      <c r="J187" s="95" t="s">
        <v>30</v>
      </c>
      <c r="K187" s="95" t="s">
        <v>30</v>
      </c>
      <c r="L187" s="425">
        <v>100</v>
      </c>
      <c r="M187" s="425">
        <v>100</v>
      </c>
      <c r="N187" s="425">
        <v>100</v>
      </c>
      <c r="O187" s="425">
        <v>100</v>
      </c>
      <c r="P187" s="425">
        <v>100</v>
      </c>
      <c r="Q187" s="425">
        <v>100</v>
      </c>
      <c r="R187" s="425">
        <v>100</v>
      </c>
      <c r="S187" s="425">
        <v>100</v>
      </c>
      <c r="T187" s="123">
        <v>100</v>
      </c>
      <c r="U187" s="123">
        <v>100</v>
      </c>
      <c r="V187" s="123">
        <v>100</v>
      </c>
      <c r="W187" s="123">
        <v>100</v>
      </c>
      <c r="X187" s="426">
        <v>100</v>
      </c>
    </row>
    <row r="188" spans="1:82" ht="13" customHeight="1">
      <c r="C188" s="36" t="str">
        <f>VLOOKUP(116,Textbausteine_203[],Hilfsgrössen!$D$2,FALSE)</f>
        <v>Belgio</v>
      </c>
      <c r="D188" s="1" t="str">
        <f>VLOOKUP(17,Textbausteine_203[],Hilfsgrössen!$D$2,FALSE)</f>
        <v>Indice</v>
      </c>
      <c r="E188" s="37" t="s">
        <v>120</v>
      </c>
      <c r="H188" s="99" t="s">
        <v>30</v>
      </c>
      <c r="I188" s="99" t="s">
        <v>30</v>
      </c>
      <c r="J188" s="99" t="s">
        <v>30</v>
      </c>
      <c r="K188" s="99" t="s">
        <v>30</v>
      </c>
      <c r="L188" s="329">
        <v>118</v>
      </c>
      <c r="M188" s="329">
        <v>124</v>
      </c>
      <c r="N188" s="329">
        <v>104</v>
      </c>
      <c r="O188" s="329">
        <v>94</v>
      </c>
      <c r="P188" s="329">
        <v>99</v>
      </c>
      <c r="Q188" s="329">
        <v>105</v>
      </c>
      <c r="R188" s="329">
        <v>104</v>
      </c>
      <c r="S188" s="329">
        <v>94</v>
      </c>
      <c r="T188" s="14">
        <v>95</v>
      </c>
      <c r="U188" s="14">
        <v>102</v>
      </c>
      <c r="V188" s="14">
        <v>101</v>
      </c>
      <c r="W188" s="14">
        <v>100</v>
      </c>
      <c r="X188" s="424">
        <v>99</v>
      </c>
    </row>
    <row r="189" spans="1:82" ht="13" customHeight="1">
      <c r="C189" s="36" t="str">
        <f>VLOOKUP(126,Textbausteine_203[],Hilfsgrössen!$D$2,FALSE)</f>
        <v>Paesi Bassi</v>
      </c>
      <c r="D189" s="1" t="str">
        <f>VLOOKUP(17,Textbausteine_203[],Hilfsgrössen!$D$2,FALSE)</f>
        <v>Indice</v>
      </c>
      <c r="E189" s="37" t="s">
        <v>120</v>
      </c>
      <c r="H189" s="99" t="s">
        <v>30</v>
      </c>
      <c r="I189" s="99" t="s">
        <v>30</v>
      </c>
      <c r="J189" s="99" t="s">
        <v>30</v>
      </c>
      <c r="K189" s="99" t="s">
        <v>30</v>
      </c>
      <c r="L189" s="329">
        <v>137</v>
      </c>
      <c r="M189" s="329">
        <v>138</v>
      </c>
      <c r="N189" s="329">
        <v>119</v>
      </c>
      <c r="O189" s="329">
        <v>105</v>
      </c>
      <c r="P189" s="329">
        <v>104</v>
      </c>
      <c r="Q189" s="329">
        <v>105</v>
      </c>
      <c r="R189" s="329">
        <v>106</v>
      </c>
      <c r="S189" s="329">
        <v>95</v>
      </c>
      <c r="T189" s="14">
        <v>95</v>
      </c>
      <c r="U189" s="14">
        <v>102</v>
      </c>
      <c r="V189" s="14">
        <v>98</v>
      </c>
      <c r="W189" s="14">
        <v>95</v>
      </c>
      <c r="X189" s="424">
        <v>96</v>
      </c>
    </row>
    <row r="190" spans="1:82" ht="13" customHeight="1">
      <c r="C190" s="36" t="str">
        <f>VLOOKUP(123,Textbausteine_203[],Hilfsgrössen!$D$2,FALSE)</f>
        <v>Gran Bretagna</v>
      </c>
      <c r="D190" s="1" t="str">
        <f>VLOOKUP(17,Textbausteine_203[],Hilfsgrössen!$D$2,FALSE)</f>
        <v>Indice</v>
      </c>
      <c r="E190" s="37" t="s">
        <v>120</v>
      </c>
      <c r="H190" s="99" t="s">
        <v>30</v>
      </c>
      <c r="I190" s="99" t="s">
        <v>30</v>
      </c>
      <c r="J190" s="99" t="s">
        <v>30</v>
      </c>
      <c r="K190" s="99" t="s">
        <v>30</v>
      </c>
      <c r="L190" s="329">
        <v>213</v>
      </c>
      <c r="M190" s="329">
        <v>178</v>
      </c>
      <c r="N190" s="329">
        <v>123</v>
      </c>
      <c r="O190" s="329">
        <v>114</v>
      </c>
      <c r="P190" s="329">
        <v>138</v>
      </c>
      <c r="Q190" s="329">
        <v>107</v>
      </c>
      <c r="R190" s="329">
        <v>109</v>
      </c>
      <c r="S190" s="329">
        <v>106</v>
      </c>
      <c r="T190" s="14">
        <v>85</v>
      </c>
      <c r="U190" s="14">
        <v>95</v>
      </c>
      <c r="V190" s="14">
        <v>93</v>
      </c>
      <c r="W190" s="14">
        <v>92</v>
      </c>
      <c r="X190" s="424">
        <v>80</v>
      </c>
    </row>
    <row r="191" spans="1:82" ht="13" customHeight="1">
      <c r="C191" s="36" t="str">
        <f>VLOOKUP(115,Textbausteine_203[],Hilfsgrössen!$D$2,FALSE)</f>
        <v>Austria</v>
      </c>
      <c r="D191" s="1" t="str">
        <f>VLOOKUP(17,Textbausteine_203[],Hilfsgrössen!$D$2,FALSE)</f>
        <v>Indice</v>
      </c>
      <c r="E191" s="37" t="s">
        <v>120</v>
      </c>
      <c r="H191" s="99" t="s">
        <v>30</v>
      </c>
      <c r="I191" s="99" t="s">
        <v>30</v>
      </c>
      <c r="J191" s="99" t="s">
        <v>30</v>
      </c>
      <c r="K191" s="99" t="s">
        <v>30</v>
      </c>
      <c r="L191" s="329">
        <v>103</v>
      </c>
      <c r="M191" s="329">
        <v>95</v>
      </c>
      <c r="N191" s="329">
        <v>81</v>
      </c>
      <c r="O191" s="329">
        <v>72</v>
      </c>
      <c r="P191" s="329">
        <v>71</v>
      </c>
      <c r="Q191" s="329">
        <v>76</v>
      </c>
      <c r="R191" s="329">
        <v>75</v>
      </c>
      <c r="S191" s="329">
        <v>69</v>
      </c>
      <c r="T191" s="14">
        <v>69</v>
      </c>
      <c r="U191" s="14">
        <v>67</v>
      </c>
      <c r="V191" s="14">
        <v>75</v>
      </c>
      <c r="W191" s="14">
        <v>72</v>
      </c>
      <c r="X191" s="424">
        <v>70</v>
      </c>
    </row>
    <row r="192" spans="1:82" ht="13" customHeight="1">
      <c r="C192" s="36" t="str">
        <f>VLOOKUP(118,Textbausteine_203[],Hilfsgrössen!$D$2,FALSE)</f>
        <v>Germania</v>
      </c>
      <c r="D192" s="1" t="str">
        <f>VLOOKUP(17,Textbausteine_203[],Hilfsgrössen!$D$2,FALSE)</f>
        <v>Indice</v>
      </c>
      <c r="E192" s="37" t="s">
        <v>120</v>
      </c>
      <c r="H192" s="99" t="s">
        <v>30</v>
      </c>
      <c r="I192" s="99" t="s">
        <v>30</v>
      </c>
      <c r="J192" s="99" t="s">
        <v>30</v>
      </c>
      <c r="K192" s="99" t="s">
        <v>30</v>
      </c>
      <c r="L192" s="329">
        <v>107</v>
      </c>
      <c r="M192" s="329">
        <v>98</v>
      </c>
      <c r="N192" s="329">
        <v>82</v>
      </c>
      <c r="O192" s="329">
        <v>72</v>
      </c>
      <c r="P192" s="329">
        <v>72</v>
      </c>
      <c r="Q192" s="329">
        <v>73</v>
      </c>
      <c r="R192" s="329">
        <v>72</v>
      </c>
      <c r="S192" s="329">
        <v>66</v>
      </c>
      <c r="T192" s="14">
        <v>67</v>
      </c>
      <c r="U192" s="14">
        <v>72</v>
      </c>
      <c r="V192" s="14">
        <v>68</v>
      </c>
      <c r="W192" s="14">
        <v>67</v>
      </c>
      <c r="X192" s="424">
        <v>64</v>
      </c>
    </row>
    <row r="193" spans="1:82" ht="13" customHeight="1">
      <c r="X193" s="256"/>
    </row>
    <row r="194" spans="1:82" s="31" customFormat="1" ht="13" customHeight="1">
      <c r="A194" s="89"/>
      <c r="C194" s="31" t="str">
        <f>VLOOKUP(114,Textbausteine_203[],Hilfsgrössen!$D$2,FALSE)</f>
        <v>Indice della posta-pacchi rettificato in base al potere d'acquisto</v>
      </c>
      <c r="E194" s="39"/>
      <c r="F194" s="39"/>
      <c r="G194" s="46"/>
      <c r="H194" s="95"/>
      <c r="I194" s="95"/>
      <c r="J194" s="95"/>
      <c r="K194" s="95"/>
      <c r="L194" s="95"/>
      <c r="M194" s="95"/>
      <c r="N194" s="95"/>
      <c r="O194" s="95"/>
      <c r="P194" s="95"/>
      <c r="Q194" s="95"/>
      <c r="R194" s="95"/>
      <c r="S194" s="95"/>
      <c r="T194" s="116"/>
      <c r="U194" s="116"/>
      <c r="V194" s="116"/>
      <c r="W194" s="116"/>
      <c r="X194" s="255"/>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row>
    <row r="195" spans="1:82" ht="13" customHeight="1">
      <c r="C195" s="36" t="str">
        <f>VLOOKUP(121,Textbausteine_203[],Hilfsgrössen!$D$2,FALSE)</f>
        <v>Finlandia</v>
      </c>
      <c r="D195" s="1" t="str">
        <f>VLOOKUP(17,Textbausteine_203[],Hilfsgrössen!$D$2,FALSE)</f>
        <v>Indice</v>
      </c>
      <c r="E195" s="37">
        <v>2</v>
      </c>
      <c r="H195" s="99" t="s">
        <v>30</v>
      </c>
      <c r="I195" s="99" t="s">
        <v>30</v>
      </c>
      <c r="J195" s="99" t="s">
        <v>30</v>
      </c>
      <c r="K195" s="99" t="s">
        <v>30</v>
      </c>
      <c r="L195" s="99" t="s">
        <v>30</v>
      </c>
      <c r="M195" s="99" t="s">
        <v>30</v>
      </c>
      <c r="N195" s="99" t="s">
        <v>30</v>
      </c>
      <c r="O195" s="99">
        <v>285</v>
      </c>
      <c r="P195" s="99">
        <v>281</v>
      </c>
      <c r="Q195" s="99">
        <v>296</v>
      </c>
      <c r="R195" s="99">
        <v>304</v>
      </c>
      <c r="S195" s="99">
        <v>356</v>
      </c>
      <c r="T195" s="20">
        <v>344</v>
      </c>
      <c r="U195" s="20">
        <v>345</v>
      </c>
      <c r="V195" s="20">
        <v>353</v>
      </c>
      <c r="W195" s="20">
        <v>354</v>
      </c>
      <c r="X195" s="256">
        <v>354</v>
      </c>
    </row>
    <row r="196" spans="1:82" ht="13" customHeight="1">
      <c r="C196" s="36" t="str">
        <f>VLOOKUP(120,Textbausteine_203[],Hilfsgrössen!$D$2,FALSE)</f>
        <v>Spagna</v>
      </c>
      <c r="D196" s="1" t="str">
        <f>VLOOKUP(17,Textbausteine_203[],Hilfsgrössen!$D$2,FALSE)</f>
        <v>Indice</v>
      </c>
      <c r="E196" s="37">
        <v>2</v>
      </c>
      <c r="H196" s="99" t="s">
        <v>30</v>
      </c>
      <c r="I196" s="99" t="s">
        <v>30</v>
      </c>
      <c r="J196" s="99" t="s">
        <v>30</v>
      </c>
      <c r="K196" s="99" t="s">
        <v>30</v>
      </c>
      <c r="L196" s="99" t="s">
        <v>30</v>
      </c>
      <c r="M196" s="99" t="s">
        <v>30</v>
      </c>
      <c r="N196" s="99" t="s">
        <v>30</v>
      </c>
      <c r="O196" s="99">
        <v>217</v>
      </c>
      <c r="P196" s="99">
        <v>224</v>
      </c>
      <c r="Q196" s="99">
        <v>223</v>
      </c>
      <c r="R196" s="99">
        <v>242</v>
      </c>
      <c r="S196" s="99">
        <v>257</v>
      </c>
      <c r="T196" s="20">
        <v>240</v>
      </c>
      <c r="U196" s="20">
        <v>283</v>
      </c>
      <c r="V196" s="20">
        <v>299</v>
      </c>
      <c r="W196" s="20">
        <v>303</v>
      </c>
      <c r="X196" s="256">
        <v>304</v>
      </c>
    </row>
    <row r="197" spans="1:82" ht="13" customHeight="1">
      <c r="C197" s="36" t="str">
        <f>VLOOKUP(127,Textbausteine_203[],Hilfsgrössen!$D$2,FALSE)</f>
        <v>Norvegia</v>
      </c>
      <c r="D197" s="1" t="str">
        <f>VLOOKUP(17,Textbausteine_203[],Hilfsgrössen!$D$2,FALSE)</f>
        <v>Indice</v>
      </c>
      <c r="E197" s="37">
        <v>2</v>
      </c>
      <c r="H197" s="99" t="s">
        <v>30</v>
      </c>
      <c r="I197" s="99" t="s">
        <v>30</v>
      </c>
      <c r="J197" s="99" t="s">
        <v>30</v>
      </c>
      <c r="K197" s="99" t="s">
        <v>30</v>
      </c>
      <c r="L197" s="99" t="s">
        <v>30</v>
      </c>
      <c r="M197" s="99" t="s">
        <v>30</v>
      </c>
      <c r="N197" s="99" t="s">
        <v>30</v>
      </c>
      <c r="O197" s="99">
        <v>316</v>
      </c>
      <c r="P197" s="99">
        <v>354</v>
      </c>
      <c r="Q197" s="99">
        <v>280</v>
      </c>
      <c r="R197" s="99">
        <v>291</v>
      </c>
      <c r="S197" s="99">
        <v>283</v>
      </c>
      <c r="T197" s="20">
        <v>263</v>
      </c>
      <c r="U197" s="20">
        <v>261</v>
      </c>
      <c r="V197" s="20">
        <v>258</v>
      </c>
      <c r="W197" s="20">
        <v>260</v>
      </c>
      <c r="X197" s="256">
        <v>264</v>
      </c>
    </row>
    <row r="198" spans="1:82" ht="13" customHeight="1">
      <c r="C198" s="36" t="str">
        <f>VLOOKUP(128,Textbausteine_203[],Hilfsgrössen!$D$2,FALSE)</f>
        <v>Portogallo</v>
      </c>
      <c r="D198" s="1" t="str">
        <f>VLOOKUP(17,Textbausteine_203[],Hilfsgrössen!$D$2,FALSE)</f>
        <v>Indice</v>
      </c>
      <c r="E198" s="37">
        <v>2</v>
      </c>
      <c r="H198" s="99" t="s">
        <v>30</v>
      </c>
      <c r="I198" s="99" t="s">
        <v>30</v>
      </c>
      <c r="J198" s="99" t="s">
        <v>30</v>
      </c>
      <c r="K198" s="99" t="s">
        <v>30</v>
      </c>
      <c r="L198" s="99" t="s">
        <v>30</v>
      </c>
      <c r="M198" s="99" t="s">
        <v>30</v>
      </c>
      <c r="N198" s="99" t="s">
        <v>30</v>
      </c>
      <c r="O198" s="99">
        <v>186</v>
      </c>
      <c r="P198" s="99">
        <v>185</v>
      </c>
      <c r="Q198" s="99">
        <v>199</v>
      </c>
      <c r="R198" s="99">
        <v>219</v>
      </c>
      <c r="S198" s="99">
        <v>234</v>
      </c>
      <c r="T198" s="20">
        <v>224</v>
      </c>
      <c r="U198" s="20">
        <v>229</v>
      </c>
      <c r="V198" s="20">
        <v>232</v>
      </c>
      <c r="W198" s="20">
        <v>227</v>
      </c>
      <c r="X198" s="256">
        <v>243</v>
      </c>
    </row>
    <row r="199" spans="1:82" ht="13" customHeight="1">
      <c r="C199" s="36" t="str">
        <f>VLOOKUP(129,Textbausteine_203[],Hilfsgrössen!$D$2,FALSE)</f>
        <v>Svezia</v>
      </c>
      <c r="D199" s="1" t="str">
        <f>VLOOKUP(17,Textbausteine_203[],Hilfsgrössen!$D$2,FALSE)</f>
        <v>Indice</v>
      </c>
      <c r="E199" s="37">
        <v>2</v>
      </c>
      <c r="H199" s="99" t="s">
        <v>30</v>
      </c>
      <c r="I199" s="99" t="s">
        <v>30</v>
      </c>
      <c r="J199" s="99" t="s">
        <v>30</v>
      </c>
      <c r="K199" s="99" t="s">
        <v>30</v>
      </c>
      <c r="L199" s="99" t="s">
        <v>30</v>
      </c>
      <c r="M199" s="99" t="s">
        <v>30</v>
      </c>
      <c r="N199" s="99" t="s">
        <v>30</v>
      </c>
      <c r="O199" s="99">
        <v>357</v>
      </c>
      <c r="P199" s="99">
        <v>357</v>
      </c>
      <c r="Q199" s="99">
        <v>354</v>
      </c>
      <c r="R199" s="99">
        <v>352</v>
      </c>
      <c r="S199" s="99">
        <v>338</v>
      </c>
      <c r="T199" s="20">
        <v>289</v>
      </c>
      <c r="U199" s="20">
        <v>283</v>
      </c>
      <c r="V199" s="20">
        <v>240</v>
      </c>
      <c r="W199" s="20">
        <v>239</v>
      </c>
      <c r="X199" s="256">
        <v>235</v>
      </c>
    </row>
    <row r="200" spans="1:82" ht="13" customHeight="1">
      <c r="C200" s="36" t="str">
        <f>VLOOKUP(125,Textbausteine_203[],Hilfsgrössen!$D$2,FALSE)</f>
        <v>Italia</v>
      </c>
      <c r="D200" s="1" t="str">
        <f>VLOOKUP(17,Textbausteine_203[],Hilfsgrössen!$D$2,FALSE)</f>
        <v>Indice</v>
      </c>
      <c r="E200" s="37">
        <v>2</v>
      </c>
      <c r="H200" s="99" t="s">
        <v>30</v>
      </c>
      <c r="I200" s="99" t="s">
        <v>30</v>
      </c>
      <c r="J200" s="99" t="s">
        <v>30</v>
      </c>
      <c r="K200" s="99" t="s">
        <v>30</v>
      </c>
      <c r="L200" s="99" t="s">
        <v>30</v>
      </c>
      <c r="M200" s="99" t="s">
        <v>30</v>
      </c>
      <c r="N200" s="99" t="s">
        <v>30</v>
      </c>
      <c r="O200" s="99">
        <v>280</v>
      </c>
      <c r="P200" s="99">
        <v>261</v>
      </c>
      <c r="Q200" s="99">
        <v>243</v>
      </c>
      <c r="R200" s="99">
        <v>248</v>
      </c>
      <c r="S200" s="99">
        <v>245</v>
      </c>
      <c r="T200" s="20">
        <v>237</v>
      </c>
      <c r="U200" s="20">
        <v>236</v>
      </c>
      <c r="V200" s="20">
        <v>232</v>
      </c>
      <c r="W200" s="20">
        <v>214</v>
      </c>
      <c r="X200" s="256">
        <v>216</v>
      </c>
    </row>
    <row r="201" spans="1:82" ht="13" customHeight="1">
      <c r="C201" s="36" t="str">
        <f>VLOOKUP(124,Textbausteine_203[],Hilfsgrössen!$D$2,FALSE)</f>
        <v>Irlanda</v>
      </c>
      <c r="D201" s="1" t="str">
        <f>VLOOKUP(17,Textbausteine_203[],Hilfsgrössen!$D$2,FALSE)</f>
        <v>Indice</v>
      </c>
      <c r="E201" s="37">
        <v>2</v>
      </c>
      <c r="H201" s="99" t="s">
        <v>30</v>
      </c>
      <c r="I201" s="99" t="s">
        <v>30</v>
      </c>
      <c r="J201" s="99" t="s">
        <v>30</v>
      </c>
      <c r="K201" s="99" t="s">
        <v>30</v>
      </c>
      <c r="L201" s="99" t="s">
        <v>30</v>
      </c>
      <c r="M201" s="99" t="s">
        <v>30</v>
      </c>
      <c r="N201" s="99" t="s">
        <v>30</v>
      </c>
      <c r="O201" s="99">
        <v>201</v>
      </c>
      <c r="P201" s="99">
        <v>203</v>
      </c>
      <c r="Q201" s="99">
        <v>199</v>
      </c>
      <c r="R201" s="99">
        <v>212</v>
      </c>
      <c r="S201" s="99">
        <v>206</v>
      </c>
      <c r="T201" s="20">
        <v>193</v>
      </c>
      <c r="U201" s="20">
        <v>212</v>
      </c>
      <c r="V201" s="20">
        <v>222</v>
      </c>
      <c r="W201" s="20">
        <v>215</v>
      </c>
      <c r="X201" s="256">
        <v>190</v>
      </c>
    </row>
    <row r="202" spans="1:82" ht="13" customHeight="1">
      <c r="C202" s="36" t="str">
        <f>VLOOKUP(122,Textbausteine_203[],Hilfsgrössen!$D$2,FALSE)</f>
        <v>Francia</v>
      </c>
      <c r="D202" s="1" t="str">
        <f>VLOOKUP(17,Textbausteine_203[],Hilfsgrössen!$D$2,FALSE)</f>
        <v>Indice</v>
      </c>
      <c r="E202" s="37">
        <v>2</v>
      </c>
      <c r="H202" s="99" t="s">
        <v>30</v>
      </c>
      <c r="I202" s="99" t="s">
        <v>30</v>
      </c>
      <c r="J202" s="99" t="s">
        <v>30</v>
      </c>
      <c r="K202" s="99" t="s">
        <v>30</v>
      </c>
      <c r="L202" s="99" t="s">
        <v>30</v>
      </c>
      <c r="M202" s="99" t="s">
        <v>30</v>
      </c>
      <c r="N202" s="99" t="s">
        <v>30</v>
      </c>
      <c r="O202" s="99">
        <v>175</v>
      </c>
      <c r="P202" s="99">
        <v>174</v>
      </c>
      <c r="Q202" s="99">
        <v>177</v>
      </c>
      <c r="R202" s="99">
        <v>186</v>
      </c>
      <c r="S202" s="99">
        <v>191</v>
      </c>
      <c r="T202" s="20">
        <v>179</v>
      </c>
      <c r="U202" s="20">
        <v>177</v>
      </c>
      <c r="V202" s="20">
        <v>178</v>
      </c>
      <c r="W202" s="20">
        <v>182</v>
      </c>
      <c r="X202" s="256">
        <v>189</v>
      </c>
    </row>
    <row r="203" spans="1:82" ht="13" customHeight="1">
      <c r="C203" s="36" t="str">
        <f>VLOOKUP(119,Textbausteine_203[],Hilfsgrössen!$D$2,FALSE)</f>
        <v>Danimarca</v>
      </c>
      <c r="D203" s="1" t="str">
        <f>VLOOKUP(17,Textbausteine_203[],Hilfsgrössen!$D$2,FALSE)</f>
        <v>Indice</v>
      </c>
      <c r="E203" s="37">
        <v>2</v>
      </c>
      <c r="H203" s="99" t="s">
        <v>30</v>
      </c>
      <c r="I203" s="99" t="s">
        <v>30</v>
      </c>
      <c r="J203" s="99" t="s">
        <v>30</v>
      </c>
      <c r="K203" s="99" t="s">
        <v>30</v>
      </c>
      <c r="L203" s="99" t="s">
        <v>30</v>
      </c>
      <c r="M203" s="99" t="s">
        <v>30</v>
      </c>
      <c r="N203" s="99" t="s">
        <v>30</v>
      </c>
      <c r="O203" s="99">
        <v>198</v>
      </c>
      <c r="P203" s="99">
        <v>197</v>
      </c>
      <c r="Q203" s="99">
        <v>231</v>
      </c>
      <c r="R203" s="99">
        <v>231</v>
      </c>
      <c r="S203" s="99">
        <v>235</v>
      </c>
      <c r="T203" s="20">
        <v>243</v>
      </c>
      <c r="U203" s="20">
        <v>216</v>
      </c>
      <c r="V203" s="20">
        <v>231</v>
      </c>
      <c r="W203" s="20">
        <v>143</v>
      </c>
      <c r="X203" s="256">
        <v>144</v>
      </c>
    </row>
    <row r="204" spans="1:82" ht="13" customHeight="1">
      <c r="C204" s="36" t="str">
        <f>VLOOKUP(116,Textbausteine_203[],Hilfsgrössen!$D$2,FALSE)</f>
        <v>Belgio</v>
      </c>
      <c r="D204" s="1" t="str">
        <f>VLOOKUP(17,Textbausteine_203[],Hilfsgrössen!$D$2,FALSE)</f>
        <v>Indice</v>
      </c>
      <c r="E204" s="37">
        <v>2</v>
      </c>
      <c r="H204" s="99" t="s">
        <v>30</v>
      </c>
      <c r="I204" s="99" t="s">
        <v>30</v>
      </c>
      <c r="J204" s="99" t="s">
        <v>30</v>
      </c>
      <c r="K204" s="99" t="s">
        <v>30</v>
      </c>
      <c r="L204" s="99" t="s">
        <v>30</v>
      </c>
      <c r="M204" s="99" t="s">
        <v>30</v>
      </c>
      <c r="N204" s="99" t="s">
        <v>30</v>
      </c>
      <c r="O204" s="99">
        <v>134</v>
      </c>
      <c r="P204" s="99">
        <v>133</v>
      </c>
      <c r="Q204" s="99">
        <v>133</v>
      </c>
      <c r="R204" s="99">
        <v>135</v>
      </c>
      <c r="S204" s="99">
        <v>134</v>
      </c>
      <c r="T204" s="20">
        <v>136</v>
      </c>
      <c r="U204" s="20">
        <v>135</v>
      </c>
      <c r="V204" s="20">
        <v>135</v>
      </c>
      <c r="W204" s="20">
        <v>139</v>
      </c>
      <c r="X204" s="256">
        <v>142</v>
      </c>
    </row>
    <row r="205" spans="1:82" ht="13" customHeight="1">
      <c r="C205" s="36" t="str">
        <f>VLOOKUP(126,Textbausteine_203[],Hilfsgrössen!$D$2,FALSE)</f>
        <v>Paesi Bassi</v>
      </c>
      <c r="D205" s="1" t="str">
        <f>VLOOKUP(17,Textbausteine_203[],Hilfsgrössen!$D$2,FALSE)</f>
        <v>Indice</v>
      </c>
      <c r="E205" s="37">
        <v>2</v>
      </c>
      <c r="H205" s="99" t="s">
        <v>30</v>
      </c>
      <c r="I205" s="99" t="s">
        <v>30</v>
      </c>
      <c r="J205" s="99" t="s">
        <v>30</v>
      </c>
      <c r="K205" s="99" t="s">
        <v>30</v>
      </c>
      <c r="L205" s="99" t="s">
        <v>30</v>
      </c>
      <c r="M205" s="99" t="s">
        <v>30</v>
      </c>
      <c r="N205" s="99" t="s">
        <v>30</v>
      </c>
      <c r="O205" s="99">
        <v>155</v>
      </c>
      <c r="P205" s="99">
        <v>149</v>
      </c>
      <c r="Q205" s="99">
        <v>143</v>
      </c>
      <c r="R205" s="99">
        <v>148</v>
      </c>
      <c r="S205" s="99">
        <v>146</v>
      </c>
      <c r="T205" s="20">
        <v>136</v>
      </c>
      <c r="U205" s="20">
        <v>134</v>
      </c>
      <c r="V205" s="20">
        <v>128</v>
      </c>
      <c r="W205" s="20">
        <v>128</v>
      </c>
      <c r="X205" s="256">
        <v>131</v>
      </c>
    </row>
    <row r="206" spans="1:82" ht="13" customHeight="1">
      <c r="C206" s="36" t="str">
        <f>VLOOKUP(123,Textbausteine_203[],Hilfsgrössen!$D$2,FALSE)</f>
        <v>Gran Bretagna</v>
      </c>
      <c r="D206" s="1" t="str">
        <f>VLOOKUP(17,Textbausteine_203[],Hilfsgrössen!$D$2,FALSE)</f>
        <v>Indice</v>
      </c>
      <c r="E206" s="37" t="s">
        <v>120</v>
      </c>
      <c r="H206" s="99" t="s">
        <v>30</v>
      </c>
      <c r="I206" s="99" t="s">
        <v>30</v>
      </c>
      <c r="J206" s="99" t="s">
        <v>30</v>
      </c>
      <c r="K206" s="99" t="s">
        <v>30</v>
      </c>
      <c r="L206" s="99" t="s">
        <v>30</v>
      </c>
      <c r="M206" s="99" t="s">
        <v>30</v>
      </c>
      <c r="N206" s="99" t="s">
        <v>30</v>
      </c>
      <c r="O206" s="99">
        <v>183</v>
      </c>
      <c r="P206" s="99">
        <v>198</v>
      </c>
      <c r="Q206" s="99">
        <v>154</v>
      </c>
      <c r="R206" s="99">
        <v>142</v>
      </c>
      <c r="S206" s="99">
        <v>134</v>
      </c>
      <c r="T206" s="20">
        <v>129</v>
      </c>
      <c r="U206" s="20">
        <v>127</v>
      </c>
      <c r="V206" s="20">
        <v>123</v>
      </c>
      <c r="W206" s="20">
        <v>123</v>
      </c>
      <c r="X206" s="256">
        <v>114</v>
      </c>
    </row>
    <row r="207" spans="1:82" ht="13" customHeight="1">
      <c r="C207" s="314" t="str">
        <f>VLOOKUP(117,Textbausteine_203[],Hilfsgrössen!$D$2,FALSE)</f>
        <v>Svizzera</v>
      </c>
      <c r="D207" s="31" t="str">
        <f>VLOOKUP(17,Textbausteine_203[],Hilfsgrössen!$D$2,FALSE)</f>
        <v>Indice</v>
      </c>
      <c r="E207" s="39">
        <v>2</v>
      </c>
      <c r="F207" s="39"/>
      <c r="G207" s="46"/>
      <c r="H207" s="95" t="s">
        <v>30</v>
      </c>
      <c r="I207" s="95" t="s">
        <v>30</v>
      </c>
      <c r="J207" s="95" t="s">
        <v>30</v>
      </c>
      <c r="K207" s="95" t="s">
        <v>30</v>
      </c>
      <c r="L207" s="95" t="s">
        <v>30</v>
      </c>
      <c r="M207" s="95" t="s">
        <v>30</v>
      </c>
      <c r="N207" s="95" t="s">
        <v>30</v>
      </c>
      <c r="O207" s="95">
        <v>100</v>
      </c>
      <c r="P207" s="95">
        <v>100</v>
      </c>
      <c r="Q207" s="95">
        <v>100</v>
      </c>
      <c r="R207" s="95">
        <v>100</v>
      </c>
      <c r="S207" s="95">
        <v>100</v>
      </c>
      <c r="T207" s="116">
        <v>100</v>
      </c>
      <c r="U207" s="116">
        <v>100</v>
      </c>
      <c r="V207" s="116">
        <v>100</v>
      </c>
      <c r="W207" s="116">
        <v>100</v>
      </c>
      <c r="X207" s="255">
        <v>100</v>
      </c>
    </row>
    <row r="208" spans="1:82" ht="13" customHeight="1">
      <c r="C208" s="36" t="str">
        <f>VLOOKUP(115,Textbausteine_203[],Hilfsgrössen!$D$2,FALSE)</f>
        <v>Austria</v>
      </c>
      <c r="D208" s="1" t="str">
        <f>VLOOKUP(17,Textbausteine_203[],Hilfsgrössen!$D$2,FALSE)</f>
        <v>Indice</v>
      </c>
      <c r="E208" s="37">
        <v>2</v>
      </c>
      <c r="H208" s="99" t="s">
        <v>30</v>
      </c>
      <c r="I208" s="99" t="s">
        <v>30</v>
      </c>
      <c r="J208" s="99" t="s">
        <v>30</v>
      </c>
      <c r="K208" s="99" t="s">
        <v>30</v>
      </c>
      <c r="L208" s="99" t="s">
        <v>30</v>
      </c>
      <c r="M208" s="99" t="s">
        <v>30</v>
      </c>
      <c r="N208" s="99" t="s">
        <v>30</v>
      </c>
      <c r="O208" s="329">
        <v>104</v>
      </c>
      <c r="P208" s="329">
        <v>102</v>
      </c>
      <c r="Q208" s="329">
        <v>104</v>
      </c>
      <c r="R208" s="329">
        <v>103</v>
      </c>
      <c r="S208" s="329">
        <v>105</v>
      </c>
      <c r="T208" s="14">
        <v>100</v>
      </c>
      <c r="U208" s="14">
        <v>89</v>
      </c>
      <c r="V208" s="14">
        <v>100</v>
      </c>
      <c r="W208" s="14">
        <v>99</v>
      </c>
      <c r="X208" s="424">
        <v>99</v>
      </c>
    </row>
    <row r="209" spans="1:82" ht="13" customHeight="1">
      <c r="C209" s="36" t="str">
        <f>VLOOKUP(118,Textbausteine_203[],Hilfsgrössen!$D$2,FALSE)</f>
        <v>Germania</v>
      </c>
      <c r="D209" s="1" t="str">
        <f>VLOOKUP(17,Textbausteine_203[],Hilfsgrössen!$D$2,FALSE)</f>
        <v>Indice</v>
      </c>
      <c r="E209" s="37">
        <v>2</v>
      </c>
      <c r="H209" s="99" t="s">
        <v>30</v>
      </c>
      <c r="I209" s="99" t="s">
        <v>30</v>
      </c>
      <c r="J209" s="99" t="s">
        <v>30</v>
      </c>
      <c r="K209" s="99" t="s">
        <v>30</v>
      </c>
      <c r="L209" s="99" t="s">
        <v>30</v>
      </c>
      <c r="M209" s="99" t="s">
        <v>30</v>
      </c>
      <c r="N209" s="99" t="s">
        <v>30</v>
      </c>
      <c r="O209" s="329">
        <v>112</v>
      </c>
      <c r="P209" s="329">
        <v>108</v>
      </c>
      <c r="Q209" s="329">
        <v>104</v>
      </c>
      <c r="R209" s="329">
        <v>105</v>
      </c>
      <c r="S209" s="329">
        <v>105</v>
      </c>
      <c r="T209" s="14">
        <v>100</v>
      </c>
      <c r="U209" s="14">
        <v>98</v>
      </c>
      <c r="V209" s="14">
        <v>94</v>
      </c>
      <c r="W209" s="14">
        <v>95</v>
      </c>
      <c r="X209" s="424">
        <v>94</v>
      </c>
    </row>
    <row r="211" spans="1:82" s="322" customFormat="1" ht="13" customHeight="1">
      <c r="A211" s="321"/>
      <c r="B211" s="322" t="str">
        <f>VLOOKUP(221,Textbausteine_203[],Hilfsgrössen!$D$2,FALSE)</f>
        <v>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2018). Svizzera = 100 (per definizione)</v>
      </c>
      <c r="E211" s="321"/>
      <c r="F211" s="321"/>
      <c r="G211" s="323"/>
      <c r="H211" s="324"/>
      <c r="I211" s="324"/>
      <c r="J211" s="324"/>
      <c r="K211" s="324"/>
      <c r="L211" s="324"/>
      <c r="M211" s="324"/>
      <c r="N211" s="324"/>
      <c r="O211" s="324"/>
      <c r="P211" s="324"/>
      <c r="Q211" s="324"/>
      <c r="R211" s="324"/>
      <c r="S211" s="324"/>
      <c r="T211" s="325"/>
      <c r="U211" s="325"/>
      <c r="V211" s="325"/>
      <c r="W211" s="325"/>
      <c r="X211" s="325"/>
      <c r="Y211" s="321"/>
      <c r="Z211" s="321"/>
      <c r="AA211" s="321"/>
      <c r="AB211" s="321"/>
      <c r="AC211" s="321"/>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1"/>
      <c r="AY211" s="321"/>
      <c r="AZ211" s="321"/>
      <c r="BA211" s="321"/>
      <c r="BB211" s="321"/>
      <c r="BC211" s="321"/>
      <c r="BD211" s="321"/>
      <c r="BE211" s="321"/>
      <c r="BF211" s="321"/>
      <c r="BG211" s="321"/>
      <c r="BH211" s="321"/>
      <c r="BI211" s="321"/>
      <c r="BJ211" s="321"/>
      <c r="BK211" s="321"/>
      <c r="BL211" s="321"/>
      <c r="BM211" s="321"/>
      <c r="BN211" s="321"/>
      <c r="BO211" s="321"/>
      <c r="BP211" s="321"/>
      <c r="BQ211" s="321"/>
      <c r="BR211" s="321"/>
      <c r="BS211" s="321"/>
      <c r="BT211" s="321"/>
      <c r="BU211" s="321"/>
      <c r="BV211" s="321"/>
      <c r="BW211" s="321"/>
      <c r="BX211" s="321"/>
      <c r="BY211" s="321"/>
      <c r="BZ211" s="321"/>
      <c r="CA211" s="321"/>
      <c r="CB211" s="321"/>
      <c r="CC211" s="321"/>
      <c r="CD211" s="321"/>
    </row>
    <row r="212" spans="1:82" s="322" customFormat="1" ht="13" customHeight="1">
      <c r="A212" s="321"/>
      <c r="B212" s="322" t="str">
        <f>VLOOKUP(222,Textbausteine_203[],Hilfsgrössen!$D$2,FALSE)</f>
        <v>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2018). Svizzera = 100 (per definizione)</v>
      </c>
      <c r="E212" s="321"/>
      <c r="F212" s="321"/>
      <c r="G212" s="323"/>
      <c r="H212" s="324"/>
      <c r="I212" s="324"/>
      <c r="J212" s="324"/>
      <c r="K212" s="324"/>
      <c r="L212" s="324"/>
      <c r="M212" s="324"/>
      <c r="N212" s="324"/>
      <c r="O212" s="324"/>
      <c r="P212" s="324"/>
      <c r="Q212" s="324"/>
      <c r="R212" s="324"/>
      <c r="S212" s="324"/>
      <c r="T212" s="325"/>
      <c r="U212" s="325"/>
      <c r="V212" s="325"/>
      <c r="W212" s="325"/>
      <c r="X212" s="325"/>
      <c r="Y212" s="321"/>
      <c r="Z212" s="321"/>
      <c r="AA212" s="321"/>
      <c r="AB212" s="321"/>
      <c r="AC212" s="321"/>
      <c r="AD212" s="321"/>
      <c r="AE212" s="321"/>
      <c r="AF212" s="321"/>
      <c r="AG212" s="321"/>
      <c r="AH212" s="321"/>
      <c r="AI212" s="321"/>
      <c r="AJ212" s="321"/>
      <c r="AK212" s="321"/>
      <c r="AL212" s="321"/>
      <c r="AM212" s="321"/>
      <c r="AN212" s="321"/>
      <c r="AO212" s="321"/>
      <c r="AP212" s="321"/>
      <c r="AQ212" s="321"/>
      <c r="AR212" s="321"/>
      <c r="AS212" s="321"/>
      <c r="AT212" s="321"/>
      <c r="AU212" s="321"/>
      <c r="AV212" s="321"/>
      <c r="AW212" s="321"/>
      <c r="AX212" s="321"/>
      <c r="AY212" s="321"/>
      <c r="AZ212" s="321"/>
      <c r="BA212" s="321"/>
      <c r="BB212" s="321"/>
      <c r="BC212" s="321"/>
      <c r="BD212" s="321"/>
      <c r="BE212" s="321"/>
      <c r="BF212" s="321"/>
      <c r="BG212" s="321"/>
      <c r="BH212" s="321"/>
      <c r="BI212" s="321"/>
      <c r="BJ212" s="321"/>
      <c r="BK212" s="321"/>
      <c r="BL212" s="321"/>
      <c r="BM212" s="321"/>
      <c r="BN212" s="321"/>
      <c r="BO212" s="321"/>
      <c r="BP212" s="321"/>
      <c r="BQ212" s="321"/>
      <c r="BR212" s="321"/>
      <c r="BS212" s="321"/>
      <c r="BT212" s="321"/>
      <c r="BU212" s="321"/>
      <c r="BV212" s="321"/>
      <c r="BW212" s="321"/>
      <c r="BX212" s="321"/>
      <c r="BY212" s="321"/>
      <c r="BZ212" s="321"/>
      <c r="CA212" s="321"/>
      <c r="CB212" s="321"/>
      <c r="CC212" s="321"/>
      <c r="CD212" s="321"/>
    </row>
    <row r="213" spans="1:82" s="322" customFormat="1" ht="13" customHeight="1">
      <c r="A213" s="321"/>
      <c r="B213" s="322" t="str">
        <f>VLOOKUP(223,Textbausteine_203[],Hilfsgrössen!$D$2,FALSE)</f>
        <v>3) Valori dell'anno precedente in parte adattati.</v>
      </c>
      <c r="E213" s="321"/>
      <c r="F213" s="321"/>
      <c r="G213" s="323"/>
      <c r="H213" s="324"/>
      <c r="I213" s="324"/>
      <c r="J213" s="324"/>
      <c r="K213" s="324"/>
      <c r="L213" s="324"/>
      <c r="M213" s="324"/>
      <c r="N213" s="324"/>
      <c r="O213" s="324"/>
      <c r="P213" s="324"/>
      <c r="Q213" s="324"/>
      <c r="R213" s="324"/>
      <c r="S213" s="324"/>
      <c r="T213" s="325"/>
      <c r="U213" s="325"/>
      <c r="V213" s="325"/>
      <c r="W213" s="325"/>
      <c r="X213" s="325"/>
      <c r="Y213" s="321"/>
      <c r="Z213" s="321"/>
      <c r="AA213" s="321"/>
      <c r="AB213" s="321"/>
      <c r="AC213" s="321"/>
      <c r="AD213" s="321"/>
      <c r="AE213" s="321"/>
      <c r="AF213" s="321"/>
      <c r="AG213" s="321"/>
      <c r="AH213" s="321"/>
      <c r="AI213" s="321"/>
      <c r="AJ213" s="321"/>
      <c r="AK213" s="321"/>
      <c r="AL213" s="321"/>
      <c r="AM213" s="321"/>
      <c r="AN213" s="321"/>
      <c r="AO213" s="321"/>
      <c r="AP213" s="321"/>
      <c r="AQ213" s="321"/>
      <c r="AR213" s="321"/>
      <c r="AS213" s="321"/>
      <c r="AT213" s="321"/>
      <c r="AU213" s="321"/>
      <c r="AV213" s="321"/>
      <c r="AW213" s="321"/>
      <c r="AX213" s="321"/>
      <c r="AY213" s="321"/>
      <c r="AZ213" s="321"/>
      <c r="BA213" s="321"/>
      <c r="BB213" s="321"/>
      <c r="BC213" s="321"/>
      <c r="BD213" s="321"/>
      <c r="BE213" s="321"/>
      <c r="BF213" s="321"/>
      <c r="BG213" s="321"/>
      <c r="BH213" s="321"/>
      <c r="BI213" s="321"/>
      <c r="BJ213" s="321"/>
      <c r="BK213" s="321"/>
      <c r="BL213" s="321"/>
      <c r="BM213" s="321"/>
      <c r="BN213" s="321"/>
      <c r="BO213" s="321"/>
      <c r="BP213" s="321"/>
      <c r="BQ213" s="321"/>
      <c r="BR213" s="321"/>
      <c r="BS213" s="321"/>
      <c r="BT213" s="321"/>
      <c r="BU213" s="321"/>
      <c r="BV213" s="321"/>
      <c r="BW213" s="321"/>
      <c r="BX213" s="321"/>
      <c r="BY213" s="321"/>
      <c r="BZ213" s="321"/>
      <c r="CA213" s="321"/>
      <c r="CB213" s="321"/>
      <c r="CC213" s="321"/>
      <c r="CD213" s="321"/>
    </row>
    <row r="216" spans="1:82" s="31" customFormat="1" ht="13" customHeight="1">
      <c r="A216" s="56" t="s">
        <v>27</v>
      </c>
      <c r="B216" s="495" t="str">
        <f>$C$11</f>
        <v>Tempi di consegna per i servizi postali</v>
      </c>
      <c r="C216" s="495"/>
      <c r="D216" s="6" t="str">
        <f>VLOOKUP(32,Textbausteine_Menu[],Hilfsgrössen!$D$2,FALSE)</f>
        <v>Unità</v>
      </c>
      <c r="E216" s="39" t="str">
        <f>VLOOKUP(33,Textbausteine_Menu[],Hilfsgrössen!$D$2,FALSE)</f>
        <v>Note</v>
      </c>
      <c r="F216" s="39" t="str">
        <f>VLOOKUP(34,Textbausteine_Menu[],Hilfsgrössen!$D$2,FALSE)</f>
        <v>GRI</v>
      </c>
      <c r="G216" s="53"/>
      <c r="H216" s="116">
        <v>2004</v>
      </c>
      <c r="I216" s="116">
        <v>2005</v>
      </c>
      <c r="J216" s="116">
        <v>2006</v>
      </c>
      <c r="K216" s="116">
        <v>2007</v>
      </c>
      <c r="L216" s="116">
        <v>2008</v>
      </c>
      <c r="M216" s="116">
        <v>2009</v>
      </c>
      <c r="N216" s="116">
        <v>2010</v>
      </c>
      <c r="O216" s="116">
        <v>2011</v>
      </c>
      <c r="P216" s="116">
        <v>2012</v>
      </c>
      <c r="Q216" s="116">
        <v>2013</v>
      </c>
      <c r="R216" s="116">
        <v>2014</v>
      </c>
      <c r="S216" s="116">
        <v>2015</v>
      </c>
      <c r="T216" s="116">
        <v>2016</v>
      </c>
      <c r="U216" s="116">
        <v>2017</v>
      </c>
      <c r="V216" s="116">
        <v>2018</v>
      </c>
      <c r="W216" s="116">
        <v>2019</v>
      </c>
      <c r="X216" s="255">
        <v>2020</v>
      </c>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row>
    <row r="217" spans="1:82" s="31" customFormat="1" ht="13" customHeight="1">
      <c r="A217" s="55"/>
      <c r="B217" s="495"/>
      <c r="C217" s="495"/>
      <c r="D217" s="6"/>
      <c r="E217" s="37"/>
      <c r="F217" s="37"/>
      <c r="G217" s="47"/>
      <c r="H217" s="116"/>
      <c r="I217" s="116"/>
      <c r="J217" s="116"/>
      <c r="K217" s="116"/>
      <c r="L217" s="105"/>
      <c r="M217" s="105"/>
      <c r="N217" s="106"/>
      <c r="O217" s="106"/>
      <c r="P217" s="106"/>
      <c r="Q217" s="106"/>
      <c r="R217" s="106"/>
      <c r="S217" s="106"/>
      <c r="T217" s="20"/>
      <c r="U217" s="20"/>
      <c r="V217" s="20"/>
      <c r="W217" s="20"/>
      <c r="X217" s="256"/>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row>
    <row r="218" spans="1:82" ht="13" customHeight="1">
      <c r="A218" s="65"/>
      <c r="B218" s="8"/>
      <c r="C218" s="9"/>
      <c r="D218" s="9"/>
      <c r="E218" s="40"/>
      <c r="F218" s="40"/>
      <c r="H218" s="116"/>
      <c r="I218" s="116"/>
      <c r="J218" s="116"/>
      <c r="K218" s="116"/>
      <c r="L218" s="105"/>
      <c r="M218" s="105"/>
      <c r="N218" s="106"/>
      <c r="O218" s="106"/>
      <c r="P218" s="106"/>
      <c r="Q218" s="106"/>
      <c r="R218" s="106"/>
      <c r="S218" s="106"/>
      <c r="X218" s="256"/>
    </row>
    <row r="219" spans="1:82" ht="13" customHeight="1">
      <c r="A219" s="65"/>
      <c r="B219" s="8" t="str">
        <f>VLOOKUP(37,Textbausteine_Menu[],Hilfsgrössen!$D$2,FALSE)</f>
        <v>Gruppo Svizzera</v>
      </c>
      <c r="C219" s="9"/>
      <c r="D219" s="9"/>
      <c r="E219" s="40"/>
      <c r="F219" s="40"/>
      <c r="H219" s="116"/>
      <c r="I219" s="116"/>
      <c r="J219" s="116"/>
      <c r="K219" s="116"/>
      <c r="L219" s="105"/>
      <c r="M219" s="105"/>
      <c r="N219" s="106"/>
      <c r="O219" s="106"/>
      <c r="P219" s="106"/>
      <c r="Q219" s="106"/>
      <c r="R219" s="106"/>
      <c r="S219" s="106"/>
      <c r="X219" s="256"/>
    </row>
    <row r="220" spans="1:82" s="31" customFormat="1" ht="13" customHeight="1">
      <c r="A220" s="89"/>
      <c r="C220" s="31" t="str">
        <f>VLOOKUP(141,Textbausteine_203[],Hilfsgrössen!$D$2,FALSE)</f>
        <v>Consegna puntuale dei lettere domestici al destinatario</v>
      </c>
      <c r="E220" s="39"/>
      <c r="F220" s="39"/>
      <c r="G220" s="46"/>
      <c r="H220" s="95"/>
      <c r="I220" s="95"/>
      <c r="J220" s="95"/>
      <c r="K220" s="95"/>
      <c r="L220" s="95"/>
      <c r="M220" s="95"/>
      <c r="N220" s="95"/>
      <c r="O220" s="95"/>
      <c r="P220" s="95"/>
      <c r="Q220" s="95"/>
      <c r="R220" s="95"/>
      <c r="S220" s="95"/>
      <c r="T220" s="116"/>
      <c r="U220" s="116"/>
      <c r="V220" s="116"/>
      <c r="W220" s="116"/>
      <c r="X220" s="255"/>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row>
    <row r="221" spans="1:82" ht="13" customHeight="1">
      <c r="C221" s="36" t="str">
        <f>VLOOKUP(142,Textbausteine_203[],Hilfsgrössen!$D$2,FALSE)</f>
        <v>Posta A</v>
      </c>
      <c r="D221" s="1" t="str">
        <f>VLOOKUP(12,Textbausteine_203[],Hilfsgrössen!$D$2,FALSE)</f>
        <v>%</v>
      </c>
      <c r="E221" s="37">
        <v>1</v>
      </c>
      <c r="H221" s="99">
        <v>97.4</v>
      </c>
      <c r="I221" s="99">
        <v>97.7</v>
      </c>
      <c r="J221" s="99">
        <v>98</v>
      </c>
      <c r="K221" s="99">
        <v>97.1</v>
      </c>
      <c r="L221" s="99">
        <v>95.9</v>
      </c>
      <c r="M221" s="99">
        <v>97.7</v>
      </c>
      <c r="N221" s="99">
        <v>97.2</v>
      </c>
      <c r="O221" s="99">
        <v>97.5</v>
      </c>
      <c r="P221" s="99">
        <v>97.9</v>
      </c>
      <c r="Q221" s="99">
        <v>97.6</v>
      </c>
      <c r="R221" s="99">
        <v>97.7</v>
      </c>
      <c r="S221" s="99">
        <v>97.8</v>
      </c>
      <c r="T221" s="20">
        <v>98</v>
      </c>
      <c r="U221" s="20">
        <v>97.6</v>
      </c>
      <c r="V221" s="20">
        <v>97.4</v>
      </c>
      <c r="W221" s="20">
        <v>98</v>
      </c>
      <c r="X221" s="256">
        <v>98</v>
      </c>
    </row>
    <row r="222" spans="1:82" ht="13" customHeight="1">
      <c r="C222" s="36" t="str">
        <f>VLOOKUP(143,Textbausteine_203[],Hilfsgrössen!$D$2,FALSE)</f>
        <v>Posta B</v>
      </c>
      <c r="D222" s="1" t="str">
        <f>VLOOKUP(12,Textbausteine_203[],Hilfsgrössen!$D$2,FALSE)</f>
        <v>%</v>
      </c>
      <c r="E222" s="37">
        <v>1</v>
      </c>
      <c r="H222" s="99">
        <v>97.4</v>
      </c>
      <c r="I222" s="99">
        <v>98.2</v>
      </c>
      <c r="J222" s="99">
        <v>98.3</v>
      </c>
      <c r="K222" s="99">
        <v>96.7</v>
      </c>
      <c r="L222" s="99">
        <v>95.9</v>
      </c>
      <c r="M222" s="99">
        <v>98.4</v>
      </c>
      <c r="N222" s="99">
        <v>98.5</v>
      </c>
      <c r="O222" s="99">
        <v>99.3</v>
      </c>
      <c r="P222" s="99">
        <v>98.8</v>
      </c>
      <c r="Q222" s="99">
        <v>98.8</v>
      </c>
      <c r="R222" s="99">
        <v>99</v>
      </c>
      <c r="S222" s="99">
        <v>98.9</v>
      </c>
      <c r="T222" s="20">
        <v>98.9</v>
      </c>
      <c r="U222" s="20">
        <v>99</v>
      </c>
      <c r="V222" s="20">
        <v>98.9</v>
      </c>
      <c r="W222" s="20">
        <v>99.3</v>
      </c>
      <c r="X222" s="256">
        <v>99.2</v>
      </c>
    </row>
    <row r="223" spans="1:82" ht="13" customHeight="1">
      <c r="X223" s="256"/>
    </row>
    <row r="224" spans="1:82" s="31" customFormat="1" ht="13" customHeight="1">
      <c r="A224" s="89"/>
      <c r="C224" s="31" t="str">
        <f>VLOOKUP(144,Textbausteine_203[],Hilfsgrössen!$D$2,FALSE)</f>
        <v>Consegna puntuale dei pacchi domestici al destinatario</v>
      </c>
      <c r="E224" s="39"/>
      <c r="F224" s="39"/>
      <c r="G224" s="46"/>
      <c r="H224" s="95"/>
      <c r="I224" s="95"/>
      <c r="J224" s="95"/>
      <c r="K224" s="95"/>
      <c r="L224" s="95"/>
      <c r="M224" s="95"/>
      <c r="N224" s="95"/>
      <c r="O224" s="95"/>
      <c r="P224" s="95"/>
      <c r="Q224" s="95"/>
      <c r="R224" s="95"/>
      <c r="S224" s="95"/>
      <c r="T224" s="116"/>
      <c r="U224" s="116"/>
      <c r="V224" s="116"/>
      <c r="W224" s="116"/>
      <c r="X224" s="255"/>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row>
    <row r="225" spans="1:82" ht="13" customHeight="1">
      <c r="C225" s="36" t="str">
        <f>VLOOKUP(145,Textbausteine_203[],Hilfsgrössen!$D$2,FALSE)</f>
        <v>PostPac PRIORITY</v>
      </c>
      <c r="D225" s="1" t="str">
        <f>VLOOKUP(12,Textbausteine_203[],Hilfsgrössen!$D$2,FALSE)</f>
        <v>%</v>
      </c>
      <c r="E225" s="37">
        <v>1</v>
      </c>
      <c r="H225" s="99">
        <v>95.8</v>
      </c>
      <c r="I225" s="99">
        <v>97.4</v>
      </c>
      <c r="J225" s="99">
        <v>97.3</v>
      </c>
      <c r="K225" s="99">
        <v>97.6</v>
      </c>
      <c r="L225" s="99">
        <v>98</v>
      </c>
      <c r="M225" s="99">
        <v>97.8</v>
      </c>
      <c r="N225" s="99">
        <v>97.7</v>
      </c>
      <c r="O225" s="99">
        <v>97.4</v>
      </c>
      <c r="P225" s="99">
        <v>97.7</v>
      </c>
      <c r="Q225" s="99">
        <v>97.3</v>
      </c>
      <c r="R225" s="99">
        <v>97.4</v>
      </c>
      <c r="S225" s="99">
        <v>97.5</v>
      </c>
      <c r="T225" s="20">
        <v>98.1</v>
      </c>
      <c r="U225" s="20">
        <v>96</v>
      </c>
      <c r="V225" s="20">
        <v>97.2</v>
      </c>
      <c r="W225" s="20">
        <v>95.3</v>
      </c>
      <c r="X225" s="256">
        <v>95.4</v>
      </c>
    </row>
    <row r="226" spans="1:82" ht="13" customHeight="1">
      <c r="C226" s="36" t="str">
        <f>VLOOKUP(146,Textbausteine_203[],Hilfsgrössen!$D$2,FALSE)</f>
        <v>PostPac ECONOMY</v>
      </c>
      <c r="D226" s="1" t="str">
        <f>VLOOKUP(12,Textbausteine_203[],Hilfsgrössen!$D$2,FALSE)</f>
        <v>%</v>
      </c>
      <c r="E226" s="37">
        <v>1</v>
      </c>
      <c r="H226" s="99">
        <v>97.7</v>
      </c>
      <c r="I226" s="99">
        <v>97.7</v>
      </c>
      <c r="J226" s="99">
        <v>97.6</v>
      </c>
      <c r="K226" s="99">
        <v>97.5</v>
      </c>
      <c r="L226" s="99">
        <v>98.7</v>
      </c>
      <c r="M226" s="99">
        <v>98.1</v>
      </c>
      <c r="N226" s="99">
        <v>97.5</v>
      </c>
      <c r="O226" s="99">
        <v>97.7</v>
      </c>
      <c r="P226" s="99">
        <v>97.9</v>
      </c>
      <c r="Q226" s="99">
        <v>97.7</v>
      </c>
      <c r="R226" s="99">
        <v>97.5</v>
      </c>
      <c r="S226" s="99">
        <v>97.5</v>
      </c>
      <c r="T226" s="20">
        <v>97.2</v>
      </c>
      <c r="U226" s="20">
        <v>97.5</v>
      </c>
      <c r="V226" s="20">
        <v>97.7</v>
      </c>
      <c r="W226" s="20">
        <v>95.9</v>
      </c>
      <c r="X226" s="256">
        <v>95.5</v>
      </c>
    </row>
    <row r="228" spans="1:82" s="322" customFormat="1" ht="13" customHeight="1">
      <c r="A228" s="321"/>
      <c r="B228" s="322" t="str">
        <f>VLOOKUP(231,Textbausteine_203[],Hilfsgrössen!$D$2,FALSE)</f>
        <v>1) Gli invii giungono al destinatario puntualmente quando vengono recapitati il giorno successivo nel caso della Posta A (Priority) o entro il terzo giorno lavorativo successivo all'impostazione nel caso della Posta B (Economy).</v>
      </c>
      <c r="E228" s="321"/>
      <c r="F228" s="321"/>
      <c r="G228" s="323"/>
      <c r="H228" s="324"/>
      <c r="I228" s="324"/>
      <c r="J228" s="324"/>
      <c r="K228" s="324"/>
      <c r="L228" s="324"/>
      <c r="M228" s="324"/>
      <c r="N228" s="324"/>
      <c r="O228" s="324"/>
      <c r="P228" s="324"/>
      <c r="Q228" s="324"/>
      <c r="R228" s="324"/>
      <c r="S228" s="324"/>
      <c r="T228" s="325"/>
      <c r="U228" s="325"/>
      <c r="V228" s="325"/>
      <c r="W228" s="325"/>
      <c r="X228" s="325"/>
      <c r="Y228" s="321"/>
      <c r="Z228" s="321"/>
      <c r="AA228" s="321"/>
      <c r="AB228" s="321"/>
      <c r="AC228" s="321"/>
      <c r="AD228" s="321"/>
      <c r="AE228" s="321"/>
      <c r="AF228" s="321"/>
      <c r="AG228" s="321"/>
      <c r="AH228" s="321"/>
      <c r="AI228" s="321"/>
      <c r="AJ228" s="321"/>
      <c r="AK228" s="321"/>
      <c r="AL228" s="321"/>
      <c r="AM228" s="321"/>
      <c r="AN228" s="321"/>
      <c r="AO228" s="321"/>
      <c r="AP228" s="321"/>
      <c r="AQ228" s="321"/>
      <c r="AR228" s="321"/>
      <c r="AS228" s="321"/>
      <c r="AT228" s="321"/>
      <c r="AU228" s="321"/>
      <c r="AV228" s="321"/>
      <c r="AW228" s="321"/>
      <c r="AX228" s="321"/>
      <c r="AY228" s="321"/>
      <c r="AZ228" s="321"/>
      <c r="BA228" s="321"/>
      <c r="BB228" s="321"/>
      <c r="BC228" s="321"/>
      <c r="BD228" s="321"/>
      <c r="BE228" s="321"/>
      <c r="BF228" s="321"/>
      <c r="BG228" s="321"/>
      <c r="BH228" s="321"/>
      <c r="BI228" s="321"/>
      <c r="BJ228" s="321"/>
      <c r="BK228" s="321"/>
      <c r="BL228" s="321"/>
      <c r="BM228" s="321"/>
      <c r="BN228" s="321"/>
      <c r="BO228" s="321"/>
      <c r="BP228" s="321"/>
      <c r="BQ228" s="321"/>
      <c r="BR228" s="321"/>
      <c r="BS228" s="321"/>
      <c r="BT228" s="321"/>
      <c r="BU228" s="321"/>
      <c r="BV228" s="321"/>
      <c r="BW228" s="321"/>
      <c r="BX228" s="321"/>
      <c r="BY228" s="321"/>
      <c r="BZ228" s="321"/>
      <c r="CA228" s="321"/>
      <c r="CB228" s="321"/>
      <c r="CC228" s="321"/>
      <c r="CD228" s="321"/>
    </row>
    <row r="231" spans="1:82" s="31" customFormat="1" ht="13" customHeight="1">
      <c r="A231" s="56" t="s">
        <v>27</v>
      </c>
      <c r="B231" s="495" t="str">
        <f>$C$12</f>
        <v>Tempi di attesa nelle filiali</v>
      </c>
      <c r="C231" s="495"/>
      <c r="D231" s="6" t="str">
        <f>VLOOKUP(32,Textbausteine_Menu[],Hilfsgrössen!$D$2,FALSE)</f>
        <v>Unità</v>
      </c>
      <c r="E231" s="39" t="str">
        <f>VLOOKUP(33,Textbausteine_Menu[],Hilfsgrössen!$D$2,FALSE)</f>
        <v>Note</v>
      </c>
      <c r="F231" s="39" t="str">
        <f>VLOOKUP(34,Textbausteine_Menu[],Hilfsgrössen!$D$2,FALSE)</f>
        <v>GRI</v>
      </c>
      <c r="G231" s="53"/>
      <c r="H231" s="116">
        <v>2004</v>
      </c>
      <c r="I231" s="116">
        <v>2005</v>
      </c>
      <c r="J231" s="116">
        <v>2006</v>
      </c>
      <c r="K231" s="116">
        <v>2007</v>
      </c>
      <c r="L231" s="116">
        <v>2008</v>
      </c>
      <c r="M231" s="116">
        <v>2009</v>
      </c>
      <c r="N231" s="116">
        <v>2010</v>
      </c>
      <c r="O231" s="116">
        <v>2011</v>
      </c>
      <c r="P231" s="116">
        <v>2012</v>
      </c>
      <c r="Q231" s="116">
        <v>2013</v>
      </c>
      <c r="R231" s="116">
        <v>2014</v>
      </c>
      <c r="S231" s="116">
        <v>2015</v>
      </c>
      <c r="T231" s="116">
        <v>2016</v>
      </c>
      <c r="U231" s="116">
        <v>2017</v>
      </c>
      <c r="V231" s="116">
        <v>2018</v>
      </c>
      <c r="W231" s="116">
        <v>2019</v>
      </c>
      <c r="X231" s="255">
        <v>2020</v>
      </c>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row>
    <row r="232" spans="1:82" s="31" customFormat="1" ht="13" customHeight="1">
      <c r="A232" s="55"/>
      <c r="B232" s="495"/>
      <c r="C232" s="495"/>
      <c r="D232" s="6"/>
      <c r="E232" s="37"/>
      <c r="F232" s="37"/>
      <c r="G232" s="47"/>
      <c r="H232" s="116"/>
      <c r="I232" s="116"/>
      <c r="J232" s="116"/>
      <c r="K232" s="116"/>
      <c r="L232" s="105"/>
      <c r="M232" s="105"/>
      <c r="N232" s="106"/>
      <c r="O232" s="106"/>
      <c r="P232" s="106"/>
      <c r="Q232" s="106"/>
      <c r="R232" s="106"/>
      <c r="S232" s="106"/>
      <c r="T232" s="20"/>
      <c r="U232" s="20"/>
      <c r="V232" s="20"/>
      <c r="W232" s="20"/>
      <c r="X232" s="256"/>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row>
    <row r="233" spans="1:82" ht="13" customHeight="1">
      <c r="A233" s="65"/>
      <c r="B233" s="8"/>
      <c r="C233" s="9"/>
      <c r="D233" s="9"/>
      <c r="E233" s="40"/>
      <c r="F233" s="40"/>
      <c r="H233" s="116"/>
      <c r="I233" s="116"/>
      <c r="J233" s="116"/>
      <c r="K233" s="116"/>
      <c r="L233" s="105"/>
      <c r="M233" s="105"/>
      <c r="N233" s="106"/>
      <c r="O233" s="106"/>
      <c r="P233" s="106"/>
      <c r="Q233" s="106"/>
      <c r="R233" s="106"/>
      <c r="S233" s="106"/>
      <c r="X233" s="256"/>
    </row>
    <row r="234" spans="1:82" ht="13" customHeight="1">
      <c r="A234" s="65"/>
      <c r="B234" s="8" t="str">
        <f>VLOOKUP(37,Textbausteine_Menu[],Hilfsgrössen!$D$2,FALSE)</f>
        <v>Gruppo Svizzera</v>
      </c>
      <c r="C234" s="9"/>
      <c r="D234" s="9"/>
      <c r="E234" s="40"/>
      <c r="F234" s="40"/>
      <c r="H234" s="116"/>
      <c r="I234" s="116"/>
      <c r="J234" s="116"/>
      <c r="K234" s="116"/>
      <c r="L234" s="105"/>
      <c r="M234" s="105"/>
      <c r="N234" s="106"/>
      <c r="O234" s="106"/>
      <c r="P234" s="106"/>
      <c r="Q234" s="106"/>
      <c r="R234" s="106"/>
      <c r="S234" s="106"/>
      <c r="X234" s="256"/>
    </row>
    <row r="235" spans="1:82" s="31" customFormat="1" ht="13" customHeight="1">
      <c r="A235" s="89"/>
      <c r="C235" s="31" t="str">
        <f>VLOOKUP(151,Textbausteine_203[],Hilfsgrössen!$D$2,FALSE)</f>
        <v>Tempi di attesa allo sportello prima di essere serviti</v>
      </c>
      <c r="E235" s="39"/>
      <c r="F235" s="39"/>
      <c r="G235" s="46"/>
      <c r="H235" s="95"/>
      <c r="I235" s="95"/>
      <c r="J235" s="95"/>
      <c r="K235" s="95"/>
      <c r="L235" s="95"/>
      <c r="M235" s="95"/>
      <c r="N235" s="95"/>
      <c r="O235" s="95"/>
      <c r="P235" s="95"/>
      <c r="Q235" s="95"/>
      <c r="R235" s="95"/>
      <c r="S235" s="95"/>
      <c r="T235" s="116"/>
      <c r="U235" s="116"/>
      <c r="V235" s="116"/>
      <c r="W235" s="116"/>
      <c r="X235" s="255"/>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row>
    <row r="236" spans="1:82" ht="13" customHeight="1">
      <c r="C236" s="36" t="str">
        <f>VLOOKUP(152,Textbausteine_203[],Hilfsgrössen!$D$2,FALSE)</f>
        <v>Percentuale dei clienti che attendono fino a 7 minuti</v>
      </c>
      <c r="D236" s="1" t="str">
        <f>VLOOKUP(12,Textbausteine_203[],Hilfsgrössen!$D$2,FALSE)</f>
        <v>%</v>
      </c>
      <c r="E236" s="37">
        <v>1</v>
      </c>
      <c r="H236" s="99" t="s">
        <v>30</v>
      </c>
      <c r="I236" s="99">
        <v>95.7</v>
      </c>
      <c r="J236" s="99">
        <v>95.7</v>
      </c>
      <c r="K236" s="99">
        <v>95</v>
      </c>
      <c r="L236" s="99">
        <v>94.3</v>
      </c>
      <c r="M236" s="99">
        <v>95.399999999999991</v>
      </c>
      <c r="N236" s="99">
        <v>95.8</v>
      </c>
      <c r="O236" s="99">
        <v>95.7</v>
      </c>
      <c r="P236" s="99">
        <v>95</v>
      </c>
      <c r="Q236" s="99">
        <v>94.6</v>
      </c>
      <c r="R236" s="99">
        <v>94.899999999999991</v>
      </c>
      <c r="S236" s="99">
        <v>94.899999999999991</v>
      </c>
      <c r="T236" s="20">
        <v>95.807900000000004</v>
      </c>
      <c r="U236" s="20">
        <v>94.94</v>
      </c>
      <c r="V236" s="20">
        <v>94.74</v>
      </c>
      <c r="W236" s="20">
        <v>94.3</v>
      </c>
      <c r="X236" s="256">
        <v>92.6</v>
      </c>
    </row>
    <row r="237" spans="1:82" ht="13" customHeight="1">
      <c r="C237" s="36" t="str">
        <f>VLOOKUP(153,Textbausteine_203[],Hilfsgrössen!$D$2,FALSE)</f>
        <v>Percentuale dei clienti che attendono fino a 10 minuti</v>
      </c>
      <c r="D237" s="1" t="str">
        <f>VLOOKUP(12,Textbausteine_203[],Hilfsgrössen!$D$2,FALSE)</f>
        <v>%</v>
      </c>
      <c r="E237" s="37">
        <v>1</v>
      </c>
      <c r="H237" s="99" t="s">
        <v>30</v>
      </c>
      <c r="I237" s="99">
        <v>98.6</v>
      </c>
      <c r="J237" s="99">
        <v>98.8</v>
      </c>
      <c r="K237" s="99">
        <v>98.5</v>
      </c>
      <c r="L237" s="99">
        <v>98.2</v>
      </c>
      <c r="M237" s="99">
        <v>98.6</v>
      </c>
      <c r="N237" s="99">
        <v>98.7</v>
      </c>
      <c r="O237" s="99">
        <v>98.6</v>
      </c>
      <c r="P237" s="99">
        <v>98.3</v>
      </c>
      <c r="Q237" s="99">
        <v>98</v>
      </c>
      <c r="R237" s="99">
        <v>98.2</v>
      </c>
      <c r="S237" s="99">
        <v>98.2</v>
      </c>
      <c r="T237" s="20">
        <v>98.550000000000011</v>
      </c>
      <c r="U237" s="20">
        <v>98.13</v>
      </c>
      <c r="V237" s="20">
        <v>98.11</v>
      </c>
      <c r="W237" s="20">
        <v>98</v>
      </c>
      <c r="X237" s="256">
        <v>97</v>
      </c>
    </row>
    <row r="239" spans="1:82" s="322" customFormat="1" ht="13" customHeight="1">
      <c r="A239" s="321"/>
      <c r="B239" s="322" t="str">
        <f>VLOOKUP(241,Textbausteine_203[],Hilfsgrössen!$D$2,FALSE)</f>
        <v>1) I tempi di attesa sono rilevati dall'unità RetePostale in 290 filiali con l'ausilio del sistema ticket.</v>
      </c>
      <c r="E239" s="321"/>
      <c r="F239" s="321"/>
      <c r="G239" s="323"/>
      <c r="H239" s="324"/>
      <c r="I239" s="324"/>
      <c r="J239" s="324"/>
      <c r="K239" s="324"/>
      <c r="L239" s="324"/>
      <c r="M239" s="324"/>
      <c r="N239" s="324"/>
      <c r="O239" s="324"/>
      <c r="P239" s="324"/>
      <c r="Q239" s="324"/>
      <c r="R239" s="324"/>
      <c r="S239" s="324"/>
      <c r="T239" s="325"/>
      <c r="U239" s="325"/>
      <c r="V239" s="325"/>
      <c r="W239" s="325"/>
      <c r="X239" s="325"/>
      <c r="Y239" s="321"/>
      <c r="Z239" s="321"/>
      <c r="AA239" s="321"/>
      <c r="AB239" s="321"/>
      <c r="AC239" s="321"/>
      <c r="AD239" s="321"/>
      <c r="AE239" s="321"/>
      <c r="AF239" s="321"/>
      <c r="AG239" s="321"/>
      <c r="AH239" s="321"/>
      <c r="AI239" s="321"/>
      <c r="AJ239" s="321"/>
      <c r="AK239" s="321"/>
      <c r="AL239" s="321"/>
      <c r="AM239" s="321"/>
      <c r="AN239" s="321"/>
      <c r="AO239" s="321"/>
      <c r="AP239" s="321"/>
      <c r="AQ239" s="321"/>
      <c r="AR239" s="321"/>
      <c r="AS239" s="321"/>
      <c r="AT239" s="321"/>
      <c r="AU239" s="321"/>
      <c r="AV239" s="321"/>
      <c r="AW239" s="321"/>
      <c r="AX239" s="321"/>
      <c r="AY239" s="321"/>
      <c r="AZ239" s="321"/>
      <c r="BA239" s="321"/>
      <c r="BB239" s="321"/>
      <c r="BC239" s="321"/>
      <c r="BD239" s="321"/>
      <c r="BE239" s="321"/>
      <c r="BF239" s="321"/>
      <c r="BG239" s="321"/>
      <c r="BH239" s="321"/>
      <c r="BI239" s="321"/>
      <c r="BJ239" s="321"/>
      <c r="BK239" s="321"/>
      <c r="BL239" s="321"/>
      <c r="BM239" s="321"/>
      <c r="BN239" s="321"/>
      <c r="BO239" s="321"/>
      <c r="BP239" s="321"/>
      <c r="BQ239" s="321"/>
      <c r="BR239" s="321"/>
      <c r="BS239" s="321"/>
      <c r="BT239" s="321"/>
      <c r="BU239" s="321"/>
      <c r="BV239" s="321"/>
      <c r="BW239" s="321"/>
      <c r="BX239" s="321"/>
      <c r="BY239" s="321"/>
      <c r="BZ239" s="321"/>
      <c r="CA239" s="321"/>
      <c r="CB239" s="321"/>
      <c r="CC239" s="321"/>
      <c r="CD239" s="321"/>
    </row>
    <row r="242" spans="1:82" s="31" customFormat="1" ht="15">
      <c r="A242" s="56" t="s">
        <v>27</v>
      </c>
      <c r="B242" s="495" t="str">
        <f>$C$13</f>
        <v>Tempi di trattamento dei servizi finanziari</v>
      </c>
      <c r="C242" s="495"/>
      <c r="D242" s="6" t="str">
        <f>VLOOKUP(32,Textbausteine_Menu[],Hilfsgrössen!$D$2,FALSE)</f>
        <v>Unità</v>
      </c>
      <c r="E242" s="39" t="str">
        <f>VLOOKUP(33,Textbausteine_Menu[],Hilfsgrössen!$D$2,FALSE)</f>
        <v>Note</v>
      </c>
      <c r="F242" s="39" t="str">
        <f>VLOOKUP(34,Textbausteine_Menu[],Hilfsgrössen!$D$2,FALSE)</f>
        <v>GRI</v>
      </c>
      <c r="G242" s="53"/>
      <c r="H242" s="116">
        <v>2004</v>
      </c>
      <c r="I242" s="116">
        <v>2005</v>
      </c>
      <c r="J242" s="116">
        <v>2006</v>
      </c>
      <c r="K242" s="116">
        <v>2007</v>
      </c>
      <c r="L242" s="116">
        <v>2008</v>
      </c>
      <c r="M242" s="116">
        <v>2009</v>
      </c>
      <c r="N242" s="116">
        <v>2010</v>
      </c>
      <c r="O242" s="116">
        <v>2011</v>
      </c>
      <c r="P242" s="116">
        <v>2012</v>
      </c>
      <c r="Q242" s="116">
        <v>2013</v>
      </c>
      <c r="R242" s="116">
        <v>2014</v>
      </c>
      <c r="S242" s="116">
        <v>2015</v>
      </c>
      <c r="T242" s="116">
        <v>2016</v>
      </c>
      <c r="U242" s="116">
        <v>2017</v>
      </c>
      <c r="V242" s="116">
        <v>2018</v>
      </c>
      <c r="W242" s="116" t="s">
        <v>38</v>
      </c>
      <c r="X242" s="255">
        <v>2020</v>
      </c>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row>
    <row r="243" spans="1:82" s="31" customFormat="1" ht="13" customHeight="1">
      <c r="A243" s="55"/>
      <c r="B243" s="495"/>
      <c r="C243" s="495"/>
      <c r="D243" s="6"/>
      <c r="E243" s="37"/>
      <c r="F243" s="37"/>
      <c r="G243" s="47"/>
      <c r="H243" s="116"/>
      <c r="I243" s="116"/>
      <c r="J243" s="116"/>
      <c r="K243" s="116"/>
      <c r="L243" s="105"/>
      <c r="M243" s="105"/>
      <c r="N243" s="106"/>
      <c r="O243" s="106"/>
      <c r="P243" s="106"/>
      <c r="Q243" s="106"/>
      <c r="R243" s="106"/>
      <c r="S243" s="106"/>
      <c r="T243" s="20"/>
      <c r="U243" s="20"/>
      <c r="V243" s="20"/>
      <c r="W243" s="20"/>
      <c r="X243" s="256"/>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row>
    <row r="244" spans="1:82" ht="13" customHeight="1">
      <c r="A244" s="65"/>
      <c r="B244" s="8"/>
      <c r="C244" s="9"/>
      <c r="D244" s="9"/>
      <c r="E244" s="40"/>
      <c r="F244" s="40"/>
      <c r="H244" s="116"/>
      <c r="I244" s="116"/>
      <c r="J244" s="116"/>
      <c r="K244" s="116"/>
      <c r="L244" s="105"/>
      <c r="M244" s="105"/>
      <c r="N244" s="106"/>
      <c r="O244" s="106"/>
      <c r="P244" s="106"/>
      <c r="Q244" s="106"/>
      <c r="R244" s="106"/>
      <c r="S244" s="106"/>
      <c r="X244" s="256"/>
    </row>
    <row r="245" spans="1:82" ht="13" customHeight="1">
      <c r="A245" s="65"/>
      <c r="B245" s="8" t="str">
        <f>VLOOKUP(37,Textbausteine_Menu[],Hilfsgrössen!$D$2,FALSE)</f>
        <v>Gruppo Svizzera</v>
      </c>
      <c r="C245" s="9"/>
      <c r="D245" s="9"/>
      <c r="E245" s="40"/>
      <c r="F245" s="40"/>
      <c r="H245" s="116"/>
      <c r="I245" s="116"/>
      <c r="J245" s="116"/>
      <c r="K245" s="116"/>
      <c r="L245" s="105"/>
      <c r="M245" s="105"/>
      <c r="N245" s="106"/>
      <c r="O245" s="106"/>
      <c r="P245" s="106"/>
      <c r="Q245" s="106"/>
      <c r="R245" s="106"/>
      <c r="S245" s="106"/>
      <c r="X245" s="256"/>
    </row>
    <row r="246" spans="1:82" ht="13" customHeight="1">
      <c r="C246" s="1" t="str">
        <f>VLOOKUP(161,Textbausteine_203[],Hilfsgrössen!$D$2,FALSE)</f>
        <v>Trattamento puntuale di ricevute di pagamento di filiali</v>
      </c>
      <c r="D246" s="1" t="str">
        <f>VLOOKUP(12,Textbausteine_203[],Hilfsgrössen!$D$2,FALSE)</f>
        <v>%</v>
      </c>
      <c r="E246" s="37">
        <v>1</v>
      </c>
      <c r="H246" s="99" t="s">
        <v>30</v>
      </c>
      <c r="I246" s="99">
        <v>99.7</v>
      </c>
      <c r="J246" s="99">
        <v>99.9</v>
      </c>
      <c r="K246" s="99">
        <v>99.99</v>
      </c>
      <c r="L246" s="99">
        <v>99.99</v>
      </c>
      <c r="M246" s="99">
        <v>99.66</v>
      </c>
      <c r="N246" s="99">
        <v>99.99</v>
      </c>
      <c r="O246" s="99">
        <v>99.3</v>
      </c>
      <c r="P246" s="99">
        <v>99.99</v>
      </c>
      <c r="Q246" s="99">
        <v>100</v>
      </c>
      <c r="R246" s="99">
        <v>99.11</v>
      </c>
      <c r="S246" s="99">
        <v>99.87</v>
      </c>
      <c r="T246" s="20">
        <v>100</v>
      </c>
      <c r="U246" s="20">
        <v>99.57</v>
      </c>
      <c r="V246" s="20" t="s">
        <v>30</v>
      </c>
      <c r="W246" s="20" t="s">
        <v>30</v>
      </c>
      <c r="X246" s="256" t="s">
        <v>30</v>
      </c>
    </row>
    <row r="247" spans="1:82" ht="13" customHeight="1">
      <c r="C247" s="1" t="str">
        <f>VLOOKUP(162,Textbausteine_203[],Hilfsgrössen!$D$2,FALSE)</f>
        <v>Trattamento puntuale di ricevute di ordini di pagamento</v>
      </c>
      <c r="D247" s="1" t="str">
        <f>VLOOKUP(12,Textbausteine_203[],Hilfsgrössen!$D$2,FALSE)</f>
        <v>%</v>
      </c>
      <c r="E247" s="37">
        <v>1</v>
      </c>
      <c r="H247" s="99" t="s">
        <v>30</v>
      </c>
      <c r="I247" s="99">
        <v>98.2</v>
      </c>
      <c r="J247" s="99">
        <v>100</v>
      </c>
      <c r="K247" s="99">
        <v>99.66</v>
      </c>
      <c r="L247" s="99">
        <v>99.99</v>
      </c>
      <c r="M247" s="99">
        <v>99.81</v>
      </c>
      <c r="N247" s="99">
        <v>99.98</v>
      </c>
      <c r="O247" s="99">
        <v>98.8</v>
      </c>
      <c r="P247" s="99">
        <v>99.9</v>
      </c>
      <c r="Q247" s="99">
        <v>99.99</v>
      </c>
      <c r="R247" s="99">
        <v>99.66</v>
      </c>
      <c r="S247" s="99">
        <v>99.89</v>
      </c>
      <c r="T247" s="20">
        <v>99.94</v>
      </c>
      <c r="U247" s="20">
        <v>99.89</v>
      </c>
      <c r="V247" s="20" t="s">
        <v>30</v>
      </c>
      <c r="W247" s="20" t="s">
        <v>30</v>
      </c>
      <c r="X247" s="256" t="s">
        <v>30</v>
      </c>
    </row>
    <row r="248" spans="1:82" ht="13" customHeight="1">
      <c r="C248" s="1" t="str">
        <f>VLOOKUP(163,Textbausteine_203[],Hilfsgrössen!$D$2,FALSE)</f>
        <v>Trattamento puntuale di ricevute di pagamento di filiali (SCHAPO)</v>
      </c>
      <c r="D248" s="1" t="str">
        <f>VLOOKUP(12,Textbausteine_203[],Hilfsgrössen!$D$2,FALSE)</f>
        <v>%</v>
      </c>
      <c r="H248" s="99" t="s">
        <v>30</v>
      </c>
      <c r="I248" s="99" t="s">
        <v>30</v>
      </c>
      <c r="J248" s="99" t="s">
        <v>30</v>
      </c>
      <c r="K248" s="99" t="s">
        <v>30</v>
      </c>
      <c r="L248" s="99" t="s">
        <v>30</v>
      </c>
      <c r="M248" s="99" t="s">
        <v>30</v>
      </c>
      <c r="N248" s="99">
        <v>99.88</v>
      </c>
      <c r="O248" s="99">
        <v>99.68</v>
      </c>
      <c r="P248" s="99">
        <v>99.75</v>
      </c>
      <c r="Q248" s="99">
        <v>99.66</v>
      </c>
      <c r="R248" s="99">
        <v>99.89</v>
      </c>
      <c r="S248" s="99">
        <v>99.86</v>
      </c>
      <c r="T248" s="20">
        <v>99.94</v>
      </c>
      <c r="U248" s="20">
        <v>99.97</v>
      </c>
      <c r="V248" s="20" t="s">
        <v>30</v>
      </c>
      <c r="W248" s="20" t="s">
        <v>30</v>
      </c>
      <c r="X248" s="256" t="s">
        <v>30</v>
      </c>
    </row>
    <row r="250" spans="1:82" s="21" customFormat="1" ht="13" customHeight="1">
      <c r="A250" s="315"/>
      <c r="B250" s="21" t="str">
        <f>VLOOKUP(251,Textbausteine_203[],Hilfsgrössen!$D$2,FALSE)</f>
        <v>1) Trattamento puntuale: gli ordini di pagamento scritti vengono elaborati lo stesso giorno in cui giungono per posta a un Operations Center di PostFinance. I pagamenti effettuati a una filiale vengono elaborati il giorno lavorativo consecutivo al versamento alla filiale.</v>
      </c>
      <c r="E250" s="318"/>
      <c r="F250" s="318"/>
      <c r="G250" s="326"/>
      <c r="H250" s="316"/>
      <c r="I250" s="316"/>
      <c r="J250" s="316"/>
      <c r="K250" s="316"/>
      <c r="L250" s="316"/>
      <c r="M250" s="316"/>
      <c r="N250" s="316"/>
      <c r="O250" s="316"/>
      <c r="P250" s="316"/>
      <c r="Q250" s="316"/>
      <c r="R250" s="316"/>
      <c r="S250" s="316"/>
      <c r="T250" s="319"/>
      <c r="U250" s="319"/>
      <c r="V250" s="319"/>
      <c r="W250" s="319"/>
      <c r="X250" s="319"/>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8"/>
      <c r="AY250" s="318"/>
      <c r="AZ250" s="318"/>
      <c r="BA250" s="318"/>
      <c r="BB250" s="318"/>
      <c r="BC250" s="318"/>
      <c r="BD250" s="318"/>
      <c r="BE250" s="318"/>
      <c r="BF250" s="318"/>
      <c r="BG250" s="318"/>
      <c r="BH250" s="318"/>
      <c r="BI250" s="318"/>
      <c r="BJ250" s="318"/>
      <c r="BK250" s="318"/>
      <c r="BL250" s="318"/>
      <c r="BM250" s="318"/>
      <c r="BN250" s="318"/>
      <c r="BO250" s="318"/>
      <c r="BP250" s="318"/>
      <c r="BQ250" s="318"/>
      <c r="BR250" s="318"/>
      <c r="BS250" s="318"/>
      <c r="BT250" s="318"/>
      <c r="BU250" s="318"/>
      <c r="BV250" s="318"/>
      <c r="BW250" s="318"/>
      <c r="BX250" s="318"/>
      <c r="BY250" s="318"/>
      <c r="BZ250" s="318"/>
      <c r="CA250" s="318"/>
      <c r="CB250" s="318"/>
      <c r="CC250" s="318"/>
      <c r="CD250" s="318"/>
    </row>
    <row r="251" spans="1:82" ht="13" customHeight="1">
      <c r="B251" s="21" t="str">
        <f>VLOOKUP(252,Textbausteine_203[],Hilfsgrössen!$D$2,FALSE)</f>
        <v>2) Nel 2018 il rilevamento circa il trattamento puntuale di giustificativi di pagamento è stato sospeso.</v>
      </c>
    </row>
  </sheetData>
  <sheetProtection algorithmName="SHA-512" hashValue="hMW4/A5RXpsUkp5SIbpbmIHXGkKXoV8NnKiWbsYdxpjlET2L5VZDDXcRNZ5hYnqKOyR8nvQGQMJsZNtO/EHoMw==" saltValue="Kv1QDXVisKnJMdDC6J3xgw==" spinCount="100000" sheet="1" objects="1" scenarios="1"/>
  <mergeCells count="10">
    <mergeCell ref="B231:C232"/>
    <mergeCell ref="B242:C243"/>
    <mergeCell ref="B2:C2"/>
    <mergeCell ref="B3:C3"/>
    <mergeCell ref="B16:C17"/>
    <mergeCell ref="D2:E2"/>
    <mergeCell ref="B39:C40"/>
    <mergeCell ref="B58:C59"/>
    <mergeCell ref="B139:C140"/>
    <mergeCell ref="B216:C217"/>
  </mergeCells>
  <conditionalFormatting sqref="H16:CD19 H27:CD28 Y20:CD26 Y29:CD34 H35:CD45 H52:CD62 Y51:CD51 H49:CD50 H46:H48 Y46:CD48 Y63:CD89 H91:CD143 H144:K144 Y144:CD144 Y146:CD146 H146:K146 Y155:CD155 H155:K155 Y158:CD158 H158:K158 H159:CD163 H165:CD165 Y164:CD164 H169:CD171 H173:CD173 H178:K186 H176:CD177 Y178:CD186 Y188:CD188 H188:K188 H193:CD197 H199:CD199 H201:CD201 H210:CD9999 W90:CD90">
    <cfRule type="expression" dxfId="130" priority="66">
      <formula>AND($D16&lt;&gt;"",H$16&lt;&gt;"",H16="")</formula>
    </cfRule>
    <cfRule type="expression" dxfId="129" priority="145">
      <formula>AND($A16="",ABS(H16)=0)</formula>
    </cfRule>
    <cfRule type="expression" dxfId="128" priority="148">
      <formula>AND($A16="",ABS(H16)&lt;10)</formula>
    </cfRule>
    <cfRule type="expression" dxfId="127" priority="172">
      <formula>AND($A16="",ABS(H16)&lt;100)</formula>
    </cfRule>
    <cfRule type="expression" dxfId="126" priority="182">
      <formula>AND($A16="",ABS(H16)&gt;=100)</formula>
    </cfRule>
  </conditionalFormatting>
  <conditionalFormatting sqref="Y147:CD147 Y156:CD156 Y174:CD174 Y189:CD189 Y200:CD200 Y202:CD202">
    <cfRule type="expression" dxfId="125" priority="227">
      <formula>AND($D145&lt;&gt;"",Y$16&lt;&gt;"",Y147="")</formula>
    </cfRule>
    <cfRule type="expression" dxfId="124" priority="228">
      <formula>AND($A147="",ABS(Y147)=0)</formula>
    </cfRule>
    <cfRule type="expression" dxfId="123" priority="229">
      <formula>AND($A147="",ABS(Y147)&lt;10)</formula>
    </cfRule>
    <cfRule type="expression" dxfId="122" priority="230">
      <formula>AND($A147="",ABS(Y147)&lt;100)</formula>
    </cfRule>
    <cfRule type="expression" dxfId="121" priority="231">
      <formula>AND($A147="",ABS(Y147)&gt;=100)</formula>
    </cfRule>
  </conditionalFormatting>
  <conditionalFormatting sqref="Y145:CD145 Y166:CD166 Y187:CD187 Y198:CD198">
    <cfRule type="expression" dxfId="120" priority="232">
      <formula>AND(#REF!&lt;&gt;"",Y$16&lt;&gt;"",Y145="")</formula>
    </cfRule>
    <cfRule type="expression" dxfId="119" priority="233">
      <formula>AND($A145="",ABS(Y145)=0)</formula>
    </cfRule>
    <cfRule type="expression" dxfId="118" priority="234">
      <formula>AND($A145="",ABS(Y145)&lt;10)</formula>
    </cfRule>
    <cfRule type="expression" dxfId="117" priority="235">
      <formula>AND($A145="",ABS(Y145)&lt;100)</formula>
    </cfRule>
    <cfRule type="expression" dxfId="116" priority="236">
      <formula>AND($A145="",ABS(Y145)&gt;=100)</formula>
    </cfRule>
  </conditionalFormatting>
  <conditionalFormatting sqref="H145:K145 H154:K154 H172:X172 H187:K187 H198:X198 H200:X200">
    <cfRule type="expression" dxfId="115" priority="277">
      <formula>AND($D145&lt;&gt;"",H$16&lt;&gt;"",H145="")</formula>
    </cfRule>
    <cfRule type="expression" dxfId="114" priority="278">
      <formula>AND($A147="",ABS(H145)=0)</formula>
    </cfRule>
    <cfRule type="expression" dxfId="113" priority="279">
      <formula>AND($A147="",ABS(H145)&lt;10)</formula>
    </cfRule>
    <cfRule type="expression" dxfId="112" priority="280">
      <formula>AND($A147="",ABS(H145)&lt;100)</formula>
    </cfRule>
    <cfRule type="expression" dxfId="111" priority="281">
      <formula>AND($A147="",ABS(H145)&gt;=100)</formula>
    </cfRule>
  </conditionalFormatting>
  <conditionalFormatting sqref="Y153:CD153 Y157:CD157 Y175:CD175 Y148:CD151 Y167:CD168 Y190:CD192 Y203:CD209">
    <cfRule type="expression" dxfId="110" priority="287">
      <formula>AND($D147&lt;&gt;"",Y$16&lt;&gt;"",Y148="")</formula>
    </cfRule>
    <cfRule type="expression" dxfId="109" priority="288">
      <formula>AND($A148="",ABS(Y148)=0)</formula>
    </cfRule>
    <cfRule type="expression" dxfId="108" priority="289">
      <formula>AND($A148="",ABS(Y148)&lt;10)</formula>
    </cfRule>
    <cfRule type="expression" dxfId="107" priority="290">
      <formula>AND($A148="",ABS(Y148)&lt;100)</formula>
    </cfRule>
    <cfRule type="expression" dxfId="106" priority="291">
      <formula>AND($A148="",ABS(Y148)&gt;=100)</formula>
    </cfRule>
  </conditionalFormatting>
  <conditionalFormatting sqref="H152:K152 H156:K156 H174:X174 H208:N208 H147:K150 H166:X167 H189:K191 H202:X207">
    <cfRule type="expression" dxfId="105" priority="332">
      <formula>AND($D147&lt;&gt;"",H$16&lt;&gt;"",H147="")</formula>
    </cfRule>
    <cfRule type="expression" dxfId="104" priority="333">
      <formula>AND($A148="",ABS(H147)=0)</formula>
    </cfRule>
    <cfRule type="expression" dxfId="103" priority="334">
      <formula>AND($A148="",ABS(H147)&lt;10)</formula>
    </cfRule>
    <cfRule type="expression" dxfId="102" priority="335">
      <formula>AND($A148="",ABS(H147)&lt;100)</formula>
    </cfRule>
    <cfRule type="expression" dxfId="101" priority="336">
      <formula>AND($A148="",ABS(H147)&gt;=100)</formula>
    </cfRule>
  </conditionalFormatting>
  <conditionalFormatting sqref="Y154:CD154">
    <cfRule type="expression" dxfId="100" priority="342">
      <formula>AND($D151&lt;&gt;"",Y$16&lt;&gt;"",Y154="")</formula>
    </cfRule>
    <cfRule type="expression" dxfId="99" priority="343">
      <formula>AND($A154="",ABS(Y154)=0)</formula>
    </cfRule>
    <cfRule type="expression" dxfId="98" priority="344">
      <formula>AND($A154="",ABS(Y154)&lt;10)</formula>
    </cfRule>
    <cfRule type="expression" dxfId="97" priority="345">
      <formula>AND($A154="",ABS(Y154)&lt;100)</formula>
    </cfRule>
    <cfRule type="expression" dxfId="96" priority="346">
      <formula>AND($A154="",ABS(Y154)&gt;=100)</formula>
    </cfRule>
  </conditionalFormatting>
  <conditionalFormatting sqref="H151:K151">
    <cfRule type="expression" dxfId="95" priority="387">
      <formula>AND($D151&lt;&gt;"",H$16&lt;&gt;"",H151="")</formula>
    </cfRule>
    <cfRule type="expression" dxfId="94" priority="388">
      <formula>AND($A154="",ABS(H151)=0)</formula>
    </cfRule>
    <cfRule type="expression" dxfId="93" priority="389">
      <formula>AND($A154="",ABS(H151)&lt;10)</formula>
    </cfRule>
    <cfRule type="expression" dxfId="92" priority="390">
      <formula>AND($A154="",ABS(H151)&lt;100)</formula>
    </cfRule>
    <cfRule type="expression" dxfId="91" priority="391">
      <formula>AND($A154="",ABS(H151)&gt;=100)</formula>
    </cfRule>
  </conditionalFormatting>
  <conditionalFormatting sqref="Y152:CD152">
    <cfRule type="expression" dxfId="90" priority="517">
      <formula>AND($D153&lt;&gt;"",Y$16&lt;&gt;"",Y152="")</formula>
    </cfRule>
    <cfRule type="expression" dxfId="89" priority="518">
      <formula>AND($A152="",ABS(Y152)=0)</formula>
    </cfRule>
    <cfRule type="expression" dxfId="88" priority="519">
      <formula>AND($A152="",ABS(Y152)&lt;10)</formula>
    </cfRule>
    <cfRule type="expression" dxfId="87" priority="520">
      <formula>AND($A152="",ABS(Y152)&lt;100)</formula>
    </cfRule>
    <cfRule type="expression" dxfId="86" priority="521">
      <formula>AND($A152="",ABS(Y152)&gt;=100)</formula>
    </cfRule>
  </conditionalFormatting>
  <conditionalFormatting sqref="H153:K153">
    <cfRule type="expression" dxfId="85" priority="522">
      <formula>AND($D153&lt;&gt;"",H$16&lt;&gt;"",H153="")</formula>
    </cfRule>
    <cfRule type="expression" dxfId="84" priority="523">
      <formula>AND($A152="",ABS(H153)=0)</formula>
    </cfRule>
    <cfRule type="expression" dxfId="83" priority="524">
      <formula>AND($A152="",ABS(H153)&lt;10)</formula>
    </cfRule>
    <cfRule type="expression" dxfId="82" priority="525">
      <formula>AND($A152="",ABS(H153)&lt;100)</formula>
    </cfRule>
    <cfRule type="expression" dxfId="81" priority="526">
      <formula>AND($A152="",ABS(H153)&gt;=100)</formula>
    </cfRule>
  </conditionalFormatting>
  <conditionalFormatting sqref="H157:K157">
    <cfRule type="expression" dxfId="80" priority="562">
      <formula>AND($D157&lt;&gt;"",H$16&lt;&gt;"",H157="")</formula>
    </cfRule>
    <cfRule type="expression" dxfId="79" priority="563">
      <formula>AND(#REF!="",ABS(H157)=0)</formula>
    </cfRule>
    <cfRule type="expression" dxfId="78" priority="564">
      <formula>AND(#REF!="",ABS(H157)&lt;10)</formula>
    </cfRule>
    <cfRule type="expression" dxfId="77" priority="565">
      <formula>AND(#REF!="",ABS(H157)&lt;100)</formula>
    </cfRule>
    <cfRule type="expression" dxfId="76" priority="566">
      <formula>AND(#REF!="",ABS(H157)&gt;=100)</formula>
    </cfRule>
  </conditionalFormatting>
  <conditionalFormatting sqref="H164:X164">
    <cfRule type="expression" dxfId="75" priority="1">
      <formula>AND($D164&lt;&gt;"",H$16&lt;&gt;"",H164="")</formula>
    </cfRule>
    <cfRule type="expression" dxfId="74" priority="2">
      <formula>AND($A164="",ABS(H164)=0)</formula>
    </cfRule>
    <cfRule type="expression" dxfId="73" priority="3">
      <formula>AND($A164="",ABS(H164)&lt;10)</formula>
    </cfRule>
    <cfRule type="expression" dxfId="72" priority="4">
      <formula>AND($A164="",ABS(H164)&lt;100)</formula>
    </cfRule>
    <cfRule type="expression" dxfId="71" priority="5">
      <formula>AND($A164="",ABS(H164)&gt;=100)</formula>
    </cfRule>
  </conditionalFormatting>
  <conditionalFormatting sqref="H168:X168">
    <cfRule type="expression" dxfId="70" priority="602">
      <formula>AND($D168&lt;&gt;"",H$16&lt;&gt;"",H168="")</formula>
    </cfRule>
    <cfRule type="expression" dxfId="69" priority="603">
      <formula>AND($A172="",ABS(H168)=0)</formula>
    </cfRule>
    <cfRule type="expression" dxfId="68" priority="604">
      <formula>AND($A172="",ABS(H168)&lt;10)</formula>
    </cfRule>
    <cfRule type="expression" dxfId="67" priority="605">
      <formula>AND($A172="",ABS(H168)&lt;100)</formula>
    </cfRule>
    <cfRule type="expression" dxfId="66" priority="606">
      <formula>AND($A172="",ABS(H168)&gt;=100)</formula>
    </cfRule>
  </conditionalFormatting>
  <conditionalFormatting sqref="Y172:CD172">
    <cfRule type="expression" dxfId="65" priority="607">
      <formula>AND($D168&lt;&gt;"",Y$16&lt;&gt;"",Y172="")</formula>
    </cfRule>
    <cfRule type="expression" dxfId="64" priority="608">
      <formula>AND($A172="",ABS(Y172)=0)</formula>
    </cfRule>
    <cfRule type="expression" dxfId="63" priority="609">
      <formula>AND($A172="",ABS(Y172)&lt;10)</formula>
    </cfRule>
    <cfRule type="expression" dxfId="62" priority="610">
      <formula>AND($A172="",ABS(Y172)&lt;100)</formula>
    </cfRule>
    <cfRule type="expression" dxfId="61" priority="611">
      <formula>AND($A172="",ABS(Y172)&gt;=100)</formula>
    </cfRule>
  </conditionalFormatting>
  <conditionalFormatting sqref="H175:X175 H192:K192 H209:N209">
    <cfRule type="expression" dxfId="60" priority="657">
      <formula>AND($D175&lt;&gt;"",H$16&lt;&gt;"",H175="")</formula>
    </cfRule>
    <cfRule type="expression" dxfId="59" priority="658">
      <formula>AND(#REF!="",ABS(H175)=0)</formula>
    </cfRule>
    <cfRule type="expression" dxfId="58" priority="659">
      <formula>AND(#REF!="",ABS(H175)&lt;10)</formula>
    </cfRule>
    <cfRule type="expression" dxfId="57" priority="660">
      <formula>AND(#REF!="",ABS(H175)&lt;100)</formula>
    </cfRule>
    <cfRule type="expression" dxfId="56" priority="661">
      <formula>AND(#REF!="",ABS(H175)&gt;=100)</formula>
    </cfRule>
  </conditionalFormatting>
  <dataValidations count="2">
    <dataValidation type="list" allowBlank="1" showInputMessage="1" showErrorMessage="1" sqref="G2" xr:uid="{00000000-0002-0000-0400-000000000000}">
      <formula1>Sprache</formula1>
    </dataValidation>
    <dataValidation allowBlank="1" showInputMessage="1" showErrorMessage="1" sqref="F2" xr:uid="{00000000-0002-0000-0400-000001000000}"/>
  </dataValidations>
  <hyperlinks>
    <hyperlink ref="C7" location="GRI_203_2" display="GRI_203_2" xr:uid="{00000000-0004-0000-0400-000000000000}"/>
    <hyperlink ref="A16" location="GRI_203" display="Ó" xr:uid="{00000000-0004-0000-0400-000001000000}"/>
    <hyperlink ref="D2" location="Home" display="Home" xr:uid="{00000000-0004-0000-0400-000002000000}"/>
    <hyperlink ref="C8" location="GRI_203_2b" display="Poststellen" xr:uid="{00000000-0004-0000-0400-000003000000}"/>
    <hyperlink ref="C9" location="GRI_203_2c" display="Arbeitsplätze in den Regionen" xr:uid="{00000000-0004-0000-0400-000004000000}"/>
    <hyperlink ref="C10" location="GRI_203_2d" display="GRI_203_2d" xr:uid="{00000000-0004-0000-0400-000005000000}"/>
    <hyperlink ref="C11" location="GRI_203_2e" display="GRI_203_2e" xr:uid="{00000000-0004-0000-0400-000006000000}"/>
    <hyperlink ref="C12" location="GRI_203_2f" display="GRI_203_2f" xr:uid="{00000000-0004-0000-0400-000007000000}"/>
    <hyperlink ref="C13" location="GRI_203_2g" display="GRI_203_2g" xr:uid="{00000000-0004-0000-0400-000008000000}"/>
    <hyperlink ref="A39" location="GRI_203" display="Ó" xr:uid="{00000000-0004-0000-0400-000009000000}"/>
    <hyperlink ref="A58" location="GRI_203" display="Ó" xr:uid="{00000000-0004-0000-0400-00000A000000}"/>
    <hyperlink ref="A139" location="GRI_203" display="Ó" xr:uid="{00000000-0004-0000-0400-00000B000000}"/>
    <hyperlink ref="A216" location="GRI_203" display="Ó" xr:uid="{00000000-0004-0000-0400-00000C000000}"/>
    <hyperlink ref="A231" location="GRI_203" display="Ó" xr:uid="{00000000-0004-0000-0400-00000D000000}"/>
    <hyperlink ref="A242" location="GRI_203" display="Ó" xr:uid="{00000000-0004-0000-0400-00000E000000}"/>
  </hyperlinks>
  <pageMargins left="0.7" right="0.7" top="0.78740157499999996" bottom="0.78740157499999996" header="0.3" footer="0.3"/>
  <pageSetup paperSize="9" orientation="portrait" r:id="rId1"/>
  <ignoredErrors>
    <ignoredError sqref="E67:E88 E93:E119"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tabColor rgb="FF006D68"/>
  </sheetPr>
  <dimension ref="A2:CE126"/>
  <sheetViews>
    <sheetView showGridLines="0" showRowColHeaders="0" zoomScale="70" zoomScaleNormal="70" workbookViewId="0">
      <pane xSplit="7" topLeftCell="Q1" activePane="topRight" state="frozen"/>
      <selection activeCell="B73" sqref="B73"/>
      <selection pane="topRight"/>
    </sheetView>
  </sheetViews>
  <sheetFormatPr baseColWidth="10" defaultColWidth="10.796875" defaultRowHeight="13" customHeight="1"/>
  <cols>
    <col min="1" max="1" width="2.3984375" style="96" customWidth="1"/>
    <col min="2" max="2" width="2.3984375" style="100" customWidth="1"/>
    <col min="3" max="3" width="73.19921875" style="100" customWidth="1"/>
    <col min="4" max="4" width="23.59765625" style="100" customWidth="1"/>
    <col min="5" max="5" width="9.3984375" style="99" customWidth="1"/>
    <col min="6" max="6" width="14.19921875" style="99" customWidth="1"/>
    <col min="7" max="7" width="2.3984375" style="47" customWidth="1"/>
    <col min="8" max="13" width="11.796875" style="106" customWidth="1"/>
    <col min="14" max="19" width="11.796875" style="20" customWidth="1"/>
    <col min="20" max="83" width="11.796875" style="37" customWidth="1"/>
    <col min="84" max="16384" width="10.796875" style="100"/>
  </cols>
  <sheetData>
    <row r="2" spans="1:83" s="154" customFormat="1" ht="26" customHeight="1">
      <c r="A2" s="92"/>
      <c r="B2" s="498" t="str">
        <f>UPPER(RIGHT(Inhaltsverzeichnis!$C$21,LEN(Inhaltsverzeichnis!$C$21)-FIND(" – ",Inhaltsverzeichnis!$C$21,1)-2))</f>
        <v>ENERGIA</v>
      </c>
      <c r="C2" s="498"/>
      <c r="D2" s="489" t="str">
        <f>VLOOKUP(35,Textbausteine_Menu[],Hilfsgrössen!$D$2,FALSE)</f>
        <v>torna alla tabella dei contenuti</v>
      </c>
      <c r="E2" s="490"/>
      <c r="F2" s="144" t="s">
        <v>0</v>
      </c>
      <c r="G2" s="168"/>
      <c r="H2" s="135"/>
      <c r="I2" s="135"/>
      <c r="J2" s="135"/>
      <c r="K2" s="135"/>
      <c r="L2" s="135"/>
      <c r="M2" s="135"/>
      <c r="N2" s="115"/>
      <c r="O2" s="115"/>
      <c r="P2" s="115"/>
      <c r="Q2" s="115"/>
      <c r="R2" s="115"/>
      <c r="S2" s="115"/>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row>
    <row r="3" spans="1:83" s="155" customFormat="1" ht="26" customHeight="1">
      <c r="A3" s="92"/>
      <c r="B3" s="499" t="str">
        <f>UPPER("GRI "&amp;LEFT(Inhaltsverzeichnis!$C$21,3))</f>
        <v>GRI 302</v>
      </c>
      <c r="C3" s="499"/>
      <c r="D3" s="483"/>
      <c r="E3" s="194"/>
      <c r="F3" s="194"/>
      <c r="G3" s="45"/>
      <c r="H3" s="135"/>
      <c r="I3" s="135"/>
      <c r="J3" s="135"/>
      <c r="K3" s="135"/>
      <c r="L3" s="135"/>
      <c r="M3" s="135"/>
      <c r="N3" s="115"/>
      <c r="O3" s="115"/>
      <c r="P3" s="115"/>
      <c r="Q3" s="115"/>
      <c r="R3" s="115"/>
      <c r="S3" s="115"/>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row>
    <row r="6" spans="1:83" s="94" customFormat="1" ht="13" customHeight="1">
      <c r="A6" s="96"/>
      <c r="B6" s="94" t="str">
        <f>VLOOKUP(31,Textbausteine_Menu[],Hilfsgrössen!$D$2,FALSE)</f>
        <v>Divulgazioni</v>
      </c>
      <c r="E6" s="95"/>
      <c r="F6" s="95"/>
      <c r="G6" s="46"/>
      <c r="H6" s="106"/>
      <c r="I6" s="106"/>
      <c r="J6" s="106"/>
      <c r="K6" s="106"/>
      <c r="L6" s="106"/>
      <c r="M6" s="106"/>
      <c r="N6" s="20"/>
      <c r="O6" s="20"/>
      <c r="P6" s="20"/>
      <c r="Q6" s="20"/>
      <c r="R6" s="20"/>
      <c r="S6" s="20"/>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row>
    <row r="7" spans="1:83" ht="13" customHeight="1">
      <c r="B7" s="97"/>
      <c r="C7" s="197" t="str">
        <f>VLOOKUP(1,Textbausteine_302[],Hilfsgrössen!$D$2,FALSE)</f>
        <v>Consumo energetico all'interno e al di fuori dell'organizzazione</v>
      </c>
      <c r="D7" s="98"/>
    </row>
    <row r="8" spans="1:83" ht="13" customHeight="1">
      <c r="B8" s="97"/>
      <c r="C8" s="197" t="str">
        <f>VLOOKUP(2,Textbausteine_302[],Hilfsgrössen!$D$2,FALSE)</f>
        <v>Altre cifre sull'energia</v>
      </c>
      <c r="D8" s="98"/>
    </row>
    <row r="9" spans="1:83" ht="13" customHeight="1">
      <c r="B9" s="97"/>
    </row>
    <row r="10" spans="1:83" ht="13" customHeight="1">
      <c r="B10" s="97"/>
      <c r="E10" s="95"/>
      <c r="F10" s="95"/>
      <c r="H10" s="20"/>
      <c r="I10" s="20"/>
      <c r="J10" s="20"/>
      <c r="K10" s="20"/>
      <c r="L10" s="20"/>
      <c r="M10" s="20"/>
      <c r="T10" s="7"/>
      <c r="U10" s="7"/>
      <c r="V10" s="7"/>
      <c r="W10" s="7"/>
      <c r="X10" s="7"/>
      <c r="Y10" s="7"/>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row>
    <row r="11" spans="1:83" s="129" customFormat="1" ht="13" customHeight="1">
      <c r="A11" s="198" t="s">
        <v>27</v>
      </c>
      <c r="B11" s="497" t="str">
        <f>$C$7</f>
        <v>Consumo energetico all'interno e al di fuori dell'organizzazione</v>
      </c>
      <c r="C11" s="497"/>
      <c r="D11" s="125" t="str">
        <f>VLOOKUP(32,Textbausteine_Menu[],Hilfsgrössen!$D$2,FALSE)</f>
        <v>Unità</v>
      </c>
      <c r="E11" s="126" t="str">
        <f>VLOOKUP(33,Textbausteine_Menu[],Hilfsgrössen!$D$2,FALSE)</f>
        <v>Note</v>
      </c>
      <c r="F11" s="126" t="str">
        <f>VLOOKUP(34,Textbausteine_Menu[],Hilfsgrössen!$D$2,FALSE)</f>
        <v>GRI</v>
      </c>
      <c r="G11" s="47"/>
      <c r="H11" s="126">
        <v>2010</v>
      </c>
      <c r="I11" s="126">
        <v>2011</v>
      </c>
      <c r="J11" s="126">
        <v>2012</v>
      </c>
      <c r="K11" s="126">
        <v>2013</v>
      </c>
      <c r="L11" s="126">
        <v>2014</v>
      </c>
      <c r="M11" s="126">
        <v>2015</v>
      </c>
      <c r="N11" s="119">
        <v>2016</v>
      </c>
      <c r="O11" s="119">
        <v>2017</v>
      </c>
      <c r="P11" s="119">
        <v>2018</v>
      </c>
      <c r="Q11" s="119">
        <v>2019</v>
      </c>
      <c r="R11" s="119" t="s">
        <v>132</v>
      </c>
      <c r="S11" s="131">
        <v>2020</v>
      </c>
      <c r="T11" s="130"/>
      <c r="U11" s="117"/>
      <c r="V11" s="117"/>
      <c r="W11" s="117"/>
      <c r="X11" s="117"/>
      <c r="Y11" s="117"/>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row>
    <row r="12" spans="1:83" s="94" customFormat="1" ht="13" customHeight="1">
      <c r="A12" s="96"/>
      <c r="B12" s="497"/>
      <c r="C12" s="497"/>
      <c r="D12" s="101"/>
      <c r="E12" s="102"/>
      <c r="F12" s="102"/>
      <c r="G12" s="48"/>
      <c r="H12" s="106"/>
      <c r="I12" s="106"/>
      <c r="J12" s="106"/>
      <c r="K12" s="106"/>
      <c r="L12" s="106"/>
      <c r="M12" s="106"/>
      <c r="N12" s="20"/>
      <c r="O12" s="20"/>
      <c r="P12" s="20"/>
      <c r="Q12" s="20"/>
      <c r="R12" s="20"/>
      <c r="S12" s="132"/>
      <c r="T12" s="12"/>
      <c r="U12" s="7"/>
      <c r="V12" s="7"/>
      <c r="W12" s="7"/>
      <c r="X12" s="7"/>
      <c r="Y12" s="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row>
    <row r="13" spans="1:83" ht="13" customHeight="1">
      <c r="B13" s="103"/>
      <c r="C13" s="104"/>
      <c r="D13" s="104"/>
      <c r="E13" s="105"/>
      <c r="F13" s="106"/>
      <c r="G13" s="48"/>
      <c r="S13" s="132"/>
      <c r="T13" s="11"/>
      <c r="U13" s="11"/>
      <c r="V13" s="11"/>
      <c r="W13" s="11"/>
      <c r="X13" s="11"/>
      <c r="Y13" s="11"/>
    </row>
    <row r="14" spans="1:83" ht="13" customHeight="1">
      <c r="B14" s="103" t="str">
        <f>VLOOKUP(36,Textbausteine_Menu[],Hilfsgrössen!$D$2,FALSE)</f>
        <v>Gruppo</v>
      </c>
      <c r="C14" s="103"/>
      <c r="D14" s="103"/>
      <c r="E14" s="106"/>
      <c r="F14" s="106"/>
      <c r="G14" s="49"/>
      <c r="H14" s="20"/>
      <c r="I14" s="20"/>
      <c r="L14" s="136"/>
      <c r="M14" s="136"/>
      <c r="S14" s="132"/>
      <c r="T14" s="14"/>
      <c r="U14" s="73"/>
      <c r="V14" s="73"/>
      <c r="W14" s="73"/>
      <c r="X14" s="73"/>
      <c r="Y14" s="17"/>
    </row>
    <row r="15" spans="1:83" ht="13" customHeight="1">
      <c r="C15" s="199" t="str">
        <f>VLOOKUP(31,Textbausteine_302[],Hilfsgrössen!$D$2,FALSE)</f>
        <v>Consumo di carburanti</v>
      </c>
      <c r="D15" s="179"/>
      <c r="E15" s="106"/>
      <c r="F15" s="106"/>
      <c r="G15" s="49"/>
      <c r="H15" s="20"/>
      <c r="I15" s="20"/>
      <c r="L15" s="136"/>
      <c r="M15" s="136"/>
      <c r="S15" s="132"/>
      <c r="T15" s="14"/>
      <c r="U15" s="73"/>
      <c r="V15" s="73"/>
      <c r="W15" s="73"/>
      <c r="X15" s="73"/>
      <c r="Y15" s="17"/>
    </row>
    <row r="16" spans="1:83" ht="13" customHeight="1">
      <c r="C16" s="200" t="str">
        <f>VLOOKUP(31,Textbausteine_302[],Hilfsgrössen!$D$2,FALSE)</f>
        <v>Consumo di carburanti</v>
      </c>
      <c r="D16" s="179" t="str">
        <f>VLOOKUP(11,Textbausteine_302[],Hilfsgrössen!$D$2,FALSE)</f>
        <v>GWh</v>
      </c>
      <c r="E16" s="106">
        <v>1</v>
      </c>
      <c r="F16" s="106"/>
      <c r="G16" s="49"/>
      <c r="H16" s="358">
        <f>SUM(H17,H28)</f>
        <v>1141.5601300707381</v>
      </c>
      <c r="I16" s="358">
        <f>SUM(I17,I28)</f>
        <v>1149.493855542866</v>
      </c>
      <c r="J16" s="358">
        <f>SUM(J17,J28)</f>
        <v>1197.244812174489</v>
      </c>
      <c r="K16" s="358">
        <f t="shared" ref="K16" si="0">SUM(K17,K28)</f>
        <v>1138.6504437543717</v>
      </c>
      <c r="L16" s="358">
        <f>SUM(L17,L28)</f>
        <v>1134.2495197794015</v>
      </c>
      <c r="M16" s="358">
        <f>SUM(M17,M28)</f>
        <v>1143.9663664568016</v>
      </c>
      <c r="N16" s="358">
        <f>SUM(N17,N28)</f>
        <v>1180.5568753905591</v>
      </c>
      <c r="O16" s="358">
        <f>SUM(O17,O28)</f>
        <v>1147.378730758021</v>
      </c>
      <c r="P16" s="358">
        <v>1159.0383935448001</v>
      </c>
      <c r="Q16" s="358">
        <v>1069</v>
      </c>
      <c r="R16" s="358">
        <v>1111.4070188773401</v>
      </c>
      <c r="S16" s="458">
        <v>1085.50529370654</v>
      </c>
      <c r="T16" s="14"/>
      <c r="U16" s="14"/>
      <c r="V16" s="14"/>
      <c r="W16" s="14"/>
      <c r="X16" s="14"/>
      <c r="Y16" s="11"/>
    </row>
    <row r="17" spans="3:25" ht="13" customHeight="1">
      <c r="C17" s="201" t="str">
        <f>VLOOKUP(32,Textbausteine_302[],Hilfsgrössen!$D$2,FALSE)</f>
        <v>Consumo di carburanti (all'interno della Posta)</v>
      </c>
      <c r="D17" s="179" t="str">
        <f>VLOOKUP(11,Textbausteine_302[],Hilfsgrössen!$D$2,FALSE)</f>
        <v>GWh</v>
      </c>
      <c r="E17" s="106">
        <v>1</v>
      </c>
      <c r="F17" s="106" t="s">
        <v>133</v>
      </c>
      <c r="G17" s="49"/>
      <c r="H17" s="354">
        <f>SUM(H19,H21:H22,H24)</f>
        <v>609.31514508888813</v>
      </c>
      <c r="I17" s="354">
        <f>SUM(I19,I21:I22,I24)</f>
        <v>621.85307296666599</v>
      </c>
      <c r="J17" s="347">
        <f>SUM(J19,J21:J22,J24)</f>
        <v>636.07586048888902</v>
      </c>
      <c r="K17" s="347">
        <f>SUM(K19,K21:K22,K24,K26)</f>
        <v>653.72490732221183</v>
      </c>
      <c r="L17" s="406">
        <f>SUM(L19,L21:L22,L24,L26)</f>
        <v>649.59068726110149</v>
      </c>
      <c r="M17" s="406">
        <f>SUM(M19,M21:M22,M24,M26)</f>
        <v>651.67637380774147</v>
      </c>
      <c r="N17" s="371">
        <f>SUM(N19,N21:N22,N24,N26)</f>
        <v>669.96657913647914</v>
      </c>
      <c r="O17" s="371">
        <f>SUM(O19,O21:O22,O24)</f>
        <v>658.08255089914098</v>
      </c>
      <c r="P17" s="371">
        <v>665.52959588715999</v>
      </c>
      <c r="Q17" s="371">
        <v>589</v>
      </c>
      <c r="R17" s="371">
        <v>598.32629509977005</v>
      </c>
      <c r="S17" s="133">
        <v>576</v>
      </c>
      <c r="T17" s="122"/>
      <c r="U17" s="73"/>
      <c r="V17" s="73"/>
      <c r="W17" s="73"/>
      <c r="X17" s="73"/>
      <c r="Y17" s="17"/>
    </row>
    <row r="18" spans="3:25" ht="13" customHeight="1">
      <c r="C18" s="202" t="str">
        <f>VLOOKUP(33,Textbausteine_302[],Hilfsgrössen!$D$2,FALSE)</f>
        <v>Quota di carburanti da fonti rinnovabili (all'interno della Posta)</v>
      </c>
      <c r="D18" s="179" t="str">
        <f>VLOOKUP(12,Textbausteine_302[],Hilfsgrössen!$D$2,FALSE)</f>
        <v>%</v>
      </c>
      <c r="E18" s="106">
        <v>1</v>
      </c>
      <c r="F18" s="106" t="s">
        <v>133</v>
      </c>
      <c r="G18" s="49"/>
      <c r="H18" s="459">
        <v>0.35478541872998998</v>
      </c>
      <c r="I18" s="459">
        <v>1.1567168482984</v>
      </c>
      <c r="J18" s="460">
        <v>1.1485380847405</v>
      </c>
      <c r="K18" s="441">
        <v>1.1168743896872999</v>
      </c>
      <c r="L18" s="451">
        <v>1.0955225747880999</v>
      </c>
      <c r="M18" s="451">
        <v>1.5431254318726999</v>
      </c>
      <c r="N18" s="459">
        <v>1.252446342611</v>
      </c>
      <c r="O18" s="459">
        <v>1.2342065211546001</v>
      </c>
      <c r="P18" s="459">
        <v>1.2406316478727</v>
      </c>
      <c r="Q18" s="459">
        <v>1.4</v>
      </c>
      <c r="R18" s="459">
        <v>1.34</v>
      </c>
      <c r="S18" s="457">
        <v>1.97</v>
      </c>
      <c r="T18" s="14"/>
      <c r="U18" s="73"/>
      <c r="V18" s="73"/>
      <c r="W18" s="73"/>
      <c r="X18" s="73"/>
      <c r="Y18" s="11"/>
    </row>
    <row r="19" spans="3:25" ht="13" customHeight="1">
      <c r="C19" s="203" t="str">
        <f>VLOOKUP(34,Textbausteine_302[],Hilfsgrössen!$D$2,FALSE)</f>
        <v>Diesel (all'interno della Posta)</v>
      </c>
      <c r="D19" s="179" t="str">
        <f>VLOOKUP(11,Textbausteine_302[],Hilfsgrössen!$D$2,FALSE)</f>
        <v>GWh</v>
      </c>
      <c r="E19" s="106">
        <v>1</v>
      </c>
      <c r="F19" s="106" t="s">
        <v>133</v>
      </c>
      <c r="G19" s="49"/>
      <c r="H19" s="354">
        <v>544.40902000000006</v>
      </c>
      <c r="I19" s="354">
        <v>560.00621000000001</v>
      </c>
      <c r="J19" s="347">
        <v>582.90075000000002</v>
      </c>
      <c r="K19" s="347">
        <v>608.74079799999004</v>
      </c>
      <c r="L19" s="406">
        <v>607.69878899999003</v>
      </c>
      <c r="M19" s="406">
        <v>613.16696364972995</v>
      </c>
      <c r="N19" s="347">
        <v>637.89312152758998</v>
      </c>
      <c r="O19" s="347">
        <v>630.95065035518996</v>
      </c>
      <c r="P19" s="347">
        <v>639.84254149914</v>
      </c>
      <c r="Q19" s="347">
        <v>566</v>
      </c>
      <c r="R19" s="347">
        <v>574.77402859965002</v>
      </c>
      <c r="S19" s="138">
        <v>555</v>
      </c>
      <c r="T19" s="14"/>
      <c r="U19" s="73"/>
      <c r="V19" s="73"/>
      <c r="W19" s="73"/>
      <c r="X19" s="73"/>
      <c r="Y19" s="17"/>
    </row>
    <row r="20" spans="3:25" ht="13" customHeight="1">
      <c r="C20" s="202" t="str">
        <f>VLOOKUP(35,Textbausteine_302[],Hilfsgrössen!$D$2,FALSE)</f>
        <v>Quota di biodiesel (all'interno della Posta)</v>
      </c>
      <c r="D20" s="179" t="str">
        <f>VLOOKUP(12,Textbausteine_302[],Hilfsgrössen!$D$2,FALSE)</f>
        <v>%</v>
      </c>
      <c r="E20" s="106">
        <v>1</v>
      </c>
      <c r="F20" s="106" t="s">
        <v>133</v>
      </c>
      <c r="G20" s="49"/>
      <c r="H20" s="106" t="s">
        <v>30</v>
      </c>
      <c r="I20" s="106" t="s">
        <v>30</v>
      </c>
      <c r="J20" s="106" t="s">
        <v>30</v>
      </c>
      <c r="K20" s="106" t="s">
        <v>30</v>
      </c>
      <c r="L20" s="106" t="s">
        <v>30</v>
      </c>
      <c r="M20" s="451">
        <v>0.54443258490796997</v>
      </c>
      <c r="N20" s="441">
        <v>0.48426318195439999</v>
      </c>
      <c r="O20" s="441">
        <v>0.72887832434894995</v>
      </c>
      <c r="P20" s="441">
        <v>0.74692666051560996</v>
      </c>
      <c r="Q20" s="441">
        <v>0.76</v>
      </c>
      <c r="R20" s="441">
        <v>0.75</v>
      </c>
      <c r="S20" s="138">
        <v>1.31</v>
      </c>
      <c r="T20" s="13"/>
      <c r="U20" s="71"/>
      <c r="V20" s="71"/>
      <c r="W20" s="71"/>
      <c r="X20" s="71"/>
      <c r="Y20" s="17"/>
    </row>
    <row r="21" spans="3:25" ht="13" customHeight="1">
      <c r="C21" s="203" t="str">
        <f>VLOOKUP(36,Textbausteine_302[],Hilfsgrössen!$D$2,FALSE)</f>
        <v>Benzina (all'interno della Posta)</v>
      </c>
      <c r="D21" s="179" t="str">
        <f>VLOOKUP(11,Textbausteine_302[],Hilfsgrössen!$D$2,FALSE)</f>
        <v>GWh</v>
      </c>
      <c r="E21" s="106">
        <v>1</v>
      </c>
      <c r="F21" s="106" t="s">
        <v>133</v>
      </c>
      <c r="G21" s="49"/>
      <c r="H21" s="411">
        <v>47.134163999999998</v>
      </c>
      <c r="I21" s="411">
        <v>42.558746999999997</v>
      </c>
      <c r="J21" s="411">
        <v>41.277111333333998</v>
      </c>
      <c r="K21" s="411">
        <v>33.425691933332999</v>
      </c>
      <c r="L21" s="411">
        <v>30.902586244445001</v>
      </c>
      <c r="M21" s="411">
        <v>28.164445756945</v>
      </c>
      <c r="N21" s="411">
        <v>25.191793305556001</v>
      </c>
      <c r="O21" s="411">
        <v>22.953475213950998</v>
      </c>
      <c r="P21" s="411">
        <v>21.373896523271</v>
      </c>
      <c r="Q21" s="411">
        <v>19.2</v>
      </c>
      <c r="R21" s="411">
        <v>19.266823633508</v>
      </c>
      <c r="S21" s="138">
        <v>17.3</v>
      </c>
    </row>
    <row r="22" spans="3:25" ht="13" customHeight="1">
      <c r="C22" s="203" t="str">
        <f>VLOOKUP(37,Textbausteine_302[],Hilfsgrössen!$D$2,FALSE)</f>
        <v>Gas naturale (all'interno della Posta)</v>
      </c>
      <c r="D22" s="179" t="str">
        <f>VLOOKUP(11,Textbausteine_302[],Hilfsgrössen!$D$2,FALSE)</f>
        <v>GWh</v>
      </c>
      <c r="E22" s="106" t="s">
        <v>87</v>
      </c>
      <c r="F22" s="106" t="s">
        <v>133</v>
      </c>
      <c r="G22" s="49"/>
      <c r="H22" s="411">
        <v>17.359948088888</v>
      </c>
      <c r="I22" s="411">
        <v>18.315607966666001</v>
      </c>
      <c r="J22" s="411">
        <v>10.627592155555</v>
      </c>
      <c r="K22" s="411">
        <v>8.6863183888887008</v>
      </c>
      <c r="L22" s="411">
        <v>7.7856172666664998</v>
      </c>
      <c r="M22" s="411">
        <v>7.3162420243998003</v>
      </c>
      <c r="N22" s="411">
        <v>3.4726373333331999</v>
      </c>
      <c r="O22" s="411">
        <v>1.4541024</v>
      </c>
      <c r="P22" s="411">
        <v>1.2843088647576999</v>
      </c>
      <c r="Q22" s="411">
        <v>0.6</v>
      </c>
      <c r="R22" s="411">
        <v>0.62675186660621995</v>
      </c>
      <c r="S22" s="138">
        <v>0</v>
      </c>
    </row>
    <row r="23" spans="3:25" ht="13" customHeight="1">
      <c r="C23" s="202" t="str">
        <f>VLOOKUP(38,Textbausteine_302[],Hilfsgrössen!$D$2,FALSE)</f>
        <v>quota biogas da fonti rinnovabili (all'interno della Posta)</v>
      </c>
      <c r="D23" s="179" t="str">
        <f>VLOOKUP(12,Textbausteine_302[],Hilfsgrössen!$D$2,FALSE)</f>
        <v>%</v>
      </c>
      <c r="E23" s="106" t="s">
        <v>87</v>
      </c>
      <c r="F23" s="106" t="s">
        <v>133</v>
      </c>
      <c r="G23" s="49"/>
      <c r="H23" s="411">
        <v>10.079225352112999</v>
      </c>
      <c r="I23" s="411">
        <v>33.963225670629001</v>
      </c>
      <c r="J23" s="411">
        <v>56.787712750162001</v>
      </c>
      <c r="K23" s="411">
        <v>52.064144858813997</v>
      </c>
      <c r="L23" s="411">
        <v>51.146533797846999</v>
      </c>
      <c r="M23" s="411">
        <v>51.490128563768998</v>
      </c>
      <c r="N23" s="411">
        <v>55.482631740411001</v>
      </c>
      <c r="O23" s="411">
        <v>54.941955944781</v>
      </c>
      <c r="P23" s="411">
        <v>34.942316219422999</v>
      </c>
      <c r="Q23" s="411">
        <v>10.4</v>
      </c>
      <c r="R23" s="411">
        <v>10.44</v>
      </c>
      <c r="S23" s="138">
        <v>100</v>
      </c>
    </row>
    <row r="24" spans="3:25" ht="13" customHeight="1">
      <c r="C24" s="204" t="str">
        <f>VLOOKUP(39,Textbausteine_302[],Hilfsgrössen!$D$2,FALSE)</f>
        <v>Energia elettrica come carburante (all'interno della Posta)</v>
      </c>
      <c r="D24" s="179" t="str">
        <f>VLOOKUP(11,Textbausteine_302[],Hilfsgrössen!$D$2,FALSE)</f>
        <v>GWh</v>
      </c>
      <c r="E24" s="106" t="s">
        <v>87</v>
      </c>
      <c r="F24" s="106" t="s">
        <v>133</v>
      </c>
      <c r="G24" s="49"/>
      <c r="H24" s="441">
        <v>0.41201300000000002</v>
      </c>
      <c r="I24" s="441">
        <v>0.97250800000000004</v>
      </c>
      <c r="J24" s="441">
        <v>1.2704070000000001</v>
      </c>
      <c r="K24" s="441">
        <v>1.812209</v>
      </c>
      <c r="L24" s="441">
        <v>2.240424</v>
      </c>
      <c r="M24" s="441">
        <v>2.3199797100000001</v>
      </c>
      <c r="N24" s="441">
        <v>2.7038777199999999</v>
      </c>
      <c r="O24" s="441">
        <v>2.72432293</v>
      </c>
      <c r="P24" s="441">
        <v>3.0288490000000001</v>
      </c>
      <c r="Q24" s="441">
        <v>3.66</v>
      </c>
      <c r="R24" s="441">
        <v>3.6586910000000001</v>
      </c>
      <c r="S24" s="456">
        <v>4.0620874999999996</v>
      </c>
    </row>
    <row r="25" spans="3:25" ht="13" customHeight="1">
      <c r="C25" s="205" t="str">
        <f>VLOOKUP(40,Textbausteine_302[],Hilfsgrössen!$D$2,FALSE)</f>
        <v>quota energia elettrica, carburante da fonti rinnovabili (all'interno della Posta)</v>
      </c>
      <c r="D25" s="179" t="str">
        <f>VLOOKUP(12,Textbausteine_302[],Hilfsgrössen!$D$2,FALSE)</f>
        <v>%</v>
      </c>
      <c r="E25" s="106" t="s">
        <v>87</v>
      </c>
      <c r="F25" s="106" t="s">
        <v>133</v>
      </c>
      <c r="G25" s="49"/>
      <c r="H25" s="106">
        <v>100</v>
      </c>
      <c r="I25" s="106">
        <v>100</v>
      </c>
      <c r="J25" s="106">
        <v>100</v>
      </c>
      <c r="K25" s="106">
        <v>100</v>
      </c>
      <c r="L25" s="106">
        <v>100</v>
      </c>
      <c r="M25" s="106">
        <v>100</v>
      </c>
      <c r="N25" s="106">
        <v>100</v>
      </c>
      <c r="O25" s="106">
        <v>100</v>
      </c>
      <c r="P25" s="106">
        <v>100</v>
      </c>
      <c r="Q25" s="106">
        <v>100</v>
      </c>
      <c r="R25" s="106">
        <v>100</v>
      </c>
      <c r="S25" s="138">
        <v>100</v>
      </c>
    </row>
    <row r="26" spans="3:25" ht="13" customHeight="1">
      <c r="C26" s="204" t="str">
        <f>VLOOKUP(41,Textbausteine_302[],Hilfsgrössen!$D$2,FALSE)</f>
        <v>Idrogeno (all'interno della Posta)</v>
      </c>
      <c r="D26" s="179" t="str">
        <f>VLOOKUP(11,Textbausteine_302[],Hilfsgrössen!$D$2,FALSE)</f>
        <v>GWh</v>
      </c>
      <c r="E26" s="106" t="s">
        <v>87</v>
      </c>
      <c r="F26" s="106" t="s">
        <v>133</v>
      </c>
      <c r="G26" s="49"/>
      <c r="H26" s="106" t="s">
        <v>30</v>
      </c>
      <c r="I26" s="106" t="s">
        <v>30</v>
      </c>
      <c r="J26" s="106" t="s">
        <v>30</v>
      </c>
      <c r="K26" s="106">
        <v>1.05989</v>
      </c>
      <c r="L26" s="106">
        <v>0.96327074999999995</v>
      </c>
      <c r="M26" s="106">
        <v>0.70874266666666996</v>
      </c>
      <c r="N26" s="106">
        <v>0.70514924999999995</v>
      </c>
      <c r="O26" s="106" t="s">
        <v>30</v>
      </c>
      <c r="P26" s="106" t="s">
        <v>30</v>
      </c>
      <c r="Q26" s="106" t="s">
        <v>30</v>
      </c>
      <c r="R26" s="106" t="s">
        <v>30</v>
      </c>
      <c r="S26" s="138" t="s">
        <v>30</v>
      </c>
    </row>
    <row r="27" spans="3:25" ht="13" customHeight="1">
      <c r="C27" s="205" t="str">
        <f>VLOOKUP(42,Textbausteine_302[],Hilfsgrössen!$D$2,FALSE)</f>
        <v>Quota di idrogeno da fonti rinnovabili (all'interno della Posta)</v>
      </c>
      <c r="D27" s="179" t="str">
        <f>VLOOKUP(12,Textbausteine_302[],Hilfsgrössen!$D$2,FALSE)</f>
        <v>%</v>
      </c>
      <c r="E27" s="106" t="s">
        <v>87</v>
      </c>
      <c r="F27" s="106" t="s">
        <v>133</v>
      </c>
      <c r="G27" s="49"/>
      <c r="H27" s="106" t="s">
        <v>30</v>
      </c>
      <c r="I27" s="106" t="s">
        <v>30</v>
      </c>
      <c r="J27" s="106" t="s">
        <v>30</v>
      </c>
      <c r="K27" s="106">
        <v>91.2</v>
      </c>
      <c r="L27" s="106">
        <v>92.8</v>
      </c>
      <c r="M27" s="106">
        <v>89</v>
      </c>
      <c r="N27" s="106">
        <v>95.2</v>
      </c>
      <c r="O27" s="106" t="s">
        <v>30</v>
      </c>
      <c r="P27" s="106" t="s">
        <v>30</v>
      </c>
      <c r="Q27" s="106" t="s">
        <v>30</v>
      </c>
      <c r="R27" s="106" t="s">
        <v>30</v>
      </c>
      <c r="S27" s="138" t="s">
        <v>30</v>
      </c>
    </row>
    <row r="28" spans="3:25" ht="13" customHeight="1">
      <c r="C28" s="201" t="str">
        <f>VLOOKUP(43,Textbausteine_302[],Hilfsgrössen!$D$2,FALSE)</f>
        <v>Consumo di carburanti (al di fuori della Posta)</v>
      </c>
      <c r="D28" s="206" t="str">
        <f>VLOOKUP(11,Textbausteine_302[],Hilfsgrössen!$D$2,FALSE)</f>
        <v>GWh</v>
      </c>
      <c r="E28" s="106">
        <v>1</v>
      </c>
      <c r="F28" s="106" t="s">
        <v>134</v>
      </c>
      <c r="G28" s="49"/>
      <c r="H28" s="106">
        <v>532.24498498185005</v>
      </c>
      <c r="I28" s="106">
        <v>527.64078257619997</v>
      </c>
      <c r="J28" s="106">
        <v>561.16895168559995</v>
      </c>
      <c r="K28" s="106">
        <v>484.92553643216002</v>
      </c>
      <c r="L28" s="106">
        <v>484.65883251830002</v>
      </c>
      <c r="M28" s="106">
        <v>492.28999264906003</v>
      </c>
      <c r="N28" s="106">
        <v>510.59029625407999</v>
      </c>
      <c r="O28" s="106">
        <v>489.29617985888001</v>
      </c>
      <c r="P28" s="106">
        <v>493.50879765768002</v>
      </c>
      <c r="Q28" s="106">
        <v>479.9</v>
      </c>
      <c r="R28" s="106">
        <v>513.08072377757003</v>
      </c>
      <c r="S28" s="138">
        <v>509.08798509505999</v>
      </c>
    </row>
    <row r="29" spans="3:25" ht="13" customHeight="1">
      <c r="C29" s="207"/>
      <c r="D29" s="179"/>
      <c r="E29" s="106"/>
      <c r="F29" s="106"/>
      <c r="G29" s="49"/>
      <c r="N29" s="106"/>
      <c r="O29" s="106"/>
      <c r="P29" s="106"/>
      <c r="Q29" s="106"/>
      <c r="R29" s="106"/>
      <c r="S29" s="138"/>
    </row>
    <row r="30" spans="3:25" ht="13" customHeight="1">
      <c r="C30" s="199" t="str">
        <f>VLOOKUP(44,Textbausteine_302[],Hilfsgrössen!$D$2,FALSE)</f>
        <v>Consumo di combustibili</v>
      </c>
      <c r="D30" s="179"/>
      <c r="E30" s="106"/>
      <c r="F30" s="20"/>
      <c r="G30" s="49"/>
      <c r="N30" s="106"/>
      <c r="O30" s="106"/>
      <c r="P30" s="106"/>
      <c r="Q30" s="106"/>
      <c r="R30" s="106"/>
      <c r="S30" s="138"/>
    </row>
    <row r="31" spans="3:25" ht="13" customHeight="1">
      <c r="C31" s="200" t="str">
        <f>VLOOKUP(44,Textbausteine_302[],Hilfsgrössen!$D$2,FALSE)</f>
        <v>Consumo di combustibili</v>
      </c>
      <c r="D31" s="179" t="str">
        <f>VLOOKUP(11,Textbausteine_302[],Hilfsgrössen!$D$2,FALSE)</f>
        <v>GWh</v>
      </c>
      <c r="E31" s="106">
        <v>1</v>
      </c>
      <c r="F31" s="106"/>
      <c r="G31" s="50"/>
      <c r="H31" s="106">
        <v>197.44983799999898</v>
      </c>
      <c r="I31" s="106">
        <v>166.77795333333202</v>
      </c>
      <c r="J31" s="106">
        <v>162.46546533333299</v>
      </c>
      <c r="K31" s="106">
        <v>144.567847495053</v>
      </c>
      <c r="L31" s="106">
        <v>133.73786956666601</v>
      </c>
      <c r="M31" s="106">
        <v>134.609974516666</v>
      </c>
      <c r="N31" s="106">
        <v>135.64601366666599</v>
      </c>
      <c r="O31" s="106">
        <v>134.533306227297</v>
      </c>
      <c r="P31" s="106">
        <v>159.86959143796</v>
      </c>
      <c r="Q31" s="106">
        <v>156</v>
      </c>
      <c r="R31" s="106">
        <v>156.125734131542</v>
      </c>
      <c r="S31" s="138">
        <v>153.42576593443999</v>
      </c>
    </row>
    <row r="32" spans="3:25" ht="13" customHeight="1">
      <c r="C32" s="201" t="str">
        <f>VLOOKUP(45,Textbausteine_302[],Hilfsgrössen!$D$2,FALSE)</f>
        <v>Consumo di combustibili (all'interno della Posta)</v>
      </c>
      <c r="D32" s="179" t="str">
        <f>VLOOKUP(11,Textbausteine_302[],Hilfsgrössen!$D$2,FALSE)</f>
        <v>GWh</v>
      </c>
      <c r="E32" s="106">
        <v>1</v>
      </c>
      <c r="F32" s="106" t="s">
        <v>133</v>
      </c>
      <c r="G32" s="49"/>
      <c r="H32" s="106">
        <v>100.882782833333</v>
      </c>
      <c r="I32" s="106">
        <v>85.45137166666602</v>
      </c>
      <c r="J32" s="106">
        <v>95.44584233333299</v>
      </c>
      <c r="K32" s="106">
        <v>78.260579333332998</v>
      </c>
      <c r="L32" s="106">
        <v>78.104861999999997</v>
      </c>
      <c r="M32" s="106">
        <v>79.642092000000005</v>
      </c>
      <c r="N32" s="106">
        <v>79.983076833333001</v>
      </c>
      <c r="O32" s="106">
        <v>76.252287333333001</v>
      </c>
      <c r="P32" s="106">
        <v>96.372365888888993</v>
      </c>
      <c r="Q32" s="106">
        <v>93</v>
      </c>
      <c r="R32" s="106">
        <v>93.138139286161007</v>
      </c>
      <c r="S32" s="138">
        <v>93.033099163638994</v>
      </c>
    </row>
    <row r="33" spans="3:19" ht="13" customHeight="1">
      <c r="C33" s="202" t="str">
        <f>VLOOKUP(46,Textbausteine_302[],Hilfsgrössen!$D$2,FALSE)</f>
        <v>Quota di combustibili da fonti rinnovabili (all'interno della Posta)</v>
      </c>
      <c r="D33" s="179" t="str">
        <f>VLOOKUP(12,Textbausteine_302[],Hilfsgrössen!$D$2,FALSE)</f>
        <v>%</v>
      </c>
      <c r="E33" s="106">
        <v>1</v>
      </c>
      <c r="F33" s="106" t="s">
        <v>133</v>
      </c>
      <c r="G33" s="49"/>
      <c r="H33" s="441">
        <v>9.8889626330711007</v>
      </c>
      <c r="I33" s="441">
        <v>8.4005998089798002</v>
      </c>
      <c r="J33" s="441">
        <v>8.7451638922550998</v>
      </c>
      <c r="K33" s="441">
        <v>9.4947815098100001</v>
      </c>
      <c r="L33" s="441">
        <v>13.149458430124</v>
      </c>
      <c r="M33" s="441">
        <v>14.406724736997999</v>
      </c>
      <c r="N33" s="441">
        <v>14.396322900954001</v>
      </c>
      <c r="O33" s="441">
        <v>18.165597460392</v>
      </c>
      <c r="P33" s="441">
        <v>37.376533286612002</v>
      </c>
      <c r="Q33" s="441">
        <v>37.4</v>
      </c>
      <c r="R33" s="441">
        <v>37.299999999999997</v>
      </c>
      <c r="S33" s="456">
        <v>37</v>
      </c>
    </row>
    <row r="34" spans="3:19" ht="13" customHeight="1">
      <c r="C34" s="203" t="str">
        <f>VLOOKUP(47,Textbausteine_302[],Hilfsgrössen!$D$2,FALSE)</f>
        <v>Olio combustibile extra leggero (all'interno della Posta)</v>
      </c>
      <c r="D34" s="179" t="str">
        <f>VLOOKUP(11,Textbausteine_302[],Hilfsgrössen!$D$2,FALSE)</f>
        <v>GWh</v>
      </c>
      <c r="E34" s="106">
        <v>1</v>
      </c>
      <c r="F34" s="20" t="s">
        <v>133</v>
      </c>
      <c r="G34" s="49"/>
      <c r="H34" s="106">
        <v>60.484234833332998</v>
      </c>
      <c r="I34" s="106">
        <v>50.574408666666002</v>
      </c>
      <c r="J34" s="106">
        <v>51.829524333332998</v>
      </c>
      <c r="K34" s="106">
        <v>43.358942333332998</v>
      </c>
      <c r="L34" s="106">
        <v>33.214683000000001</v>
      </c>
      <c r="M34" s="106">
        <v>30.504086999999998</v>
      </c>
      <c r="N34" s="106">
        <v>28.167044833333001</v>
      </c>
      <c r="O34" s="106">
        <v>27.763987333332999</v>
      </c>
      <c r="P34" s="106">
        <v>25.296445833332999</v>
      </c>
      <c r="Q34" s="106">
        <v>25.5</v>
      </c>
      <c r="R34" s="106">
        <v>25.470651675018001</v>
      </c>
      <c r="S34" s="138">
        <v>23.091883524132999</v>
      </c>
    </row>
    <row r="35" spans="3:19" ht="13" customHeight="1">
      <c r="C35" s="203" t="str">
        <f>VLOOKUP(48,Textbausteine_302[],Hilfsgrössen!$D$2,FALSE)</f>
        <v>Gas naturale (all'interno della Posta)</v>
      </c>
      <c r="D35" s="179" t="str">
        <f>VLOOKUP(11,Textbausteine_302[],Hilfsgrössen!$D$2,FALSE)</f>
        <v>GWh</v>
      </c>
      <c r="E35" s="20">
        <v>1</v>
      </c>
      <c r="F35" s="20" t="s">
        <v>133</v>
      </c>
      <c r="G35" s="50"/>
      <c r="H35" s="106">
        <v>19.330335999999999</v>
      </c>
      <c r="I35" s="106">
        <v>19.300885000000001</v>
      </c>
      <c r="J35" s="106">
        <v>25.737584999999999</v>
      </c>
      <c r="K35" s="106">
        <v>18.861450000000001</v>
      </c>
      <c r="L35" s="106">
        <v>20.544436999999999</v>
      </c>
      <c r="M35" s="106">
        <v>19.133552999999999</v>
      </c>
      <c r="N35" s="106">
        <v>18.24288</v>
      </c>
      <c r="O35" s="106">
        <v>16.296202999999998</v>
      </c>
      <c r="P35" s="106">
        <v>28.467953000000001</v>
      </c>
      <c r="Q35" s="106">
        <v>27.4</v>
      </c>
      <c r="R35" s="106">
        <v>27.621516</v>
      </c>
      <c r="S35" s="138">
        <v>29.688226969584001</v>
      </c>
    </row>
    <row r="36" spans="3:19" ht="13" customHeight="1">
      <c r="C36" s="202" t="str">
        <f>VLOOKUP(49,Textbausteine_302[],Hilfsgrössen!$D$2,FALSE)</f>
        <v>Quota di biogas (all'interno della Posta)</v>
      </c>
      <c r="D36" s="179" t="str">
        <f>VLOOKUP(12,Textbausteine_302[],Hilfsgrössen!$D$2,FALSE)</f>
        <v>%</v>
      </c>
      <c r="E36" s="20" t="s">
        <v>87</v>
      </c>
      <c r="F36" s="106" t="s">
        <v>133</v>
      </c>
      <c r="G36" s="50"/>
      <c r="H36" s="441">
        <v>0</v>
      </c>
      <c r="I36" s="441">
        <v>0</v>
      </c>
      <c r="J36" s="441">
        <v>0</v>
      </c>
      <c r="K36" s="441">
        <v>0</v>
      </c>
      <c r="L36" s="441">
        <v>6.0080541511067</v>
      </c>
      <c r="M36" s="441">
        <v>6.5253128888293999</v>
      </c>
      <c r="N36" s="441">
        <v>6.4321845015698997</v>
      </c>
      <c r="O36" s="441">
        <v>13.380348784315</v>
      </c>
      <c r="P36" s="441">
        <v>6.8018929917440998</v>
      </c>
      <c r="Q36" s="441">
        <v>6.7</v>
      </c>
      <c r="R36" s="441">
        <v>6.64</v>
      </c>
      <c r="S36" s="456">
        <v>6.5</v>
      </c>
    </row>
    <row r="37" spans="3:19" ht="13" customHeight="1">
      <c r="C37" s="203" t="str">
        <f>VLOOKUP(50,Textbausteine_302[],Hilfsgrössen!$D$2,FALSE)</f>
        <v>Teleriscaldamento (all'interno della Posta)</v>
      </c>
      <c r="D37" s="179" t="str">
        <f>VLOOKUP(11,Textbausteine_302[],Hilfsgrössen!$D$2,FALSE)</f>
        <v>GWh</v>
      </c>
      <c r="E37" s="20">
        <v>1</v>
      </c>
      <c r="F37" s="106" t="s">
        <v>133</v>
      </c>
      <c r="G37" s="49"/>
      <c r="H37" s="106">
        <v>19.435192000000001</v>
      </c>
      <c r="I37" s="106">
        <v>13.943058000000001</v>
      </c>
      <c r="J37" s="106">
        <v>16.245712999999999</v>
      </c>
      <c r="K37" s="106">
        <v>14.407166999999999</v>
      </c>
      <c r="L37" s="106">
        <v>15.621492999999999</v>
      </c>
      <c r="M37" s="106">
        <v>16.353833000000002</v>
      </c>
      <c r="N37" s="106">
        <v>15.255806</v>
      </c>
      <c r="O37" s="106">
        <v>13.918751</v>
      </c>
      <c r="P37" s="106">
        <v>21.470220000000001</v>
      </c>
      <c r="Q37" s="106">
        <v>18</v>
      </c>
      <c r="R37" s="106">
        <v>17.992795999999998</v>
      </c>
      <c r="S37" s="138">
        <v>19.545040554297</v>
      </c>
    </row>
    <row r="38" spans="3:19" ht="13" customHeight="1">
      <c r="C38" s="202" t="str">
        <f>VLOOKUP(51,Textbausteine_302[],Hilfsgrössen!$D$2,FALSE)</f>
        <v>Quota di teleriscaldamento da fonti rinnovabili (all'interno della Posta)</v>
      </c>
      <c r="D38" s="179" t="str">
        <f>VLOOKUP(12,Textbausteine_302[],Hilfsgrössen!$D$2,FALSE)</f>
        <v>%</v>
      </c>
      <c r="E38" s="106">
        <v>1</v>
      </c>
      <c r="F38" s="20" t="s">
        <v>133</v>
      </c>
      <c r="G38" s="49"/>
      <c r="H38" s="106">
        <v>50.5</v>
      </c>
      <c r="I38" s="106">
        <v>50.5</v>
      </c>
      <c r="J38" s="106">
        <v>50.5</v>
      </c>
      <c r="K38" s="106">
        <v>50.5</v>
      </c>
      <c r="L38" s="106">
        <v>50.5</v>
      </c>
      <c r="M38" s="106">
        <v>50.5</v>
      </c>
      <c r="N38" s="106">
        <v>50.5</v>
      </c>
      <c r="O38" s="106">
        <v>60.3</v>
      </c>
      <c r="P38" s="106">
        <v>60.3</v>
      </c>
      <c r="Q38" s="106">
        <v>60.3</v>
      </c>
      <c r="R38" s="106">
        <v>60.3</v>
      </c>
      <c r="S38" s="138">
        <v>60.3</v>
      </c>
    </row>
    <row r="39" spans="3:19" ht="13" customHeight="1">
      <c r="C39" s="203" t="str">
        <f>VLOOKUP(52,Textbausteine_302[],Hilfsgrössen!$D$2,FALSE)</f>
        <v>Legna (all'interno della Posta)</v>
      </c>
      <c r="D39" s="179" t="str">
        <f>VLOOKUP(11,Textbausteine_302[],Hilfsgrössen!$D$2,FALSE)</f>
        <v>GWh</v>
      </c>
      <c r="E39" s="106">
        <v>1</v>
      </c>
      <c r="F39" s="20" t="s">
        <v>133</v>
      </c>
      <c r="G39" s="49"/>
      <c r="H39" s="106" t="s">
        <v>30</v>
      </c>
      <c r="I39" s="106" t="s">
        <v>30</v>
      </c>
      <c r="J39" s="106" t="s">
        <v>30</v>
      </c>
      <c r="K39" s="106" t="s">
        <v>30</v>
      </c>
      <c r="L39" s="106" t="s">
        <v>30</v>
      </c>
      <c r="M39" s="106" t="s">
        <v>30</v>
      </c>
      <c r="N39" s="106" t="s">
        <v>30</v>
      </c>
      <c r="O39" s="106" t="s">
        <v>30</v>
      </c>
      <c r="P39" s="441">
        <v>0.41493005555556001</v>
      </c>
      <c r="Q39" s="441">
        <v>0.69</v>
      </c>
      <c r="R39" s="441">
        <v>0.68565561112753004</v>
      </c>
      <c r="S39" s="138">
        <v>0.73</v>
      </c>
    </row>
    <row r="40" spans="3:19" ht="13" customHeight="1">
      <c r="C40" s="203" t="str">
        <f>VLOOKUP(53,Textbausteine_302[],Hilfsgrössen!$D$2,FALSE)</f>
        <v>Energia elettrica utilizzata come combustibile (all'interno della Posta)</v>
      </c>
      <c r="D40" s="179" t="str">
        <f>VLOOKUP(11,Textbausteine_302[],Hilfsgrössen!$D$2,FALSE)</f>
        <v>GWh</v>
      </c>
      <c r="E40" s="20" t="s">
        <v>83</v>
      </c>
      <c r="F40" s="20" t="s">
        <v>133</v>
      </c>
      <c r="G40" s="50"/>
      <c r="H40" s="106">
        <v>0</v>
      </c>
      <c r="I40" s="106">
        <v>0</v>
      </c>
      <c r="J40" s="106">
        <v>0</v>
      </c>
      <c r="K40" s="106">
        <v>0</v>
      </c>
      <c r="L40" s="106">
        <v>0</v>
      </c>
      <c r="M40" s="106">
        <v>0</v>
      </c>
      <c r="N40" s="106">
        <v>0</v>
      </c>
      <c r="O40" s="106">
        <v>0</v>
      </c>
      <c r="P40" s="441">
        <v>4.6756089999999997</v>
      </c>
      <c r="Q40" s="441">
        <v>5.27</v>
      </c>
      <c r="R40" s="441">
        <v>5.2683180000157996</v>
      </c>
      <c r="S40" s="138">
        <v>3.82</v>
      </c>
    </row>
    <row r="41" spans="3:19" ht="13" customHeight="1">
      <c r="C41" s="202" t="str">
        <f>VLOOKUP(54,Textbausteine_302[],Hilfsgrössen!$D$2,FALSE)</f>
        <v>Quota di energia elettrica da fonti rinnovabili utilizzata come combustibile (all'interno della Posta)</v>
      </c>
      <c r="D41" s="179" t="str">
        <f>VLOOKUP(12,Textbausteine_302[],Hilfsgrössen!$D$2,FALSE)</f>
        <v>%</v>
      </c>
      <c r="E41" s="20" t="s">
        <v>83</v>
      </c>
      <c r="F41" s="20" t="s">
        <v>133</v>
      </c>
      <c r="G41" s="50"/>
      <c r="H41" s="106" t="s">
        <v>30</v>
      </c>
      <c r="I41" s="106" t="s">
        <v>30</v>
      </c>
      <c r="J41" s="106" t="s">
        <v>30</v>
      </c>
      <c r="K41" s="106" t="s">
        <v>30</v>
      </c>
      <c r="L41" s="106" t="s">
        <v>30</v>
      </c>
      <c r="M41" s="106" t="s">
        <v>30</v>
      </c>
      <c r="N41" s="106" t="s">
        <v>30</v>
      </c>
      <c r="O41" s="106" t="s">
        <v>30</v>
      </c>
      <c r="P41" s="106">
        <v>100</v>
      </c>
      <c r="Q41" s="106">
        <v>100</v>
      </c>
      <c r="R41" s="106">
        <v>100</v>
      </c>
      <c r="S41" s="138">
        <v>100</v>
      </c>
    </row>
    <row r="42" spans="3:19" ht="13" customHeight="1">
      <c r="C42" s="203" t="str">
        <f>VLOOKUP(55,Textbausteine_302[],Hilfsgrössen!$D$2,FALSE)</f>
        <v>Calore ambientale (caldo/freddo) (all'interno della Posta)</v>
      </c>
      <c r="D42" s="179" t="str">
        <f>VLOOKUP(11,Textbausteine_302[],Hilfsgrössen!$D$2,FALSE)</f>
        <v>GWh</v>
      </c>
      <c r="E42" s="20">
        <v>1</v>
      </c>
      <c r="F42" s="106" t="s">
        <v>133</v>
      </c>
      <c r="G42" s="50"/>
      <c r="H42" s="106">
        <v>1.6330199999999999</v>
      </c>
      <c r="I42" s="106">
        <v>1.6330199999999999</v>
      </c>
      <c r="J42" s="106">
        <v>1.6330199999999999</v>
      </c>
      <c r="K42" s="106">
        <v>1.6330199999999999</v>
      </c>
      <c r="L42" s="106">
        <v>8.7242490000000004</v>
      </c>
      <c r="M42" s="106">
        <v>13.650619000000001</v>
      </c>
      <c r="N42" s="106">
        <v>18.317346000000001</v>
      </c>
      <c r="O42" s="106">
        <v>18.273346</v>
      </c>
      <c r="P42" s="106">
        <v>16.047208000000001</v>
      </c>
      <c r="Q42" s="106">
        <v>16.100000000000001</v>
      </c>
      <c r="R42" s="106">
        <v>16.099201999999998</v>
      </c>
      <c r="S42" s="138">
        <v>16.160032709999999</v>
      </c>
    </row>
    <row r="43" spans="3:19" ht="13" customHeight="1">
      <c r="C43" s="201" t="str">
        <f>VLOOKUP(56,Textbausteine_302[],Hilfsgrössen!$D$2,FALSE)</f>
        <v>Consumo di combustibili (al di fuori della Posta)</v>
      </c>
      <c r="D43" s="206" t="str">
        <f>VLOOKUP(11,Textbausteine_302[],Hilfsgrössen!$D$2,FALSE)</f>
        <v>GWh</v>
      </c>
      <c r="E43" s="20">
        <v>1</v>
      </c>
      <c r="F43" s="106" t="s">
        <v>134</v>
      </c>
      <c r="G43" s="49"/>
      <c r="H43" s="106">
        <v>96.567055166665995</v>
      </c>
      <c r="I43" s="106">
        <v>81.326581666666002</v>
      </c>
      <c r="J43" s="106">
        <v>67.019622999999996</v>
      </c>
      <c r="K43" s="106">
        <v>66.307268161720003</v>
      </c>
      <c r="L43" s="106">
        <v>55.633007566666002</v>
      </c>
      <c r="M43" s="106">
        <v>54.967882516666002</v>
      </c>
      <c r="N43" s="106">
        <v>55.662936833332999</v>
      </c>
      <c r="O43" s="106">
        <v>58.281018893964003</v>
      </c>
      <c r="P43" s="106">
        <v>63.497225549069</v>
      </c>
      <c r="Q43" s="106">
        <v>63</v>
      </c>
      <c r="R43" s="106">
        <v>62.987594845380997</v>
      </c>
      <c r="S43" s="138">
        <v>60.392666770801</v>
      </c>
    </row>
    <row r="44" spans="3:19" ht="13" customHeight="1">
      <c r="C44" s="208"/>
      <c r="D44" s="209"/>
      <c r="E44" s="20"/>
      <c r="F44" s="106"/>
      <c r="G44" s="49"/>
      <c r="N44" s="106"/>
      <c r="O44" s="106"/>
      <c r="P44" s="106"/>
      <c r="Q44" s="106"/>
      <c r="R44" s="106"/>
      <c r="S44" s="138"/>
    </row>
    <row r="45" spans="3:19" ht="13" customHeight="1">
      <c r="C45" s="199" t="str">
        <f>VLOOKUP(57,Textbausteine_302[],Hilfsgrössen!$D$2,FALSE)</f>
        <v xml:space="preserve">Energia elettrica </v>
      </c>
      <c r="D45" s="210"/>
      <c r="E45" s="20"/>
      <c r="F45" s="106"/>
      <c r="G45" s="49"/>
      <c r="N45" s="106"/>
      <c r="O45" s="106"/>
      <c r="P45" s="106"/>
      <c r="Q45" s="106"/>
      <c r="R45" s="106"/>
      <c r="S45" s="138"/>
    </row>
    <row r="46" spans="3:19" ht="13" customHeight="1">
      <c r="C46" s="200" t="str">
        <f>VLOOKUP(58,Textbausteine_302[],Hilfsgrössen!$D$2,FALSE)</f>
        <v>Consumo di energia elettrica (utilizzo come carburante e combustibile escluso)</v>
      </c>
      <c r="D46" s="179" t="str">
        <f>VLOOKUP(11,Textbausteine_302[],Hilfsgrössen!$D$2,FALSE)</f>
        <v>GWh</v>
      </c>
      <c r="E46" s="106">
        <v>1</v>
      </c>
      <c r="F46" s="106"/>
      <c r="G46" s="49"/>
      <c r="H46" s="106">
        <v>215.77504099999999</v>
      </c>
      <c r="I46" s="106">
        <v>203.308536</v>
      </c>
      <c r="J46" s="106">
        <v>186.968772</v>
      </c>
      <c r="K46" s="106">
        <v>177.78381180000002</v>
      </c>
      <c r="L46" s="106">
        <v>187.78284600000001</v>
      </c>
      <c r="M46" s="106">
        <v>179.51580106</v>
      </c>
      <c r="N46" s="106">
        <v>174.96544728000001</v>
      </c>
      <c r="O46" s="106">
        <f>SUM(O47,O49)</f>
        <v>171.52816507</v>
      </c>
      <c r="P46" s="106">
        <v>160.1</v>
      </c>
      <c r="Q46" s="106">
        <v>151.4</v>
      </c>
      <c r="R46" s="106">
        <v>152.20976960036998</v>
      </c>
      <c r="S46" s="138">
        <v>149.39001327066001</v>
      </c>
    </row>
    <row r="47" spans="3:19" ht="13" customHeight="1">
      <c r="C47" s="207" t="str">
        <f>VLOOKUP(59,Textbausteine_302[],Hilfsgrössen!$D$2,FALSE)</f>
        <v>Consumo di energia elettrica (all'interno della Posta)</v>
      </c>
      <c r="D47" s="179" t="str">
        <f>VLOOKUP(11,Textbausteine_302[],Hilfsgrössen!$D$2,FALSE)</f>
        <v>GWh</v>
      </c>
      <c r="E47" s="106" t="s">
        <v>83</v>
      </c>
      <c r="F47" s="20" t="s">
        <v>133</v>
      </c>
      <c r="G47" s="49"/>
      <c r="H47" s="106">
        <v>197.36829299999999</v>
      </c>
      <c r="I47" s="106">
        <v>182.65411800000001</v>
      </c>
      <c r="J47" s="106">
        <v>165.36073400000001</v>
      </c>
      <c r="K47" s="106">
        <v>158.94715780000001</v>
      </c>
      <c r="L47" s="106">
        <v>166.66481400000001</v>
      </c>
      <c r="M47" s="106">
        <v>158.70853406000001</v>
      </c>
      <c r="N47" s="106">
        <v>155.07117228000001</v>
      </c>
      <c r="O47" s="106">
        <v>152.39495206999999</v>
      </c>
      <c r="P47" s="106">
        <v>139.6</v>
      </c>
      <c r="Q47" s="106">
        <v>133.5</v>
      </c>
      <c r="R47" s="106">
        <v>134.34045837036999</v>
      </c>
      <c r="S47" s="138">
        <v>129.82990218659</v>
      </c>
    </row>
    <row r="48" spans="3:19" ht="13" customHeight="1">
      <c r="C48" s="203" t="str">
        <f>VLOOKUP(60,Textbausteine_302[],Hilfsgrössen!$D$2,FALSE)</f>
        <v>Quota di energia elettrica da fonti rinnovabili (all'interno della Posta)</v>
      </c>
      <c r="D48" s="179" t="str">
        <f>VLOOKUP(12,Textbausteine_302[],Hilfsgrössen!$D$2,FALSE)</f>
        <v>%</v>
      </c>
      <c r="E48" s="106" t="s">
        <v>83</v>
      </c>
      <c r="F48" s="106" t="s">
        <v>133</v>
      </c>
      <c r="G48" s="50"/>
      <c r="H48" s="106">
        <v>99.999988200800999</v>
      </c>
      <c r="I48" s="106">
        <v>81.916222506029996</v>
      </c>
      <c r="J48" s="106">
        <v>78.630838478567</v>
      </c>
      <c r="K48" s="106">
        <v>100</v>
      </c>
      <c r="L48" s="106">
        <v>100</v>
      </c>
      <c r="M48" s="106">
        <v>100</v>
      </c>
      <c r="N48" s="106">
        <v>100</v>
      </c>
      <c r="O48" s="106">
        <v>100</v>
      </c>
      <c r="P48" s="106">
        <v>100</v>
      </c>
      <c r="Q48" s="106">
        <v>100</v>
      </c>
      <c r="R48" s="106">
        <v>100</v>
      </c>
      <c r="S48" s="138">
        <v>100</v>
      </c>
    </row>
    <row r="49" spans="1:83" ht="13" customHeight="1">
      <c r="C49" s="207" t="str">
        <f>VLOOKUP(61,Textbausteine_302[],Hilfsgrössen!$D$2,FALSE)</f>
        <v>Consumo di energia elettrica (al di fuori della Posta)</v>
      </c>
      <c r="D49" s="179" t="str">
        <f>VLOOKUP(11,Textbausteine_302[],Hilfsgrössen!$D$2,FALSE)</f>
        <v>GWh</v>
      </c>
      <c r="E49" s="106">
        <v>1</v>
      </c>
      <c r="F49" s="106" t="s">
        <v>134</v>
      </c>
      <c r="G49" s="49"/>
      <c r="H49" s="106">
        <v>18.406748</v>
      </c>
      <c r="I49" s="106">
        <v>20.654418</v>
      </c>
      <c r="J49" s="106">
        <v>21.608038000000001</v>
      </c>
      <c r="K49" s="106">
        <v>18.836653999999999</v>
      </c>
      <c r="L49" s="106">
        <v>21.118031999999999</v>
      </c>
      <c r="M49" s="106">
        <v>20.807267</v>
      </c>
      <c r="N49" s="106">
        <v>19.894275</v>
      </c>
      <c r="O49" s="106">
        <v>19.133213000000001</v>
      </c>
      <c r="P49" s="106">
        <v>20.5</v>
      </c>
      <c r="Q49" s="106">
        <v>17.899999999999999</v>
      </c>
      <c r="R49" s="106">
        <v>17.869311230000001</v>
      </c>
      <c r="S49" s="138">
        <v>19.560111084070002</v>
      </c>
    </row>
    <row r="50" spans="1:83" ht="13" customHeight="1">
      <c r="C50" s="98"/>
      <c r="D50" s="179"/>
      <c r="E50" s="106"/>
      <c r="F50" s="20"/>
      <c r="G50" s="49"/>
      <c r="N50" s="106"/>
      <c r="O50" s="106"/>
      <c r="P50" s="106"/>
      <c r="Q50" s="106"/>
      <c r="R50" s="106"/>
      <c r="S50" s="138"/>
    </row>
    <row r="51" spans="1:83" ht="13" customHeight="1">
      <c r="C51" s="199" t="str">
        <f>VLOOKUP(62,Textbausteine_302[],Hilfsgrössen!$D$2,FALSE)</f>
        <v>Fabbisogno energetico</v>
      </c>
      <c r="D51" s="179"/>
      <c r="E51" s="106"/>
      <c r="F51" s="106"/>
      <c r="G51" s="50"/>
      <c r="N51" s="106"/>
      <c r="O51" s="106"/>
      <c r="P51" s="106"/>
      <c r="Q51" s="106"/>
      <c r="R51" s="106"/>
      <c r="S51" s="138"/>
    </row>
    <row r="52" spans="1:83" ht="13" customHeight="1">
      <c r="C52" s="211" t="str">
        <f>VLOOKUP(63,Textbausteine_302[],Hilfsgrössen!$D$2,FALSE)</f>
        <v>Fabbisogno energetico</v>
      </c>
      <c r="D52" s="206" t="str">
        <f>VLOOKUP(11,Textbausteine_302[],Hilfsgrössen!$D$2,FALSE)</f>
        <v>GWh</v>
      </c>
      <c r="E52" s="106">
        <v>1</v>
      </c>
      <c r="F52" s="106" t="s">
        <v>133</v>
      </c>
      <c r="G52" s="49"/>
      <c r="H52" s="17">
        <f>SUM(H53,H55)</f>
        <v>1554.785009070737</v>
      </c>
      <c r="I52" s="17">
        <f>SUM(I53,I55)</f>
        <v>1519.5803448761981</v>
      </c>
      <c r="J52" s="17">
        <f>SUM(J53,J55)</f>
        <v>1546.6790495078219</v>
      </c>
      <c r="K52" s="17">
        <f t="shared" ref="K52" si="1">SUM(K53,K55)</f>
        <v>1461.0021030494249</v>
      </c>
      <c r="L52" s="17">
        <f>SUM(L53,L55)</f>
        <v>1455.7702353460675</v>
      </c>
      <c r="M52" s="17">
        <f>SUM(M53,M55)</f>
        <v>1458.0921420334676</v>
      </c>
      <c r="N52" s="17">
        <f>SUM(N53,N55)</f>
        <v>1491.1683363372254</v>
      </c>
      <c r="O52" s="17">
        <f>SUM(O53,O55)</f>
        <v>1453.440202055318</v>
      </c>
      <c r="P52" s="17">
        <v>1479</v>
      </c>
      <c r="Q52" s="17">
        <v>1377</v>
      </c>
      <c r="R52" s="17">
        <v>1419.74252260925</v>
      </c>
      <c r="S52" s="455">
        <v>1388.3210729116399</v>
      </c>
    </row>
    <row r="53" spans="1:83" ht="13" customHeight="1">
      <c r="C53" s="207" t="str">
        <f>VLOOKUP(64,Textbausteine_302[],Hilfsgrössen!$D$2,FALSE)</f>
        <v>Fabbisogno energetico (all'interno della Posta)</v>
      </c>
      <c r="D53" s="179" t="str">
        <f>VLOOKUP(11,Textbausteine_302[],Hilfsgrössen!$D$2,FALSE)</f>
        <v>GWh</v>
      </c>
      <c r="E53" s="106">
        <v>1</v>
      </c>
      <c r="F53" s="106" t="s">
        <v>133</v>
      </c>
      <c r="G53" s="49"/>
      <c r="H53" s="17">
        <f>SUM(H17,H32,H47)</f>
        <v>907.56622092222108</v>
      </c>
      <c r="I53" s="17">
        <f>SUM(I17,I32,I47)</f>
        <v>889.95856263333201</v>
      </c>
      <c r="J53" s="17">
        <f>SUM(J17,J32,J47)</f>
        <v>896.88243682222196</v>
      </c>
      <c r="K53" s="17">
        <f t="shared" ref="K53" si="2">SUM(K17,K32,K47)</f>
        <v>890.93264445554485</v>
      </c>
      <c r="L53" s="17">
        <f>SUM(L17,L32,L47)</f>
        <v>894.3603632611015</v>
      </c>
      <c r="M53" s="17">
        <f>SUM(M17,M32,M47)</f>
        <v>890.02699986774155</v>
      </c>
      <c r="N53" s="17">
        <f>SUM(N17,N32,N47)</f>
        <v>905.02082824981221</v>
      </c>
      <c r="O53" s="17">
        <f>SUM(O17,O32,O47)</f>
        <v>886.72979030247393</v>
      </c>
      <c r="P53" s="17">
        <v>901.5</v>
      </c>
      <c r="Q53" s="17">
        <v>816</v>
      </c>
      <c r="R53" s="17">
        <v>825.80489275629998</v>
      </c>
      <c r="S53" s="455">
        <v>799.28030996171003</v>
      </c>
    </row>
    <row r="54" spans="1:83" ht="13" customHeight="1">
      <c r="C54" s="204" t="str">
        <f>VLOOKUP(65,Textbausteine_302[],Hilfsgrössen!$D$2,FALSE)</f>
        <v>Quota di fonti rinnovabili rispetto al fabbisogno energetico (all'interno della Posta)</v>
      </c>
      <c r="D54" s="206" t="str">
        <f>VLOOKUP(12,Textbausteine_302[],Hilfsgrössen!$D$2,FALSE)</f>
        <v>%</v>
      </c>
      <c r="E54" s="106">
        <v>1</v>
      </c>
      <c r="F54" s="106" t="s">
        <v>133</v>
      </c>
      <c r="G54" s="49"/>
      <c r="H54" s="364">
        <v>23.108194152494001</v>
      </c>
      <c r="I54" s="364">
        <v>17.952801711770999</v>
      </c>
      <c r="J54" s="364">
        <v>15.701303624192001</v>
      </c>
      <c r="K54" s="364">
        <v>19.101987854531</v>
      </c>
      <c r="L54" s="364">
        <v>20.290979341735</v>
      </c>
      <c r="M54" s="364">
        <v>19.995921883158999</v>
      </c>
      <c r="N54" s="364">
        <v>19.258017591822</v>
      </c>
      <c r="O54" s="364">
        <v>19.620217243828002</v>
      </c>
      <c r="P54" s="364">
        <v>20.399999999999999</v>
      </c>
      <c r="Q54" s="364">
        <v>21.6</v>
      </c>
      <c r="R54" s="364">
        <v>21.44</v>
      </c>
      <c r="S54" s="365">
        <v>21.97</v>
      </c>
    </row>
    <row r="55" spans="1:83" ht="13" customHeight="1">
      <c r="C55" s="207" t="str">
        <f>VLOOKUP(66,Textbausteine_302[],Hilfsgrössen!$D$2,FALSE)</f>
        <v>Fabbisogno energetico (al di fuori della Posta)</v>
      </c>
      <c r="D55" s="179" t="str">
        <f>VLOOKUP(11,Textbausteine_302[],Hilfsgrössen!$D$2,FALSE)</f>
        <v>GWh</v>
      </c>
      <c r="E55" s="106">
        <v>1</v>
      </c>
      <c r="F55" s="106" t="s">
        <v>134</v>
      </c>
      <c r="G55" s="49"/>
      <c r="H55" s="17">
        <f>SUM(H28,H43,H49)</f>
        <v>647.21878814851607</v>
      </c>
      <c r="I55" s="17">
        <f>SUM(I28,I43,I49)</f>
        <v>629.62178224286595</v>
      </c>
      <c r="J55" s="17">
        <f>SUM(J28,J43,J49)</f>
        <v>649.79661268559994</v>
      </c>
      <c r="K55" s="17">
        <f t="shared" ref="K55" si="3">SUM(K28,K43,K49)</f>
        <v>570.06945859387997</v>
      </c>
      <c r="L55" s="17">
        <f>SUM(L28,L43,L49)</f>
        <v>561.40987208496597</v>
      </c>
      <c r="M55" s="17">
        <f>SUM(M28,M43,M49)</f>
        <v>568.065142165726</v>
      </c>
      <c r="N55" s="17">
        <f>SUM(N28,N43,N49)</f>
        <v>586.14750808741303</v>
      </c>
      <c r="O55" s="17">
        <f>SUM(O28,O43,O49)</f>
        <v>566.71041175284392</v>
      </c>
      <c r="P55" s="17">
        <v>577.5</v>
      </c>
      <c r="Q55" s="17">
        <v>561</v>
      </c>
      <c r="R55" s="17">
        <v>593.93762985294995</v>
      </c>
      <c r="S55" s="455">
        <v>589.04076294993001</v>
      </c>
    </row>
    <row r="56" spans="1:83" ht="13" customHeight="1">
      <c r="E56" s="106"/>
      <c r="F56" s="106"/>
      <c r="G56" s="49"/>
      <c r="N56" s="106"/>
      <c r="O56" s="106"/>
      <c r="P56" s="106"/>
      <c r="Q56" s="106"/>
      <c r="R56" s="106"/>
      <c r="S56" s="106"/>
    </row>
    <row r="57" spans="1:83" ht="13" customHeight="1">
      <c r="B57" s="161" t="str">
        <f>VLOOKUP(131,Textbausteine_302[],Hilfsgrössen!$D$2,FALSE)</f>
        <v>1) Standard, metodi e fattori di conversione: GHG Protocol, Revised Edition (2004). I fattori di conversione provengono da ecoinvent 2.2.</v>
      </c>
      <c r="E57" s="106"/>
      <c r="F57" s="106"/>
      <c r="G57" s="49"/>
      <c r="N57" s="106"/>
      <c r="O57" s="106"/>
      <c r="P57" s="106"/>
      <c r="Q57" s="106"/>
      <c r="R57" s="106"/>
      <c r="S57" s="106"/>
    </row>
    <row r="58" spans="1:83" ht="13" customHeight="1">
      <c r="B58" s="161" t="str">
        <f>VLOOKUP(132,Textbausteine_302[],Hilfsgrössen!$D$2,FALSE)</f>
        <v>2) Energia elettrica / ecologica certificata «naturemade star».</v>
      </c>
      <c r="E58" s="106"/>
      <c r="F58" s="106"/>
      <c r="G58" s="49"/>
      <c r="N58" s="106"/>
      <c r="O58" s="106"/>
      <c r="P58" s="106"/>
      <c r="Q58" s="106"/>
      <c r="R58" s="106"/>
      <c r="S58" s="106"/>
    </row>
    <row r="59" spans="1:83" ht="13" customHeight="1">
      <c r="B59" s="161" t="str">
        <f>VLOOKUP(133,Textbausteine_302[],Hilfsgrössen!$D$2,FALSE)</f>
        <v>3) Energia elettrica ecologica certificata «naturemade basic» da energie rinnovabili.</v>
      </c>
      <c r="E59" s="106"/>
      <c r="F59" s="106"/>
      <c r="G59" s="49"/>
      <c r="N59" s="106"/>
      <c r="O59" s="106"/>
      <c r="P59" s="106"/>
      <c r="Q59" s="106"/>
      <c r="R59" s="106"/>
      <c r="S59" s="106"/>
    </row>
    <row r="60" spans="1:83" ht="13" customHeight="1">
      <c r="B60" s="161" t="str">
        <f>VLOOKUP(135,Textbausteine_302[],Hilfsgrössen!$D$2,FALSE)</f>
        <v>4)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v>
      </c>
      <c r="E60" s="106"/>
      <c r="F60" s="106"/>
      <c r="G60" s="49"/>
      <c r="N60" s="106"/>
      <c r="O60" s="106"/>
      <c r="P60" s="106"/>
      <c r="Q60" s="106"/>
      <c r="R60" s="106"/>
      <c r="S60" s="106"/>
    </row>
    <row r="61" spans="1:83" ht="13" customHeight="1">
      <c r="E61" s="20"/>
      <c r="F61" s="106"/>
      <c r="G61" s="49"/>
      <c r="N61" s="106"/>
      <c r="O61" s="106"/>
      <c r="P61" s="106"/>
      <c r="Q61" s="106"/>
      <c r="R61" s="106"/>
      <c r="S61" s="106"/>
    </row>
    <row r="62" spans="1:83" ht="13" customHeight="1">
      <c r="E62" s="106"/>
      <c r="F62" s="106"/>
      <c r="G62" s="49"/>
      <c r="N62" s="106"/>
      <c r="O62" s="106"/>
      <c r="P62" s="106"/>
      <c r="Q62" s="106"/>
      <c r="R62" s="106"/>
      <c r="S62" s="106"/>
    </row>
    <row r="63" spans="1:83" s="94" customFormat="1" ht="13" customHeight="1">
      <c r="A63" s="212" t="s">
        <v>27</v>
      </c>
      <c r="B63" s="497" t="str">
        <f>$C$8</f>
        <v>Altre cifre sull'energia</v>
      </c>
      <c r="C63" s="497"/>
      <c r="D63" s="101" t="str">
        <f>VLOOKUP(32,Textbausteine_Menu[],Hilfsgrössen!$D$2,FALSE)</f>
        <v>Unità</v>
      </c>
      <c r="E63" s="107" t="str">
        <f>VLOOKUP(33,Textbausteine_Menu[],Hilfsgrössen!$D$2,FALSE)</f>
        <v>Note</v>
      </c>
      <c r="F63" s="107" t="str">
        <f>VLOOKUP(34,Textbausteine_Menu[],Hilfsgrössen!$D$2,FALSE)</f>
        <v>GRI</v>
      </c>
      <c r="G63" s="49"/>
      <c r="H63" s="102">
        <v>2010</v>
      </c>
      <c r="I63" s="102">
        <v>2011</v>
      </c>
      <c r="J63" s="102">
        <v>2012</v>
      </c>
      <c r="K63" s="102">
        <v>2013</v>
      </c>
      <c r="L63" s="102">
        <v>2014</v>
      </c>
      <c r="M63" s="102">
        <v>2015</v>
      </c>
      <c r="N63" s="102">
        <v>2016</v>
      </c>
      <c r="O63" s="102">
        <v>2017</v>
      </c>
      <c r="P63" s="102">
        <v>2018</v>
      </c>
      <c r="Q63" s="102">
        <v>2019</v>
      </c>
      <c r="R63" s="119">
        <v>2019</v>
      </c>
      <c r="S63" s="134">
        <v>2020</v>
      </c>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row>
    <row r="64" spans="1:83" s="94" customFormat="1" ht="13" customHeight="1">
      <c r="A64" s="96"/>
      <c r="B64" s="497"/>
      <c r="C64" s="497"/>
      <c r="D64" s="101"/>
      <c r="E64" s="195"/>
      <c r="F64" s="195"/>
      <c r="G64" s="51"/>
      <c r="H64" s="106"/>
      <c r="I64" s="106"/>
      <c r="J64" s="106"/>
      <c r="K64" s="106"/>
      <c r="L64" s="106"/>
      <c r="M64" s="106"/>
      <c r="N64" s="106"/>
      <c r="O64" s="106"/>
      <c r="P64" s="106"/>
      <c r="Q64" s="106"/>
      <c r="R64" s="106"/>
      <c r="S64" s="138"/>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row>
    <row r="65" spans="2:19" ht="13" customHeight="1">
      <c r="B65" s="103"/>
      <c r="C65" s="104"/>
      <c r="D65" s="104"/>
      <c r="E65" s="195"/>
      <c r="F65" s="195"/>
      <c r="G65" s="51"/>
      <c r="N65" s="106"/>
      <c r="O65" s="106"/>
      <c r="P65" s="106"/>
      <c r="Q65" s="106"/>
      <c r="R65" s="106"/>
      <c r="S65" s="138"/>
    </row>
    <row r="66" spans="2:19" ht="13" customHeight="1">
      <c r="B66" s="103" t="str">
        <f>VLOOKUP(36,Textbausteine_Menu[],Hilfsgrössen!$D$2,FALSE)</f>
        <v>Gruppo</v>
      </c>
      <c r="C66" s="103"/>
      <c r="D66" s="103"/>
      <c r="E66" s="196"/>
      <c r="F66" s="196"/>
      <c r="G66" s="51"/>
      <c r="S66" s="132"/>
    </row>
    <row r="67" spans="2:19" ht="13" customHeight="1">
      <c r="C67" s="179" t="str">
        <f>VLOOKUP(81,Textbausteine_302[],Hilfsgrössen!$D$2,FALSE)</f>
        <v>Incremento dell'efficienza energetica dal 2006</v>
      </c>
      <c r="D67" s="179" t="str">
        <f>VLOOKUP(12,Textbausteine_302[],Hilfsgrössen!$D$2,FALSE)</f>
        <v>%</v>
      </c>
      <c r="E67" s="196">
        <v>1</v>
      </c>
      <c r="F67" s="196" t="s">
        <v>135</v>
      </c>
      <c r="G67" s="52"/>
      <c r="H67" s="106">
        <v>5.2588002770916509</v>
      </c>
      <c r="I67" s="106">
        <v>7.4980953636902088</v>
      </c>
      <c r="J67" s="106">
        <v>10.752343471570532</v>
      </c>
      <c r="K67" s="106">
        <v>18.936471731041141</v>
      </c>
      <c r="L67" s="106">
        <v>21.035332139468849</v>
      </c>
      <c r="M67" s="106">
        <v>23.396948930687923</v>
      </c>
      <c r="N67" s="20">
        <v>25.568649342807056</v>
      </c>
      <c r="O67" s="20">
        <v>29.609811998684098</v>
      </c>
      <c r="P67" s="20">
        <v>26.2</v>
      </c>
      <c r="Q67" s="20">
        <v>34.1</v>
      </c>
      <c r="R67" s="20">
        <v>34.1</v>
      </c>
      <c r="S67" s="132">
        <v>29.2</v>
      </c>
    </row>
    <row r="68" spans="2:19" ht="13" customHeight="1">
      <c r="C68" s="179" t="str">
        <f>VLOOKUP(82,Textbausteine_302[],Hilfsgrössen!$D$2,FALSE)</f>
        <v>Acquisto delle garanzie di origine per l'elettricità prodotta da fonti energetiche rinnovabili</v>
      </c>
      <c r="D68" s="179" t="str">
        <f>VLOOKUP(11,Textbausteine_302[],Hilfsgrössen!$D$2,FALSE)</f>
        <v>GWh</v>
      </c>
      <c r="E68" s="20">
        <v>2</v>
      </c>
      <c r="F68" s="20"/>
      <c r="G68" s="52"/>
      <c r="H68" s="106">
        <v>200.00000399999999</v>
      </c>
      <c r="I68" s="106">
        <v>150.00000600000001</v>
      </c>
      <c r="J68" s="106">
        <v>130.00000600000001</v>
      </c>
      <c r="K68" s="106">
        <v>156.00000600000001</v>
      </c>
      <c r="L68" s="106">
        <v>158.00000600000001</v>
      </c>
      <c r="M68" s="106">
        <v>151.18600599999999</v>
      </c>
      <c r="N68" s="20">
        <v>139.81400600000001</v>
      </c>
      <c r="O68" s="20">
        <v>140.00000700000001</v>
      </c>
      <c r="P68" s="20">
        <v>135</v>
      </c>
      <c r="Q68" s="20">
        <v>131.80000000000001</v>
      </c>
      <c r="R68" s="20">
        <v>131.80000000000001</v>
      </c>
      <c r="S68" s="132">
        <v>93</v>
      </c>
    </row>
    <row r="69" spans="2:19" ht="13" customHeight="1">
      <c r="C69" s="179" t="str">
        <f>VLOOKUP(83,Textbausteine_302[],Hilfsgrössen!$D$2,FALSE)</f>
        <v>Acquisto delle garanzie di origine per l'elettricità verde certificata</v>
      </c>
      <c r="D69" s="179" t="str">
        <f>VLOOKUP(11,Textbausteine_302[],Hilfsgrössen!$D$2,FALSE)</f>
        <v>GWh</v>
      </c>
      <c r="E69" s="99" t="s">
        <v>111</v>
      </c>
      <c r="G69" s="53"/>
      <c r="H69" s="106">
        <v>0.6</v>
      </c>
      <c r="I69" s="106">
        <v>0.6</v>
      </c>
      <c r="J69" s="106">
        <v>1.3</v>
      </c>
      <c r="K69" s="106">
        <v>8.3000000000000007</v>
      </c>
      <c r="L69" s="106">
        <v>8.3149999999999995</v>
      </c>
      <c r="M69" s="106">
        <v>8.4789999999999992</v>
      </c>
      <c r="N69" s="20">
        <v>15.95</v>
      </c>
      <c r="O69" s="20">
        <v>16.147041999999999</v>
      </c>
      <c r="P69" s="20">
        <v>16</v>
      </c>
      <c r="Q69" s="20">
        <v>13.8</v>
      </c>
      <c r="R69" s="20">
        <v>13.8</v>
      </c>
      <c r="S69" s="132">
        <v>28</v>
      </c>
    </row>
    <row r="70" spans="2:19" ht="13" customHeight="1">
      <c r="C70" s="179" t="str">
        <f>VLOOKUP(84,Textbausteine_302[],Hilfsgrössen!$D$2,FALSE)</f>
        <v>Acquisto delle garanzie di origine per biogas certificato</v>
      </c>
      <c r="D70" s="179" t="str">
        <f>VLOOKUP(11,Textbausteine_302[],Hilfsgrössen!$D$2,FALSE)</f>
        <v>GWh</v>
      </c>
      <c r="E70" s="99">
        <v>3</v>
      </c>
      <c r="H70" s="106">
        <v>0</v>
      </c>
      <c r="I70" s="106">
        <v>5.13</v>
      </c>
      <c r="J70" s="106">
        <v>5.5717499999999998</v>
      </c>
      <c r="K70" s="106">
        <v>4.0897500000000004</v>
      </c>
      <c r="L70" s="106">
        <v>5.5266890000000002</v>
      </c>
      <c r="M70" s="106">
        <v>4.8260779999999999</v>
      </c>
      <c r="N70" s="20">
        <v>3.3096169999999998</v>
      </c>
      <c r="O70" s="20">
        <v>2.8334139999999999</v>
      </c>
      <c r="P70" s="20">
        <v>2.2999999999999998</v>
      </c>
      <c r="Q70" s="20">
        <v>1.83</v>
      </c>
      <c r="R70" s="20">
        <v>1.83</v>
      </c>
      <c r="S70" s="132">
        <v>1.93</v>
      </c>
    </row>
    <row r="72" spans="2:19" ht="13" customHeight="1">
      <c r="B72" s="161" t="str">
        <f>VLOOKUP(141,Textbausteine_302[],Hilfsgrössen!$D$2,FALSE)</f>
        <v>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v>
      </c>
      <c r="E72" s="102"/>
      <c r="F72" s="102"/>
    </row>
    <row r="73" spans="2:19" ht="13" customHeight="1">
      <c r="B73" s="161" t="str">
        <f>VLOOKUP(142,Textbausteine_302[],Hilfsgrössen!$D$2,FALSE)</f>
        <v>2) La Posta garantisce che l’intero fabbisogno di corrente all’interno della Posta è coperto da fonti energetiche rinnovabili svizzere. Qualora non acquisti energia rinnovabile dal regime di servizio universale, si procura garanzie di origine.</v>
      </c>
      <c r="E73" s="102"/>
      <c r="F73" s="102"/>
      <c r="G73" s="48"/>
    </row>
    <row r="74" spans="2:19" ht="13" customHeight="1">
      <c r="B74" s="161" t="str">
        <f>VLOOKUP(143,Textbausteine_302[],Hilfsgrössen!$D$2,FALSE)</f>
        <v>3) Garanzie di origine del consumo di CNG per il traffico relativo ai viaggi di lavoro e del 10% della produzione di calore nell’ambito della Posta sul territorio svizzero.</v>
      </c>
      <c r="E74" s="20"/>
      <c r="F74" s="106"/>
      <c r="N74" s="106"/>
      <c r="O74" s="106"/>
      <c r="P74" s="106"/>
      <c r="Q74" s="106"/>
      <c r="R74" s="106"/>
      <c r="S74" s="106"/>
    </row>
    <row r="75" spans="2:19" ht="13" customHeight="1">
      <c r="B75" s="161" t="str">
        <f>VLOOKUP(144,Textbausteine_302[],Hilfsgrössen!$D$2,FALSE)</f>
        <v>4) Il 20% del consumo energetico all’interno della Posta sul territorio nazionale è alimentato con energia ecologica certificata «naturemade star».</v>
      </c>
      <c r="E75" s="20"/>
      <c r="F75" s="106"/>
      <c r="N75" s="106"/>
      <c r="O75" s="106"/>
      <c r="P75" s="106"/>
      <c r="Q75" s="106"/>
      <c r="R75" s="106"/>
      <c r="S75" s="106"/>
    </row>
    <row r="76" spans="2:19" ht="13" customHeight="1">
      <c r="E76" s="20"/>
      <c r="F76" s="106"/>
      <c r="N76" s="106"/>
      <c r="O76" s="106"/>
      <c r="P76" s="106"/>
      <c r="Q76" s="106"/>
      <c r="R76" s="106"/>
      <c r="S76" s="106"/>
    </row>
    <row r="77" spans="2:19" ht="13" customHeight="1">
      <c r="E77" s="20"/>
      <c r="F77" s="106"/>
      <c r="N77" s="106"/>
      <c r="O77" s="106"/>
      <c r="P77" s="106"/>
      <c r="Q77" s="106"/>
      <c r="R77" s="106"/>
      <c r="S77" s="106"/>
    </row>
    <row r="78" spans="2:19" ht="13" customHeight="1">
      <c r="E78" s="20"/>
      <c r="F78" s="106"/>
      <c r="N78" s="106"/>
      <c r="O78" s="106"/>
      <c r="P78" s="106"/>
      <c r="Q78" s="106"/>
      <c r="R78" s="106"/>
      <c r="S78" s="106"/>
    </row>
    <row r="79" spans="2:19" ht="13" customHeight="1">
      <c r="E79" s="20"/>
      <c r="F79" s="106"/>
      <c r="N79" s="106"/>
      <c r="O79" s="106"/>
      <c r="P79" s="106"/>
      <c r="Q79" s="106"/>
      <c r="R79" s="106"/>
      <c r="S79" s="106"/>
    </row>
    <row r="80" spans="2:19" ht="13" customHeight="1">
      <c r="E80" s="118"/>
      <c r="F80" s="118"/>
      <c r="N80" s="106"/>
      <c r="O80" s="106"/>
      <c r="P80" s="106"/>
      <c r="Q80" s="106"/>
      <c r="R80" s="106"/>
      <c r="S80" s="106"/>
    </row>
    <row r="81" spans="5:19" ht="13" customHeight="1">
      <c r="E81" s="118"/>
      <c r="F81" s="118"/>
      <c r="N81" s="106"/>
      <c r="O81" s="106"/>
      <c r="P81" s="106"/>
      <c r="Q81" s="106"/>
      <c r="R81" s="106"/>
      <c r="S81" s="106"/>
    </row>
    <row r="82" spans="5:19" ht="13" customHeight="1">
      <c r="E82" s="118"/>
      <c r="F82" s="118"/>
      <c r="N82" s="106"/>
      <c r="O82" s="106"/>
      <c r="P82" s="106"/>
      <c r="Q82" s="106"/>
      <c r="R82" s="106"/>
      <c r="S82" s="106"/>
    </row>
    <row r="83" spans="5:19" ht="13" customHeight="1">
      <c r="N83" s="106"/>
      <c r="O83" s="106"/>
      <c r="P83" s="106"/>
      <c r="Q83" s="106"/>
      <c r="R83" s="106"/>
      <c r="S83" s="106"/>
    </row>
    <row r="84" spans="5:19" ht="13" customHeight="1">
      <c r="N84" s="106"/>
      <c r="O84" s="106"/>
      <c r="P84" s="106"/>
      <c r="Q84" s="106"/>
      <c r="R84" s="106"/>
      <c r="S84" s="106"/>
    </row>
    <row r="85" spans="5:19" ht="13" customHeight="1">
      <c r="N85" s="118"/>
      <c r="O85" s="118"/>
      <c r="P85" s="118"/>
      <c r="Q85" s="118"/>
      <c r="R85" s="118"/>
      <c r="S85" s="118"/>
    </row>
    <row r="86" spans="5:19" ht="13" customHeight="1">
      <c r="N86" s="118"/>
      <c r="O86" s="118"/>
      <c r="P86" s="118"/>
      <c r="Q86" s="118"/>
      <c r="R86" s="118"/>
      <c r="S86" s="118"/>
    </row>
    <row r="90" spans="5:19" ht="13" customHeight="1">
      <c r="N90" s="106"/>
      <c r="O90" s="106"/>
      <c r="P90" s="106"/>
      <c r="Q90" s="106"/>
      <c r="R90" s="106"/>
      <c r="S90" s="106"/>
    </row>
    <row r="91" spans="5:19" ht="13" customHeight="1">
      <c r="N91" s="106"/>
      <c r="O91" s="106"/>
      <c r="P91" s="106"/>
      <c r="Q91" s="106"/>
      <c r="R91" s="106"/>
      <c r="S91" s="106"/>
    </row>
    <row r="92" spans="5:19" ht="13" customHeight="1">
      <c r="N92" s="106"/>
      <c r="O92" s="106"/>
      <c r="P92" s="106"/>
      <c r="Q92" s="106"/>
      <c r="R92" s="106"/>
      <c r="S92" s="106"/>
    </row>
    <row r="93" spans="5:19" ht="13" customHeight="1">
      <c r="N93" s="106"/>
      <c r="O93" s="106"/>
      <c r="P93" s="106"/>
      <c r="Q93" s="106"/>
      <c r="R93" s="106"/>
      <c r="S93" s="106"/>
    </row>
    <row r="94" spans="5:19" ht="13" customHeight="1">
      <c r="N94" s="106"/>
      <c r="O94" s="106"/>
      <c r="P94" s="106"/>
      <c r="Q94" s="106"/>
      <c r="R94" s="106"/>
      <c r="S94" s="106"/>
    </row>
    <row r="95" spans="5:19" ht="13" customHeight="1">
      <c r="N95" s="106"/>
      <c r="O95" s="106"/>
      <c r="P95" s="106"/>
      <c r="Q95" s="106"/>
      <c r="R95" s="106"/>
      <c r="S95" s="106"/>
    </row>
    <row r="96" spans="5:19" ht="13" customHeight="1">
      <c r="N96" s="106"/>
      <c r="O96" s="106"/>
      <c r="P96" s="106"/>
      <c r="Q96" s="106"/>
      <c r="R96" s="106"/>
      <c r="S96" s="106"/>
    </row>
    <row r="97" spans="7:19" ht="13" customHeight="1">
      <c r="N97" s="106"/>
      <c r="O97" s="106"/>
      <c r="P97" s="106"/>
      <c r="Q97" s="106"/>
      <c r="R97" s="106"/>
      <c r="S97" s="106"/>
    </row>
    <row r="98" spans="7:19" ht="13" customHeight="1">
      <c r="N98" s="106"/>
      <c r="O98" s="106"/>
      <c r="P98" s="106"/>
      <c r="Q98" s="106"/>
      <c r="R98" s="106"/>
      <c r="S98" s="106"/>
    </row>
    <row r="99" spans="7:19" ht="13" customHeight="1">
      <c r="G99" s="49"/>
      <c r="N99" s="106"/>
      <c r="O99" s="106"/>
      <c r="P99" s="106"/>
      <c r="Q99" s="106"/>
      <c r="R99" s="106"/>
      <c r="S99" s="106"/>
    </row>
    <row r="100" spans="7:19" ht="13" customHeight="1">
      <c r="G100" s="49"/>
      <c r="N100" s="106"/>
      <c r="O100" s="106"/>
      <c r="P100" s="106"/>
      <c r="Q100" s="106"/>
      <c r="R100" s="106"/>
      <c r="S100" s="106"/>
    </row>
    <row r="101" spans="7:19" ht="13" customHeight="1">
      <c r="G101" s="49"/>
      <c r="N101" s="106"/>
      <c r="O101" s="106"/>
      <c r="P101" s="106"/>
      <c r="Q101" s="106"/>
      <c r="R101" s="106"/>
      <c r="S101" s="106"/>
    </row>
    <row r="102" spans="7:19" ht="13" customHeight="1">
      <c r="G102" s="49"/>
      <c r="N102" s="106"/>
      <c r="O102" s="106"/>
      <c r="P102" s="106"/>
      <c r="Q102" s="106"/>
      <c r="R102" s="106"/>
      <c r="S102" s="106"/>
    </row>
    <row r="103" spans="7:19" ht="13" customHeight="1">
      <c r="G103" s="49"/>
      <c r="N103" s="106"/>
      <c r="O103" s="106"/>
      <c r="P103" s="106"/>
      <c r="Q103" s="106"/>
      <c r="R103" s="106"/>
      <c r="S103" s="106"/>
    </row>
    <row r="104" spans="7:19" ht="13" customHeight="1">
      <c r="G104" s="49"/>
      <c r="N104" s="106"/>
      <c r="O104" s="106"/>
      <c r="P104" s="106"/>
      <c r="Q104" s="106"/>
      <c r="R104" s="106"/>
      <c r="S104" s="106"/>
    </row>
    <row r="105" spans="7:19" ht="13" customHeight="1">
      <c r="G105" s="49"/>
      <c r="N105" s="106"/>
      <c r="O105" s="106"/>
      <c r="P105" s="106"/>
      <c r="Q105" s="106"/>
      <c r="R105" s="106"/>
      <c r="S105" s="106"/>
    </row>
    <row r="106" spans="7:19" ht="13" customHeight="1">
      <c r="N106" s="106"/>
      <c r="O106" s="106"/>
      <c r="P106" s="106"/>
      <c r="Q106" s="106"/>
      <c r="R106" s="106"/>
      <c r="S106" s="106"/>
    </row>
    <row r="107" spans="7:19" ht="13" customHeight="1">
      <c r="N107" s="106"/>
      <c r="O107" s="106"/>
      <c r="P107" s="106"/>
      <c r="Q107" s="106"/>
      <c r="R107" s="106"/>
      <c r="S107" s="106"/>
    </row>
    <row r="111" spans="7:19" ht="13" customHeight="1">
      <c r="G111" s="48"/>
    </row>
    <row r="112" spans="7:19" ht="13" customHeight="1">
      <c r="G112" s="48"/>
    </row>
    <row r="113" spans="7:19" ht="13" customHeight="1">
      <c r="G113" s="49"/>
    </row>
    <row r="114" spans="7:19" ht="13" customHeight="1">
      <c r="G114" s="46"/>
      <c r="N114" s="118"/>
      <c r="O114" s="118"/>
      <c r="P114" s="118"/>
      <c r="Q114" s="118"/>
      <c r="R114" s="118"/>
      <c r="S114" s="118"/>
    </row>
    <row r="115" spans="7:19" ht="13" customHeight="1">
      <c r="G115" s="49"/>
      <c r="N115" s="118"/>
      <c r="O115" s="118"/>
      <c r="P115" s="118"/>
      <c r="Q115" s="118"/>
      <c r="R115" s="118"/>
      <c r="S115" s="118"/>
    </row>
    <row r="116" spans="7:19" ht="13" customHeight="1">
      <c r="G116" s="49"/>
    </row>
    <row r="117" spans="7:19" ht="13" customHeight="1">
      <c r="G117" s="49"/>
    </row>
    <row r="118" spans="7:19" ht="13" customHeight="1">
      <c r="G118" s="49"/>
    </row>
    <row r="119" spans="7:19" ht="13" customHeight="1">
      <c r="G119" s="54"/>
      <c r="N119" s="139"/>
      <c r="O119" s="139"/>
      <c r="P119" s="139"/>
      <c r="Q119" s="139"/>
      <c r="R119" s="139"/>
      <c r="S119" s="139"/>
    </row>
    <row r="120" spans="7:19" ht="13" customHeight="1">
      <c r="G120" s="54"/>
      <c r="N120" s="139"/>
      <c r="O120" s="139"/>
      <c r="P120" s="139"/>
      <c r="Q120" s="139"/>
      <c r="R120" s="139"/>
      <c r="S120" s="139"/>
    </row>
    <row r="121" spans="7:19" ht="13" customHeight="1">
      <c r="G121" s="54"/>
      <c r="N121" s="139"/>
      <c r="O121" s="139"/>
      <c r="P121" s="139"/>
      <c r="Q121" s="139"/>
      <c r="R121" s="139"/>
      <c r="S121" s="139"/>
    </row>
    <row r="122" spans="7:19" ht="13" customHeight="1">
      <c r="N122" s="139"/>
      <c r="O122" s="139"/>
      <c r="P122" s="139"/>
      <c r="Q122" s="139"/>
      <c r="R122" s="139"/>
      <c r="S122" s="139"/>
    </row>
    <row r="123" spans="7:19" ht="13" customHeight="1">
      <c r="N123" s="139"/>
      <c r="O123" s="139"/>
      <c r="P123" s="139"/>
      <c r="Q123" s="139"/>
      <c r="R123" s="139"/>
      <c r="S123" s="139"/>
    </row>
    <row r="124" spans="7:19" ht="13" customHeight="1">
      <c r="N124" s="139"/>
      <c r="O124" s="139"/>
      <c r="P124" s="139"/>
      <c r="Q124" s="139"/>
      <c r="R124" s="139"/>
      <c r="S124" s="139"/>
    </row>
    <row r="125" spans="7:19" ht="13" customHeight="1">
      <c r="N125" s="139"/>
      <c r="O125" s="139"/>
      <c r="P125" s="139"/>
      <c r="Q125" s="139"/>
      <c r="R125" s="139"/>
      <c r="S125" s="139"/>
    </row>
    <row r="126" spans="7:19" ht="13" customHeight="1">
      <c r="N126" s="139"/>
      <c r="O126" s="139"/>
      <c r="P126" s="139"/>
      <c r="Q126" s="139"/>
      <c r="R126" s="139"/>
      <c r="S126" s="139"/>
    </row>
  </sheetData>
  <sheetProtection algorithmName="SHA-512" hashValue="DZL2bO6hgfFpOTcC4XJsgn6f9rpcYnD75KePnojc2/MTCOE/UFyPtdnTHBJ0IMGbFtrSjWhHcy3zAusAR9wd8Q==" saltValue="rh+HfCfEWVV+IF7KdHPEFg==" spinCount="100000" sheet="1" objects="1" scenarios="1"/>
  <mergeCells count="5">
    <mergeCell ref="B63:C64"/>
    <mergeCell ref="B2:C2"/>
    <mergeCell ref="B3:C3"/>
    <mergeCell ref="B11:C12"/>
    <mergeCell ref="D2:E2"/>
  </mergeCells>
  <conditionalFormatting sqref="B75:D1048576 C71:D74 B1:D38 B39 D39 B40:D70 B72:B75">
    <cfRule type="expression" dxfId="55" priority="64">
      <formula>AND(B1&lt;&gt;"",NOT(_xlfn.ISFORMULA(B1)))</formula>
    </cfRule>
  </conditionalFormatting>
  <conditionalFormatting sqref="H25:O25 S25">
    <cfRule type="expression" dxfId="54" priority="59">
      <formula>AND($D25&lt;&gt;"",H$11&lt;&gt;"",H25="")</formula>
    </cfRule>
  </conditionalFormatting>
  <conditionalFormatting sqref="H25:O25 S25">
    <cfRule type="expression" dxfId="53" priority="60">
      <formula>AND($A25="",ABS(H25)=0)</formula>
    </cfRule>
    <cfRule type="expression" dxfId="52" priority="61">
      <formula>AND($A25="",ABS(H25)&lt;100)</formula>
    </cfRule>
    <cfRule type="expression" dxfId="51" priority="62">
      <formula>AND($A25="",ABS(H25)&lt;10)</formula>
    </cfRule>
    <cfRule type="expression" dxfId="50" priority="63">
      <formula>AND($A25="",ABS(H25)&gt;=100)</formula>
    </cfRule>
  </conditionalFormatting>
  <conditionalFormatting sqref="H26:O28 S26:S28">
    <cfRule type="expression" dxfId="49" priority="48">
      <formula>AND($A1="",ABS(H1)&lt;10000)</formula>
    </cfRule>
  </conditionalFormatting>
  <conditionalFormatting sqref="H42:O43 S42:S43">
    <cfRule type="expression" dxfId="48" priority="47">
      <formula>AND($A1048568="",ABS(H1048568)&lt;1000)</formula>
    </cfRule>
  </conditionalFormatting>
  <conditionalFormatting sqref="H49:O49 S49 H46:S47">
    <cfRule type="expression" dxfId="47" priority="46">
      <formula>AND($A1048559="",ABS(H1048559)&lt;1000)</formula>
    </cfRule>
  </conditionalFormatting>
  <conditionalFormatting sqref="H48:O48 S48">
    <cfRule type="expression" dxfId="46" priority="40">
      <formula>AND($A67="",ABS(H67)&lt;100)</formula>
    </cfRule>
    <cfRule type="expression" dxfId="45" priority="41">
      <formula>AND($A67="",ABS(H67)&gt;=100)</formula>
    </cfRule>
  </conditionalFormatting>
  <conditionalFormatting sqref="H67:O69 S67:S69">
    <cfRule type="expression" dxfId="44" priority="39">
      <formula>AND($A1048559="",ABS(H1048559)&lt;1000)</formula>
    </cfRule>
  </conditionalFormatting>
  <conditionalFormatting sqref="H34:O35 S34:S35 H37:S37 H31:S32">
    <cfRule type="expression" dxfId="43" priority="217">
      <formula>AND($A1048559="",ABS(H1048559)&lt;1000)</formula>
    </cfRule>
  </conditionalFormatting>
  <conditionalFormatting sqref="P25:R25">
    <cfRule type="expression" dxfId="42" priority="9">
      <formula>AND($D25&lt;&gt;"",P$11&lt;&gt;"",P25="")</formula>
    </cfRule>
  </conditionalFormatting>
  <conditionalFormatting sqref="P25:R25">
    <cfRule type="expression" dxfId="41" priority="10">
      <formula>AND($A25="",ABS(P25)=0)</formula>
    </cfRule>
    <cfRule type="expression" dxfId="40" priority="11">
      <formula>AND($A25="",ABS(P25)&lt;100)</formula>
    </cfRule>
    <cfRule type="expression" dxfId="39" priority="12">
      <formula>AND($A25="",ABS(P25)&lt;10)</formula>
    </cfRule>
    <cfRule type="expression" dxfId="38" priority="13">
      <formula>AND($A25="",ABS(P25)&gt;=100)</formula>
    </cfRule>
  </conditionalFormatting>
  <conditionalFormatting sqref="P26:R28">
    <cfRule type="expression" dxfId="37" priority="8">
      <formula>AND($A1="",ABS(P1)&lt;10000)</formula>
    </cfRule>
  </conditionalFormatting>
  <conditionalFormatting sqref="P42:R43">
    <cfRule type="expression" dxfId="36" priority="7">
      <formula>AND($A1048568="",ABS(P1048568)&lt;1000)</formula>
    </cfRule>
  </conditionalFormatting>
  <conditionalFormatting sqref="P49:R49">
    <cfRule type="expression" dxfId="35" priority="6">
      <formula>AND($A1048562="",ABS(P1048562)&lt;1000)</formula>
    </cfRule>
  </conditionalFormatting>
  <conditionalFormatting sqref="P48:R48">
    <cfRule type="expression" dxfId="34" priority="4">
      <formula>AND($A67="",ABS(P67)&lt;100)</formula>
    </cfRule>
    <cfRule type="expression" dxfId="33" priority="5">
      <formula>AND($A67="",ABS(P67)&gt;=100)</formula>
    </cfRule>
  </conditionalFormatting>
  <conditionalFormatting sqref="P67:Q69">
    <cfRule type="expression" dxfId="32" priority="3">
      <formula>AND($A1048559="",ABS(P1048559)&lt;1000)</formula>
    </cfRule>
  </conditionalFormatting>
  <conditionalFormatting sqref="P34:R35">
    <cfRule type="expression" dxfId="31" priority="19">
      <formula>AND($A1048562="",ABS(P1048562)&lt;1000)</formula>
    </cfRule>
  </conditionalFormatting>
  <conditionalFormatting sqref="R67:R69">
    <cfRule type="expression" dxfId="30" priority="1">
      <formula>AND($A1048559="",ABS(R1048559)&lt;1000)</formula>
    </cfRule>
  </conditionalFormatting>
  <dataValidations count="2">
    <dataValidation type="list" allowBlank="1" showInputMessage="1" showErrorMessage="1" sqref="G2" xr:uid="{00000000-0002-0000-0500-000000000000}">
      <formula1>Sprache</formula1>
    </dataValidation>
    <dataValidation allowBlank="1" showInputMessage="1" showErrorMessage="1" sqref="F2" xr:uid="{00000000-0002-0000-0500-000001000000}"/>
  </dataValidations>
  <hyperlinks>
    <hyperlink ref="C7" location="GRI_302_1" display="GRI_302_1" xr:uid="{00000000-0004-0000-0500-000000000000}"/>
    <hyperlink ref="C8" location="GRI_302_2" display="GRI_302_2" xr:uid="{00000000-0004-0000-0500-000001000000}"/>
    <hyperlink ref="A11" location="GRI_302" display="Ó" xr:uid="{00000000-0004-0000-0500-000002000000}"/>
    <hyperlink ref="A63" location="GRI_302" display="Ó" xr:uid="{00000000-0004-0000-0500-000003000000}"/>
    <hyperlink ref="D2" location="Home" display="Home" xr:uid="{00000000-0004-0000-0500-000004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1">
    <tabColor rgb="FF006D68"/>
  </sheetPr>
  <dimension ref="A2:CE122"/>
  <sheetViews>
    <sheetView showGridLines="0" showRowColHeaders="0" zoomScale="85" zoomScaleNormal="85" workbookViewId="0">
      <pane xSplit="7" topLeftCell="R1" activePane="topRight" state="frozen"/>
      <selection activeCell="B73" sqref="B73"/>
      <selection pane="topRight" activeCell="B113" sqref="B113"/>
    </sheetView>
  </sheetViews>
  <sheetFormatPr baseColWidth="10" defaultColWidth="10.796875" defaultRowHeight="13" customHeight="1"/>
  <cols>
    <col min="1" max="1" width="2.3984375" style="65" customWidth="1"/>
    <col min="2" max="2" width="2.3984375" style="1" customWidth="1"/>
    <col min="3" max="3" width="61.3984375" style="1" customWidth="1"/>
    <col min="4" max="4" width="35.3984375" style="1" customWidth="1"/>
    <col min="5" max="5" width="9.3984375" style="37" customWidth="1"/>
    <col min="6" max="6" width="14.19921875" style="37" customWidth="1"/>
    <col min="7" max="7" width="2.3984375" style="47" customWidth="1"/>
    <col min="8" max="13" width="11.796875" style="106" customWidth="1"/>
    <col min="14" max="19" width="11.796875" style="20" customWidth="1"/>
    <col min="20" max="83" width="11.796875" style="37" customWidth="1"/>
    <col min="84" max="16384" width="10.796875" style="1"/>
  </cols>
  <sheetData>
    <row r="2" spans="1:83" s="152" customFormat="1" ht="26" customHeight="1">
      <c r="A2" s="63"/>
      <c r="B2" s="493" t="str">
        <f>UPPER(RIGHT(Inhaltsverzeichnis!$C$22,LEN(Inhaltsverzeichnis!$C$22)-FIND(" – ",Inhaltsverzeichnis!$C$22,1)-2))</f>
        <v>EMISSIONI</v>
      </c>
      <c r="C2" s="493"/>
      <c r="D2" s="489" t="str">
        <f>VLOOKUP(35,Textbausteine_Menu[],Hilfsgrössen!$D$2,FALSE)</f>
        <v>torna alla tabella dei contenuti</v>
      </c>
      <c r="E2" s="490"/>
      <c r="F2" s="144" t="s">
        <v>0</v>
      </c>
      <c r="G2" s="168"/>
      <c r="H2" s="135"/>
      <c r="I2" s="135"/>
      <c r="J2" s="135"/>
      <c r="K2" s="135"/>
      <c r="L2" s="135"/>
      <c r="M2" s="135"/>
      <c r="N2" s="115"/>
      <c r="O2" s="115"/>
      <c r="P2" s="115"/>
      <c r="Q2" s="115"/>
      <c r="R2" s="115"/>
      <c r="S2" s="115"/>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row>
    <row r="3" spans="1:83" s="153" customFormat="1" ht="26" customHeight="1">
      <c r="A3" s="64"/>
      <c r="B3" s="494" t="str">
        <f>UPPER("GRI "&amp;LEFT(Inhaltsverzeichnis!$C$22,3))</f>
        <v>GRI 305</v>
      </c>
      <c r="C3" s="494"/>
      <c r="D3" s="481"/>
      <c r="E3" s="38"/>
      <c r="F3" s="38"/>
      <c r="G3" s="45"/>
      <c r="H3" s="135"/>
      <c r="I3" s="135"/>
      <c r="J3" s="135"/>
      <c r="K3" s="135"/>
      <c r="L3" s="135"/>
      <c r="M3" s="135"/>
      <c r="N3" s="115"/>
      <c r="O3" s="115"/>
      <c r="P3" s="115"/>
      <c r="Q3" s="115"/>
      <c r="R3" s="115"/>
      <c r="S3" s="115"/>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row>
    <row r="6" spans="1:83" s="31" customFormat="1" ht="13" customHeight="1">
      <c r="A6" s="55"/>
      <c r="B6" s="31" t="str">
        <f>VLOOKUP(31,Textbausteine_Menu[],Hilfsgrössen!$D$2,FALSE)</f>
        <v>Divulgazioni</v>
      </c>
      <c r="E6" s="39"/>
      <c r="F6" s="39"/>
      <c r="G6" s="46"/>
      <c r="H6" s="106"/>
      <c r="I6" s="106"/>
      <c r="J6" s="106"/>
      <c r="K6" s="106"/>
      <c r="L6" s="106"/>
      <c r="M6" s="106"/>
      <c r="N6" s="20"/>
      <c r="O6" s="20"/>
      <c r="P6" s="20"/>
      <c r="Q6" s="20"/>
      <c r="R6" s="20"/>
      <c r="S6" s="20"/>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row>
    <row r="7" spans="1:83" ht="13" customHeight="1">
      <c r="B7" s="2"/>
      <c r="C7" s="5" t="str">
        <f>VLOOKUP(1,Textbausteine_305[],Hilfsgrössen!$D$2,FALSE)</f>
        <v>Emissioni di gas serra</v>
      </c>
      <c r="D7" s="4"/>
    </row>
    <row r="8" spans="1:83" ht="13" customHeight="1">
      <c r="B8" s="2"/>
      <c r="C8" s="5" t="str">
        <f>VLOOKUP(2,Textbausteine_305[],Hilfsgrössen!$D$2,FALSE)</f>
        <v>Intensità delle emissioni di gas serra</v>
      </c>
      <c r="D8" s="4"/>
    </row>
    <row r="9" spans="1:83" ht="13" customHeight="1">
      <c r="B9" s="2"/>
      <c r="C9" s="5" t="str">
        <f>VLOOKUP(3,Textbausteine_305[],Hilfsgrössen!$D$2,FALSE)</f>
        <v>Emissioni di gas serra compensate</v>
      </c>
      <c r="D9" s="4"/>
    </row>
    <row r="10" spans="1:83" ht="13" customHeight="1">
      <c r="B10" s="2"/>
      <c r="C10" s="5" t="str">
        <f>VLOOKUP(4,Textbausteine_305[],Hilfsgrössen!$D$2,FALSE)</f>
        <v>Altre cifre sui gas serra</v>
      </c>
      <c r="D10" s="4"/>
      <c r="E10" s="39"/>
      <c r="F10" s="39"/>
      <c r="H10" s="20"/>
      <c r="I10" s="20"/>
      <c r="J10" s="20"/>
      <c r="K10" s="20"/>
      <c r="L10" s="20"/>
      <c r="M10" s="20"/>
      <c r="T10" s="7"/>
      <c r="U10" s="7"/>
      <c r="V10" s="7"/>
      <c r="W10" s="7"/>
      <c r="X10" s="7"/>
      <c r="Y10" s="7"/>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row>
    <row r="11" spans="1:83" ht="13" customHeight="1">
      <c r="B11" s="2"/>
      <c r="C11" s="147" t="str">
        <f>VLOOKUP(5,Textbausteine_305[],Hilfsgrössen!$D$2,FALSE)</f>
        <v>Emissioni di inquinanti atmosferici</v>
      </c>
      <c r="D11" s="4"/>
      <c r="E11" s="40"/>
      <c r="F11" s="40"/>
      <c r="H11" s="126"/>
      <c r="I11" s="126"/>
      <c r="J11" s="126"/>
      <c r="K11" s="126"/>
      <c r="L11" s="126"/>
      <c r="M11" s="126"/>
      <c r="N11" s="119"/>
      <c r="O11" s="119"/>
      <c r="P11" s="119"/>
      <c r="Q11" s="119"/>
      <c r="R11" s="119"/>
      <c r="S11" s="119"/>
      <c r="T11" s="130"/>
      <c r="U11" s="117"/>
      <c r="V11" s="117"/>
      <c r="W11" s="117"/>
      <c r="X11" s="117"/>
      <c r="Y11" s="117"/>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row>
    <row r="12" spans="1:83" ht="13" customHeight="1">
      <c r="B12" s="2"/>
      <c r="E12" s="12"/>
      <c r="F12" s="11"/>
      <c r="G12" s="48"/>
      <c r="T12" s="11"/>
      <c r="U12" s="11"/>
      <c r="V12" s="11"/>
      <c r="W12" s="11"/>
      <c r="X12" s="11"/>
      <c r="Y12" s="11"/>
    </row>
    <row r="13" spans="1:83" ht="13" customHeight="1">
      <c r="B13" s="2"/>
      <c r="E13" s="11"/>
      <c r="F13" s="11"/>
      <c r="G13" s="48"/>
      <c r="H13" s="20"/>
      <c r="I13" s="20"/>
      <c r="L13" s="136"/>
      <c r="M13" s="136"/>
      <c r="T13" s="14"/>
      <c r="U13" s="73"/>
      <c r="V13" s="73"/>
      <c r="W13" s="73"/>
      <c r="X13" s="73"/>
      <c r="Y13" s="17"/>
    </row>
    <row r="14" spans="1:83" s="31" customFormat="1" ht="13" customHeight="1">
      <c r="A14" s="188" t="s">
        <v>27</v>
      </c>
      <c r="B14" s="488" t="str">
        <f>$C$7</f>
        <v>Emissioni di gas serra</v>
      </c>
      <c r="C14" s="488"/>
      <c r="D14" s="6" t="str">
        <f>VLOOKUP(32,Textbausteine_Menu[],Hilfsgrössen!$D$2,FALSE)</f>
        <v>Unità</v>
      </c>
      <c r="E14" s="40" t="str">
        <f>VLOOKUP(33,Textbausteine_Menu[],Hilfsgrössen!$D$2,FALSE)</f>
        <v>Note</v>
      </c>
      <c r="F14" s="40" t="str">
        <f>VLOOKUP(34,Textbausteine_Menu[],Hilfsgrössen!$D$2,FALSE)</f>
        <v>GRI</v>
      </c>
      <c r="G14" s="49"/>
      <c r="H14" s="116">
        <v>2010</v>
      </c>
      <c r="I14" s="116">
        <v>2011</v>
      </c>
      <c r="J14" s="102">
        <v>2012</v>
      </c>
      <c r="K14" s="102">
        <v>2013</v>
      </c>
      <c r="L14" s="140">
        <v>2014</v>
      </c>
      <c r="M14" s="140">
        <v>2015</v>
      </c>
      <c r="N14" s="116">
        <v>2016</v>
      </c>
      <c r="O14" s="116">
        <v>2017</v>
      </c>
      <c r="P14" s="116">
        <v>2018</v>
      </c>
      <c r="Q14" s="116">
        <v>2019</v>
      </c>
      <c r="R14" s="116" t="s">
        <v>136</v>
      </c>
      <c r="S14" s="141">
        <v>2020</v>
      </c>
      <c r="T14" s="123"/>
      <c r="U14" s="120"/>
      <c r="V14" s="120"/>
      <c r="W14" s="120"/>
      <c r="X14" s="120"/>
      <c r="Y14" s="120"/>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row>
    <row r="15" spans="1:83" s="31" customFormat="1" ht="13" customHeight="1">
      <c r="A15" s="55"/>
      <c r="B15" s="488"/>
      <c r="C15" s="488"/>
      <c r="D15" s="6"/>
      <c r="E15" s="11"/>
      <c r="F15" s="11"/>
      <c r="G15" s="49"/>
      <c r="H15" s="20"/>
      <c r="I15" s="20"/>
      <c r="J15" s="106"/>
      <c r="K15" s="106"/>
      <c r="L15" s="136"/>
      <c r="M15" s="136"/>
      <c r="N15" s="118"/>
      <c r="O15" s="118"/>
      <c r="P15" s="118"/>
      <c r="Q15" s="118"/>
      <c r="R15" s="118"/>
      <c r="S15" s="133"/>
      <c r="T15" s="14"/>
      <c r="U15" s="14"/>
      <c r="V15" s="14"/>
      <c r="W15" s="14"/>
      <c r="X15" s="14"/>
      <c r="Y15" s="11"/>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row>
    <row r="16" spans="1:83" ht="13" customHeight="1">
      <c r="B16" s="8"/>
      <c r="C16" s="9"/>
      <c r="D16" s="9"/>
      <c r="E16" s="11"/>
      <c r="F16" s="11"/>
      <c r="G16" s="49"/>
      <c r="H16" s="20"/>
      <c r="I16" s="20"/>
      <c r="L16" s="136"/>
      <c r="M16" s="136"/>
      <c r="N16" s="118"/>
      <c r="O16" s="118"/>
      <c r="P16" s="118"/>
      <c r="Q16" s="118"/>
      <c r="R16" s="118"/>
      <c r="S16" s="133"/>
      <c r="T16" s="122"/>
      <c r="U16" s="73"/>
      <c r="V16" s="73"/>
      <c r="W16" s="73"/>
      <c r="X16" s="73"/>
      <c r="Y16" s="17"/>
    </row>
    <row r="17" spans="2:25" ht="13" customHeight="1">
      <c r="B17" s="8" t="str">
        <f>VLOOKUP(36,Textbausteine_Menu[],Hilfsgrössen!$D$2,FALSE)</f>
        <v>Gruppo</v>
      </c>
      <c r="C17" s="8"/>
      <c r="D17" s="66"/>
      <c r="E17" s="11"/>
      <c r="F17" s="11"/>
      <c r="G17" s="49"/>
      <c r="H17" s="20"/>
      <c r="I17" s="20"/>
      <c r="J17" s="137"/>
      <c r="L17" s="136"/>
      <c r="M17" s="136"/>
      <c r="S17" s="132"/>
      <c r="T17" s="14"/>
      <c r="U17" s="73"/>
      <c r="V17" s="73"/>
      <c r="W17" s="73"/>
      <c r="X17" s="73"/>
      <c r="Y17" s="11"/>
    </row>
    <row r="18" spans="2:25" ht="13" customHeight="1">
      <c r="C18" s="8" t="str">
        <f>VLOOKUP(31,Textbausteine_305[],Hilfsgrössen!$D$2,FALSE)</f>
        <v>Per processo</v>
      </c>
      <c r="D18" s="66"/>
      <c r="E18" s="11"/>
      <c r="F18" s="11"/>
      <c r="G18" s="49"/>
      <c r="H18" s="20"/>
      <c r="I18" s="20"/>
      <c r="L18" s="136"/>
      <c r="M18" s="136"/>
      <c r="N18" s="106"/>
      <c r="O18" s="106"/>
      <c r="P18" s="106"/>
      <c r="Q18" s="106"/>
      <c r="R18" s="106"/>
      <c r="S18" s="138"/>
      <c r="T18" s="14"/>
      <c r="U18" s="73"/>
      <c r="V18" s="73"/>
      <c r="W18" s="73"/>
      <c r="X18" s="73"/>
      <c r="Y18" s="17"/>
    </row>
    <row r="19" spans="2:25" ht="13" customHeight="1">
      <c r="C19" s="19" t="str">
        <f>VLOOKUP(32,Textbausteine_305[],Hilfsgrössen!$D$2,FALSE)</f>
        <v>Erogazione di servizi</v>
      </c>
      <c r="D19" s="66" t="str">
        <f>VLOOKUP(11,Textbausteine_305[],Hilfsgrössen!$D$2,FALSE)</f>
        <v>t di CO2 equivalenti</v>
      </c>
      <c r="E19" s="11">
        <v>2</v>
      </c>
      <c r="F19" s="11"/>
      <c r="G19" s="49"/>
      <c r="H19" s="20">
        <v>478253</v>
      </c>
      <c r="I19" s="20">
        <v>463248</v>
      </c>
      <c r="J19" s="106">
        <v>478020</v>
      </c>
      <c r="K19" s="106">
        <v>449174</v>
      </c>
      <c r="L19" s="106">
        <v>442202</v>
      </c>
      <c r="M19" s="136">
        <v>440728</v>
      </c>
      <c r="N19" s="106">
        <v>446151.36167582998</v>
      </c>
      <c r="O19" s="106">
        <v>436549.74852076999</v>
      </c>
      <c r="P19" s="106">
        <v>439954.81451882998</v>
      </c>
      <c r="Q19" s="106">
        <v>408784</v>
      </c>
      <c r="R19" s="106">
        <v>422747.79000000004</v>
      </c>
      <c r="S19" s="138">
        <v>408405.32999999996</v>
      </c>
      <c r="T19" s="13"/>
      <c r="U19" s="71"/>
      <c r="V19" s="71"/>
      <c r="W19" s="71"/>
      <c r="X19" s="71"/>
      <c r="Y19" s="17"/>
    </row>
    <row r="20" spans="2:25" ht="13" customHeight="1">
      <c r="C20" s="216" t="str">
        <f>VLOOKUP(33,Textbausteine_305[],Hilfsgrössen!$D$2,FALSE)</f>
        <v>Edifici</v>
      </c>
      <c r="D20" s="66" t="str">
        <f>VLOOKUP(11,Textbausteine_305[],Hilfsgrössen!$D$2,FALSE)</f>
        <v>t di CO2 equivalenti</v>
      </c>
      <c r="E20" s="11">
        <v>2</v>
      </c>
      <c r="F20" s="11"/>
      <c r="G20" s="49"/>
      <c r="H20" s="106">
        <v>116701</v>
      </c>
      <c r="I20" s="106">
        <v>99636</v>
      </c>
      <c r="J20" s="106">
        <v>98712</v>
      </c>
      <c r="K20" s="106">
        <v>88695</v>
      </c>
      <c r="L20" s="106">
        <v>84265</v>
      </c>
      <c r="M20" s="106">
        <v>80863</v>
      </c>
      <c r="N20" s="106">
        <v>75302.539396716005</v>
      </c>
      <c r="O20" s="106">
        <f t="shared" ref="O20" si="0">SUM(O21:O23)</f>
        <v>74730</v>
      </c>
      <c r="P20" s="106">
        <v>74354.932472487999</v>
      </c>
      <c r="Q20" s="106">
        <v>70772</v>
      </c>
      <c r="R20" s="106">
        <v>71218.200000000012</v>
      </c>
      <c r="S20" s="138">
        <v>66356.84</v>
      </c>
    </row>
    <row r="21" spans="2:25" ht="13" customHeight="1">
      <c r="C21" s="223" t="str">
        <f>VLOOKUP(34,Textbausteine_305[],Hilfsgrössen!$D$2,FALSE)</f>
        <v>Riscaldamento</v>
      </c>
      <c r="D21" s="66" t="str">
        <f>VLOOKUP(11,Textbausteine_305[],Hilfsgrössen!$D$2,FALSE)</f>
        <v>t di CO2 equivalenti</v>
      </c>
      <c r="E21" s="11">
        <v>2</v>
      </c>
      <c r="F21" s="11"/>
      <c r="G21" s="49"/>
      <c r="H21" s="106">
        <v>54661</v>
      </c>
      <c r="I21" s="106">
        <v>46183</v>
      </c>
      <c r="J21" s="106">
        <v>44539</v>
      </c>
      <c r="K21" s="106">
        <v>39441</v>
      </c>
      <c r="L21" s="106">
        <v>33088</v>
      </c>
      <c r="M21" s="106">
        <v>31853</v>
      </c>
      <c r="N21" s="106">
        <v>30967.381685439999</v>
      </c>
      <c r="O21" s="106">
        <v>30661</v>
      </c>
      <c r="P21" s="106">
        <v>33938.287700442997</v>
      </c>
      <c r="Q21" s="106">
        <v>33167</v>
      </c>
      <c r="R21" s="106">
        <v>33230.19</v>
      </c>
      <c r="S21" s="138">
        <v>32530.89</v>
      </c>
    </row>
    <row r="22" spans="2:25" ht="13" customHeight="1">
      <c r="C22" s="223" t="str">
        <f>VLOOKUP(35,Textbausteine_305[],Hilfsgrössen!$D$2,FALSE)</f>
        <v>Energia elettrica</v>
      </c>
      <c r="D22" s="66" t="str">
        <f>VLOOKUP(11,Textbausteine_305[],Hilfsgrössen!$D$2,FALSE)</f>
        <v>t di CO2 equivalenti</v>
      </c>
      <c r="E22" s="11">
        <v>1</v>
      </c>
      <c r="F22" s="11"/>
      <c r="G22" s="49"/>
      <c r="H22" s="106">
        <v>40209</v>
      </c>
      <c r="I22" s="106">
        <v>31902</v>
      </c>
      <c r="J22" s="106">
        <v>32001</v>
      </c>
      <c r="K22" s="106">
        <v>30455</v>
      </c>
      <c r="L22" s="106">
        <v>32853</v>
      </c>
      <c r="M22" s="106">
        <v>31189</v>
      </c>
      <c r="N22" s="106">
        <v>28441.728036182001</v>
      </c>
      <c r="O22" s="106">
        <v>28430</v>
      </c>
      <c r="P22" s="106">
        <v>26768.113074828001</v>
      </c>
      <c r="Q22" s="106">
        <v>25396</v>
      </c>
      <c r="R22" s="106">
        <v>25778.83</v>
      </c>
      <c r="S22" s="138">
        <v>22785.07</v>
      </c>
    </row>
    <row r="23" spans="2:25" ht="13" customHeight="1">
      <c r="C23" s="223" t="str">
        <f>VLOOKUP(36,Textbausteine_305[],Hilfsgrössen!$D$2,FALSE)</f>
        <v>Refrigeranti, risorse e rifiuti</v>
      </c>
      <c r="D23" s="66" t="str">
        <f>VLOOKUP(11,Textbausteine_305[],Hilfsgrössen!$D$2,FALSE)</f>
        <v>t di CO2 equivalenti</v>
      </c>
      <c r="E23" s="11">
        <v>2</v>
      </c>
      <c r="F23" s="11"/>
      <c r="G23" s="49"/>
      <c r="H23" s="106">
        <v>21831</v>
      </c>
      <c r="I23" s="106">
        <v>21551</v>
      </c>
      <c r="J23" s="106">
        <v>22172</v>
      </c>
      <c r="K23" s="106">
        <v>18799</v>
      </c>
      <c r="L23" s="106">
        <v>18324</v>
      </c>
      <c r="M23" s="106">
        <v>17821</v>
      </c>
      <c r="N23" s="106">
        <v>15893.429675093999</v>
      </c>
      <c r="O23" s="106">
        <v>15639</v>
      </c>
      <c r="P23" s="106">
        <v>13648.531697216</v>
      </c>
      <c r="Q23" s="106">
        <v>12209</v>
      </c>
      <c r="R23" s="106">
        <v>12209.18</v>
      </c>
      <c r="S23" s="138">
        <v>11040.88</v>
      </c>
    </row>
    <row r="24" spans="2:25" ht="13" customHeight="1">
      <c r="C24" s="216" t="str">
        <f>VLOOKUP(37,Textbausteine_305[],Hilfsgrössen!$D$2,FALSE)</f>
        <v>Mobilità</v>
      </c>
      <c r="D24" s="66" t="str">
        <f>VLOOKUP(11,Textbausteine_305[],Hilfsgrössen!$D$2,FALSE)</f>
        <v>t di CO2 equivalenti</v>
      </c>
      <c r="E24" s="11">
        <v>2</v>
      </c>
      <c r="F24" s="11"/>
      <c r="G24" s="49"/>
      <c r="H24" s="106">
        <v>361552</v>
      </c>
      <c r="I24" s="106">
        <v>363611</v>
      </c>
      <c r="J24" s="106">
        <v>379309</v>
      </c>
      <c r="K24" s="106">
        <v>360479.050086</v>
      </c>
      <c r="L24" s="106">
        <v>357936.04966800002</v>
      </c>
      <c r="M24" s="106">
        <v>359864.04543599999</v>
      </c>
      <c r="N24" s="106">
        <v>370848.82227910816</v>
      </c>
      <c r="O24" s="106">
        <f t="shared" ref="O24" si="1">SUM(O25,O26,O32,O33)</f>
        <v>361818.88903891662</v>
      </c>
      <c r="P24" s="106">
        <v>365599.88204633998</v>
      </c>
      <c r="Q24" s="106">
        <v>338012</v>
      </c>
      <c r="R24" s="106">
        <v>351529.59</v>
      </c>
      <c r="S24" s="138">
        <v>342048.49</v>
      </c>
    </row>
    <row r="25" spans="2:25" ht="13" customHeight="1">
      <c r="C25" s="218" t="str">
        <f>VLOOKUP(38,Textbausteine_305[],Hilfsgrössen!$D$2,FALSE)</f>
        <v>Trasporto persone</v>
      </c>
      <c r="D25" s="66" t="str">
        <f>VLOOKUP(11,Textbausteine_305[],Hilfsgrössen!$D$2,FALSE)</f>
        <v>t di CO2 equivalenti</v>
      </c>
      <c r="E25" s="11">
        <v>2</v>
      </c>
      <c r="F25" s="11"/>
      <c r="G25" s="49"/>
      <c r="H25" s="106">
        <v>145129</v>
      </c>
      <c r="I25" s="106">
        <v>150581</v>
      </c>
      <c r="J25" s="106">
        <v>157333</v>
      </c>
      <c r="K25" s="106">
        <v>166232</v>
      </c>
      <c r="L25" s="106">
        <v>167441</v>
      </c>
      <c r="M25" s="106">
        <v>169933</v>
      </c>
      <c r="N25" s="106">
        <v>179348.87068190001</v>
      </c>
      <c r="O25" s="106">
        <v>177817.08560113999</v>
      </c>
      <c r="P25" s="106">
        <v>180687.69761884</v>
      </c>
      <c r="Q25" s="106">
        <v>158991</v>
      </c>
      <c r="R25" s="106">
        <v>158991.23000000001</v>
      </c>
      <c r="S25" s="138">
        <v>150301.54999999999</v>
      </c>
    </row>
    <row r="26" spans="2:25" ht="13" customHeight="1">
      <c r="C26" s="218" t="str">
        <f>VLOOKUP(39,Textbausteine_305[],Hilfsgrössen!$D$2,FALSE)</f>
        <v>Trasporto merci</v>
      </c>
      <c r="D26" s="66" t="str">
        <f>VLOOKUP(11,Textbausteine_305[],Hilfsgrössen!$D$2,FALSE)</f>
        <v>t di CO2 equivalenti</v>
      </c>
      <c r="E26" s="11">
        <v>2</v>
      </c>
      <c r="F26" s="11"/>
      <c r="G26" s="49"/>
      <c r="H26" s="106">
        <v>158386</v>
      </c>
      <c r="I26" s="106">
        <v>155349</v>
      </c>
      <c r="J26" s="106">
        <v>163650</v>
      </c>
      <c r="K26" s="106">
        <v>134655.050086</v>
      </c>
      <c r="L26" s="106">
        <v>128576.04966800001</v>
      </c>
      <c r="M26" s="106">
        <v>128391.045436</v>
      </c>
      <c r="N26" s="106">
        <v>132810.19582265869</v>
      </c>
      <c r="O26" s="106">
        <f t="shared" ref="O26" si="2">SUM(O27:O31)</f>
        <v>126530.2519180572</v>
      </c>
      <c r="P26" s="106">
        <v>128250.95168711001</v>
      </c>
      <c r="Q26" s="106">
        <v>125484</v>
      </c>
      <c r="R26" s="106">
        <v>138936.80000000002</v>
      </c>
      <c r="S26" s="138">
        <v>147019.31</v>
      </c>
    </row>
    <row r="27" spans="2:25" ht="13" customHeight="1">
      <c r="C27" s="224" t="str">
        <f>VLOOKUP(40,Textbausteine_305[],Hilfsgrössen!$D$2,FALSE)</f>
        <v>Sito di produzione</v>
      </c>
      <c r="D27" s="66" t="str">
        <f>VLOOKUP(11,Textbausteine_305[],Hilfsgrössen!$D$2,FALSE)</f>
        <v>t di CO2 equivalenti</v>
      </c>
      <c r="E27" s="11">
        <v>2</v>
      </c>
      <c r="F27" s="11"/>
      <c r="G27" s="49"/>
      <c r="H27" s="106">
        <v>623</v>
      </c>
      <c r="I27" s="106">
        <v>658</v>
      </c>
      <c r="J27" s="106">
        <v>665</v>
      </c>
      <c r="K27" s="106">
        <v>591</v>
      </c>
      <c r="L27" s="106">
        <v>673</v>
      </c>
      <c r="M27" s="106">
        <v>572</v>
      </c>
      <c r="N27" s="106">
        <v>589.93020036760004</v>
      </c>
      <c r="O27" s="106">
        <v>1041.5849523159</v>
      </c>
      <c r="P27" s="106">
        <v>820.06261596723004</v>
      </c>
      <c r="Q27" s="106">
        <v>1039</v>
      </c>
      <c r="R27" s="106">
        <v>1039.1600000000001</v>
      </c>
      <c r="S27" s="138">
        <v>1128.52</v>
      </c>
    </row>
    <row r="28" spans="2:25" ht="13" customHeight="1">
      <c r="C28" s="224" t="str">
        <f>VLOOKUP(41,Textbausteine_305[],Hilfsgrössen!$D$2,FALSE)</f>
        <v>Gomma</v>
      </c>
      <c r="D28" s="66" t="str">
        <f>VLOOKUP(11,Textbausteine_305[],Hilfsgrössen!$D$2,FALSE)</f>
        <v>t di CO2 equivalenti</v>
      </c>
      <c r="E28" s="11">
        <v>2</v>
      </c>
      <c r="F28" s="11"/>
      <c r="G28" s="49"/>
      <c r="H28" s="106">
        <v>100078</v>
      </c>
      <c r="I28" s="106">
        <v>94364</v>
      </c>
      <c r="J28" s="106">
        <v>94257</v>
      </c>
      <c r="K28" s="106">
        <v>94686</v>
      </c>
      <c r="L28" s="106">
        <v>89603</v>
      </c>
      <c r="M28" s="106">
        <v>88652</v>
      </c>
      <c r="N28" s="106">
        <v>89117.372014599998</v>
      </c>
      <c r="O28" s="106">
        <v>88326.869325242995</v>
      </c>
      <c r="P28" s="106">
        <v>91709.252918305996</v>
      </c>
      <c r="Q28" s="106">
        <v>91340</v>
      </c>
      <c r="R28" s="106">
        <v>102858.66</v>
      </c>
      <c r="S28" s="138">
        <v>112376.06</v>
      </c>
    </row>
    <row r="29" spans="2:25" ht="13" customHeight="1">
      <c r="C29" s="224" t="str">
        <f>VLOOKUP(42,Textbausteine_305[],Hilfsgrössen!$D$2,FALSE)</f>
        <v>Rotaia</v>
      </c>
      <c r="D29" s="66" t="str">
        <f>VLOOKUP(11,Textbausteine_305[],Hilfsgrössen!$D$2,FALSE)</f>
        <v>t di CO2 equivalenti</v>
      </c>
      <c r="E29" s="11">
        <v>2</v>
      </c>
      <c r="F29" s="13"/>
      <c r="G29" s="49"/>
      <c r="H29" s="106">
        <v>1395</v>
      </c>
      <c r="I29" s="106">
        <v>1389</v>
      </c>
      <c r="J29" s="106">
        <v>1336</v>
      </c>
      <c r="K29" s="106">
        <v>1468</v>
      </c>
      <c r="L29" s="106">
        <v>1572</v>
      </c>
      <c r="M29" s="106">
        <v>1668</v>
      </c>
      <c r="N29" s="106">
        <v>1718.3006751521</v>
      </c>
      <c r="O29" s="106">
        <v>1487.9082858683</v>
      </c>
      <c r="P29" s="106">
        <v>1484.2324832917</v>
      </c>
      <c r="Q29" s="106">
        <v>1516</v>
      </c>
      <c r="R29" s="106">
        <v>1516.07</v>
      </c>
      <c r="S29" s="138">
        <v>1538.95</v>
      </c>
    </row>
    <row r="30" spans="2:25" ht="13" customHeight="1">
      <c r="C30" s="224" t="str">
        <f>VLOOKUP(43,Textbausteine_305[],Hilfsgrössen!$D$2,FALSE)</f>
        <v>Aria</v>
      </c>
      <c r="D30" s="66" t="str">
        <f>VLOOKUP(11,Textbausteine_305[],Hilfsgrössen!$D$2,FALSE)</f>
        <v>t di CO2 equivalenti</v>
      </c>
      <c r="E30" s="11">
        <v>2</v>
      </c>
      <c r="F30" s="11"/>
      <c r="G30" s="49"/>
      <c r="H30" s="106">
        <v>56290</v>
      </c>
      <c r="I30" s="106">
        <v>58938</v>
      </c>
      <c r="J30" s="106">
        <v>67392</v>
      </c>
      <c r="K30" s="106">
        <v>37910</v>
      </c>
      <c r="L30" s="106">
        <v>36728</v>
      </c>
      <c r="M30" s="106">
        <v>37499</v>
      </c>
      <c r="N30" s="106">
        <v>41384.555395039002</v>
      </c>
      <c r="O30" s="106">
        <v>35673.857104230003</v>
      </c>
      <c r="P30" s="106">
        <v>34237.374922645002</v>
      </c>
      <c r="Q30" s="106">
        <v>31589</v>
      </c>
      <c r="R30" s="106">
        <v>32840.370000000003</v>
      </c>
      <c r="S30" s="138">
        <v>31224.99</v>
      </c>
    </row>
    <row r="31" spans="2:25" ht="13" customHeight="1">
      <c r="C31" s="224" t="str">
        <f>VLOOKUP(44,Textbausteine_305[],Hilfsgrössen!$D$2,FALSE)</f>
        <v>Acqua</v>
      </c>
      <c r="D31" s="66" t="str">
        <f>VLOOKUP(11,Textbausteine_305[],Hilfsgrössen!$D$2,FALSE)</f>
        <v>t di CO2 equivalenti</v>
      </c>
      <c r="E31" s="11">
        <v>2</v>
      </c>
      <c r="F31" s="11"/>
      <c r="G31" s="50"/>
      <c r="H31" s="106">
        <v>0</v>
      </c>
      <c r="I31" s="106">
        <v>0</v>
      </c>
      <c r="J31" s="106">
        <v>0</v>
      </c>
      <c r="K31" s="106">
        <v>5.0085999999999999E-2</v>
      </c>
      <c r="L31" s="106">
        <v>4.9667999999999997E-2</v>
      </c>
      <c r="M31" s="106">
        <v>4.5435999999999997E-2</v>
      </c>
      <c r="N31" s="106">
        <v>3.7537500000001001E-2</v>
      </c>
      <c r="O31" s="106">
        <v>3.2250400000000998E-2</v>
      </c>
      <c r="P31" s="106">
        <v>2.8746899999999999E-2</v>
      </c>
      <c r="Q31" s="106">
        <v>0</v>
      </c>
      <c r="R31" s="106">
        <v>682.54</v>
      </c>
      <c r="S31" s="138">
        <v>750.79</v>
      </c>
    </row>
    <row r="32" spans="2:25" ht="13" customHeight="1">
      <c r="C32" s="218" t="str">
        <f>VLOOKUP(45,Textbausteine_305[],Hilfsgrössen!$D$2,FALSE)</f>
        <v>Viaggi di lavoro</v>
      </c>
      <c r="D32" s="66" t="str">
        <f>VLOOKUP(11,Textbausteine_305[],Hilfsgrössen!$D$2,FALSE)</f>
        <v>t di CO2 equivalenti</v>
      </c>
      <c r="E32" s="11">
        <v>2</v>
      </c>
      <c r="F32" s="11"/>
      <c r="G32" s="49"/>
      <c r="H32" s="106">
        <v>5488</v>
      </c>
      <c r="I32" s="106">
        <v>5925</v>
      </c>
      <c r="J32" s="106">
        <v>6525</v>
      </c>
      <c r="K32" s="106">
        <v>5933</v>
      </c>
      <c r="L32" s="106">
        <v>6117</v>
      </c>
      <c r="M32" s="106">
        <v>6066</v>
      </c>
      <c r="N32" s="106">
        <v>5846.1645165734999</v>
      </c>
      <c r="O32" s="106">
        <v>5918.2438045294002</v>
      </c>
      <c r="P32" s="106">
        <v>6331.4974314842002</v>
      </c>
      <c r="Q32" s="106">
        <v>5680</v>
      </c>
      <c r="R32" s="106">
        <v>5746.1</v>
      </c>
      <c r="S32" s="138">
        <v>3968.1899999999996</v>
      </c>
    </row>
    <row r="33" spans="3:19" ht="13" customHeight="1">
      <c r="C33" s="218" t="str">
        <f>VLOOKUP(46,Textbausteine_305[],Hilfsgrössen!$D$2,FALSE)</f>
        <v>Trasporto pendolari</v>
      </c>
      <c r="D33" s="66" t="str">
        <f>VLOOKUP(11,Textbausteine_305[],Hilfsgrössen!$D$2,FALSE)</f>
        <v>t di CO2 equivalenti</v>
      </c>
      <c r="E33" s="11">
        <v>2</v>
      </c>
      <c r="F33" s="13"/>
      <c r="G33" s="49"/>
      <c r="H33" s="106">
        <v>52549</v>
      </c>
      <c r="I33" s="106">
        <v>51756</v>
      </c>
      <c r="J33" s="106">
        <v>51801</v>
      </c>
      <c r="K33" s="106">
        <v>53659</v>
      </c>
      <c r="L33" s="106">
        <v>55802</v>
      </c>
      <c r="M33" s="106">
        <v>55474</v>
      </c>
      <c r="N33" s="106">
        <v>52843.591257975997</v>
      </c>
      <c r="O33" s="106">
        <v>51553.30771519</v>
      </c>
      <c r="P33" s="106">
        <v>50329.735308902003</v>
      </c>
      <c r="Q33" s="106">
        <v>47855</v>
      </c>
      <c r="R33" s="106">
        <v>47855.46</v>
      </c>
      <c r="S33" s="138">
        <v>40759.439999999995</v>
      </c>
    </row>
    <row r="34" spans="3:19" ht="13" customHeight="1">
      <c r="C34" s="217"/>
      <c r="D34" s="66"/>
      <c r="E34" s="13"/>
      <c r="F34" s="13"/>
      <c r="G34" s="49"/>
      <c r="N34" s="106"/>
      <c r="O34" s="106"/>
      <c r="P34" s="106"/>
      <c r="Q34" s="106"/>
      <c r="R34" s="106"/>
      <c r="S34" s="138"/>
    </row>
    <row r="35" spans="3:19" ht="13" customHeight="1">
      <c r="C35" s="225" t="str">
        <f>VLOOKUP(47,Textbausteine_305[],Hilfsgrössen!$D$2,FALSE)</f>
        <v>In base a scope e fonte energetica</v>
      </c>
      <c r="D35" s="66"/>
      <c r="E35" s="13"/>
      <c r="F35" s="11"/>
      <c r="G35" s="50"/>
      <c r="N35" s="106"/>
      <c r="O35" s="106"/>
      <c r="P35" s="106"/>
      <c r="Q35" s="106"/>
      <c r="R35" s="106"/>
      <c r="S35" s="138"/>
    </row>
    <row r="36" spans="3:19" ht="13" customHeight="1">
      <c r="C36" s="19" t="str">
        <f>VLOOKUP(48,Textbausteine_305[],Hilfsgrössen!$D$2,FALSE)</f>
        <v>Emissioni di gas a effetto terra (scope 1−3)</v>
      </c>
      <c r="D36" s="66" t="str">
        <f>VLOOKUP(11,Textbausteine_305[],Hilfsgrössen!$D$2,FALSE)</f>
        <v>t di CO2 equivalenti</v>
      </c>
      <c r="E36" s="13">
        <v>2</v>
      </c>
      <c r="F36" s="11"/>
      <c r="G36" s="50"/>
      <c r="H36" s="106">
        <v>478253</v>
      </c>
      <c r="I36" s="106">
        <v>463248</v>
      </c>
      <c r="J36" s="106">
        <v>478020</v>
      </c>
      <c r="K36" s="106">
        <v>449174</v>
      </c>
      <c r="L36" s="106">
        <v>442202</v>
      </c>
      <c r="M36" s="106">
        <v>440728</v>
      </c>
      <c r="N36" s="106">
        <v>446151.36167582998</v>
      </c>
      <c r="O36" s="106">
        <v>436549.74852076999</v>
      </c>
      <c r="P36" s="106">
        <v>439954.81451875</v>
      </c>
      <c r="Q36" s="106">
        <v>408784</v>
      </c>
      <c r="R36" s="106">
        <v>422747.8</v>
      </c>
      <c r="S36" s="138">
        <v>408405.29999999993</v>
      </c>
    </row>
    <row r="37" spans="3:19" ht="13" customHeight="1">
      <c r="C37" s="216" t="str">
        <f>VLOOKUP(49,Textbausteine_305[],Hilfsgrössen!$D$2,FALSE)</f>
        <v>Emissioni dirette di gas a effetto serra (scope 1)</v>
      </c>
      <c r="D37" s="66" t="str">
        <f>VLOOKUP(11,Textbausteine_305[],Hilfsgrössen!$D$2,FALSE)</f>
        <v>t di CO2 equivalenti</v>
      </c>
      <c r="E37" s="11">
        <v>2</v>
      </c>
      <c r="F37" s="13" t="s">
        <v>137</v>
      </c>
      <c r="G37" s="49"/>
      <c r="H37" s="106">
        <f>SUM(H38,H42,H47)</f>
        <v>185849</v>
      </c>
      <c r="I37" s="106">
        <f t="shared" ref="I37:N37" si="3">SUM(I38,I42,I47)</f>
        <v>185453</v>
      </c>
      <c r="J37" s="106">
        <f t="shared" si="3"/>
        <v>192155</v>
      </c>
      <c r="K37" s="106">
        <f t="shared" si="3"/>
        <v>193196</v>
      </c>
      <c r="L37" s="106">
        <f t="shared" si="3"/>
        <v>189053</v>
      </c>
      <c r="M37" s="106">
        <f t="shared" si="3"/>
        <v>187641</v>
      </c>
      <c r="N37" s="106">
        <f t="shared" si="3"/>
        <v>192641.19787531687</v>
      </c>
      <c r="O37" s="106">
        <f t="shared" ref="O37" si="4">SUM(O38,O42,O47)</f>
        <v>188244.99781373318</v>
      </c>
      <c r="P37" s="106">
        <v>192395.71118894001</v>
      </c>
      <c r="Q37" s="106">
        <v>173328</v>
      </c>
      <c r="R37" s="106">
        <v>175802.78000000003</v>
      </c>
      <c r="S37" s="138">
        <v>168823.3</v>
      </c>
    </row>
    <row r="38" spans="3:19" ht="13" customHeight="1">
      <c r="C38" s="223" t="str">
        <f>VLOOKUP(50,Textbausteine_305[],Hilfsgrössen!$D$2,FALSE)</f>
        <v>Combustione di combustibili in fonti fisse</v>
      </c>
      <c r="D38" s="66" t="str">
        <f>VLOOKUP(11,Textbausteine_305[],Hilfsgrössen!$D$2,FALSE)</f>
        <v>t di CO2 equivalenti</v>
      </c>
      <c r="E38" s="13">
        <v>2</v>
      </c>
      <c r="F38" s="13"/>
      <c r="G38" s="49"/>
      <c r="H38" s="106">
        <f>SUM(H39:H40)</f>
        <v>20126</v>
      </c>
      <c r="I38" s="106">
        <f t="shared" ref="I38:N38" si="5">SUM(I39:I40)</f>
        <v>17464</v>
      </c>
      <c r="J38" s="106">
        <f t="shared" si="5"/>
        <v>19103</v>
      </c>
      <c r="K38" s="106">
        <f t="shared" si="5"/>
        <v>15440</v>
      </c>
      <c r="L38" s="106">
        <f t="shared" si="5"/>
        <v>12813</v>
      </c>
      <c r="M38" s="106">
        <f t="shared" si="5"/>
        <v>11798</v>
      </c>
      <c r="N38" s="106">
        <f t="shared" si="5"/>
        <v>11006.4913754591</v>
      </c>
      <c r="O38" s="106">
        <f t="shared" ref="O38" si="6">SUM(O39:O40)</f>
        <v>10301.424542107599</v>
      </c>
      <c r="P38" s="106">
        <v>12156.375777379</v>
      </c>
      <c r="Q38" s="106">
        <v>12001</v>
      </c>
      <c r="R38" s="106">
        <v>12050.45</v>
      </c>
      <c r="S38" s="138">
        <v>11811.77</v>
      </c>
    </row>
    <row r="39" spans="3:19" ht="13" customHeight="1">
      <c r="C39" s="226" t="str">
        <f>VLOOKUP(51,Textbausteine_305[],Hilfsgrössen!$D$2,FALSE)</f>
        <v>Olio combustibile</v>
      </c>
      <c r="D39" s="66" t="str">
        <f>VLOOKUP(11,Textbausteine_305[],Hilfsgrössen!$D$2,FALSE)</f>
        <v>t di CO2 equivalenti</v>
      </c>
      <c r="E39" s="13">
        <v>2</v>
      </c>
      <c r="F39" s="11"/>
      <c r="G39" s="50"/>
      <c r="H39" s="106">
        <v>16214</v>
      </c>
      <c r="I39" s="106">
        <v>13558</v>
      </c>
      <c r="J39" s="106">
        <v>13894</v>
      </c>
      <c r="K39" s="106">
        <v>11623</v>
      </c>
      <c r="L39" s="106">
        <v>8904</v>
      </c>
      <c r="M39" s="106">
        <v>8177</v>
      </c>
      <c r="N39" s="106">
        <v>7550.8390116191003</v>
      </c>
      <c r="O39" s="106">
        <v>7442.7899666116</v>
      </c>
      <c r="P39" s="106">
        <v>6781.3074173688001</v>
      </c>
      <c r="Q39" s="106">
        <v>6828</v>
      </c>
      <c r="R39" s="106">
        <v>6828.01</v>
      </c>
      <c r="S39" s="138">
        <v>6190.32</v>
      </c>
    </row>
    <row r="40" spans="3:19" ht="13" customHeight="1">
      <c r="C40" s="226" t="str">
        <f>VLOOKUP(52,Textbausteine_305[],Hilfsgrössen!$D$2,FALSE)</f>
        <v>Gas naturale</v>
      </c>
      <c r="D40" s="66" t="str">
        <f>VLOOKUP(11,Textbausteine_305[],Hilfsgrössen!$D$2,FALSE)</f>
        <v>t di CO2 equivalenti</v>
      </c>
      <c r="E40" s="13">
        <v>2</v>
      </c>
      <c r="F40" s="11"/>
      <c r="G40" s="50"/>
      <c r="H40" s="106">
        <v>3912</v>
      </c>
      <c r="I40" s="106">
        <v>3906</v>
      </c>
      <c r="J40" s="106">
        <v>5209</v>
      </c>
      <c r="K40" s="106">
        <v>3817</v>
      </c>
      <c r="L40" s="106">
        <v>3909</v>
      </c>
      <c r="M40" s="106">
        <v>3621</v>
      </c>
      <c r="N40" s="106">
        <v>3455.6523638399999</v>
      </c>
      <c r="O40" s="106">
        <v>2858.6345754959998</v>
      </c>
      <c r="P40" s="106">
        <v>5373.9050289119004</v>
      </c>
      <c r="Q40" s="106">
        <v>5171</v>
      </c>
      <c r="R40" s="106">
        <v>5220.5200000000004</v>
      </c>
      <c r="S40" s="138">
        <v>5619.41</v>
      </c>
    </row>
    <row r="41" spans="3:19" ht="13" customHeight="1">
      <c r="C41" s="226" t="str">
        <f>VLOOKUP(53,Textbausteine_305[],Hilfsgrössen!$D$2,FALSE)</f>
        <v>Legna</v>
      </c>
      <c r="D41" s="66" t="str">
        <f>VLOOKUP(11,Textbausteine_305[],Hilfsgrössen!$D$2,FALSE)</f>
        <v>t di CO2 equivalenti</v>
      </c>
      <c r="E41" s="13">
        <v>2</v>
      </c>
      <c r="F41" s="11"/>
      <c r="G41" s="50"/>
      <c r="H41" s="106" t="s">
        <v>30</v>
      </c>
      <c r="I41" s="106" t="s">
        <v>30</v>
      </c>
      <c r="J41" s="106" t="s">
        <v>30</v>
      </c>
      <c r="K41" s="106" t="s">
        <v>30</v>
      </c>
      <c r="L41" s="106" t="s">
        <v>30</v>
      </c>
      <c r="M41" s="106" t="s">
        <v>30</v>
      </c>
      <c r="N41" s="106" t="s">
        <v>30</v>
      </c>
      <c r="O41" s="106" t="s">
        <v>30</v>
      </c>
      <c r="P41" s="106">
        <v>1.16333109816</v>
      </c>
      <c r="Q41" s="106">
        <v>2</v>
      </c>
      <c r="R41" s="106">
        <v>1.92</v>
      </c>
      <c r="S41" s="138">
        <v>2.04</v>
      </c>
    </row>
    <row r="42" spans="3:19" ht="13" customHeight="1">
      <c r="C42" s="223" t="str">
        <f>VLOOKUP(54,Textbausteine_305[],Hilfsgrössen!$D$2,FALSE)</f>
        <v>Combustione di carburanti in fonti mobili</v>
      </c>
      <c r="D42" s="66" t="str">
        <f>VLOOKUP(11,Textbausteine_305[],Hilfsgrössen!$D$2,FALSE)</f>
        <v>t di CO2 equivalenti</v>
      </c>
      <c r="E42" s="13">
        <v>2</v>
      </c>
      <c r="F42" s="11"/>
      <c r="G42" s="49"/>
      <c r="H42" s="106">
        <f>SUM(H43:H46)</f>
        <v>163272</v>
      </c>
      <c r="I42" s="106">
        <f t="shared" ref="I42:N42" si="7">SUM(I43:I46)</f>
        <v>165441</v>
      </c>
      <c r="J42" s="106">
        <f t="shared" si="7"/>
        <v>169622</v>
      </c>
      <c r="K42" s="106">
        <f t="shared" si="7"/>
        <v>174272</v>
      </c>
      <c r="L42" s="106">
        <f t="shared" si="7"/>
        <v>173201</v>
      </c>
      <c r="M42" s="106">
        <f t="shared" si="7"/>
        <v>172948</v>
      </c>
      <c r="N42" s="106">
        <f t="shared" si="7"/>
        <v>178396.75396665776</v>
      </c>
      <c r="O42" s="106">
        <f t="shared" ref="O42" si="8">SUM(O43:O46)</f>
        <v>175293.1393274256</v>
      </c>
      <c r="P42" s="106">
        <v>177232.56403437001</v>
      </c>
      <c r="Q42" s="106">
        <v>156763</v>
      </c>
      <c r="R42" s="106">
        <v>159187.51</v>
      </c>
      <c r="S42" s="138">
        <v>152396.19</v>
      </c>
    </row>
    <row r="43" spans="3:19" ht="13" customHeight="1">
      <c r="C43" s="226" t="str">
        <f>VLOOKUP(55,Textbausteine_305[],Hilfsgrössen!$D$2,FALSE)</f>
        <v>Diesel</v>
      </c>
      <c r="D43" s="66" t="str">
        <f>VLOOKUP(11,Textbausteine_305[],Hilfsgrössen!$D$2,FALSE)</f>
        <v>t di CO2 equivalenti</v>
      </c>
      <c r="E43" s="13">
        <v>2</v>
      </c>
      <c r="F43" s="11"/>
      <c r="G43" s="49"/>
      <c r="H43" s="106">
        <v>146619</v>
      </c>
      <c r="I43" s="106">
        <v>150819</v>
      </c>
      <c r="J43" s="106">
        <v>156985</v>
      </c>
      <c r="K43" s="106">
        <v>163944</v>
      </c>
      <c r="L43" s="106">
        <v>163663</v>
      </c>
      <c r="M43" s="106">
        <v>164237</v>
      </c>
      <c r="N43" s="106">
        <v>170963.39839305999</v>
      </c>
      <c r="O43" s="106">
        <v>168687.06480912</v>
      </c>
      <c r="P43" s="106">
        <v>171033.24489186</v>
      </c>
      <c r="Q43" s="106">
        <v>151222</v>
      </c>
      <c r="R43" s="106">
        <v>153642.39000000001</v>
      </c>
      <c r="S43" s="138">
        <v>147518.56</v>
      </c>
    </row>
    <row r="44" spans="3:19" ht="13" customHeight="1">
      <c r="C44" s="226" t="str">
        <f>VLOOKUP(56,Textbausteine_305[],Hilfsgrössen!$D$2,FALSE)</f>
        <v>Benzina</v>
      </c>
      <c r="D44" s="66" t="str">
        <f>VLOOKUP(11,Textbausteine_305[],Hilfsgrössen!$D$2,FALSE)</f>
        <v>t di CO2 equivalenti</v>
      </c>
      <c r="E44" s="11">
        <v>2</v>
      </c>
      <c r="F44" s="11"/>
      <c r="G44" s="49"/>
      <c r="H44" s="106">
        <v>13268</v>
      </c>
      <c r="I44" s="106">
        <v>11980</v>
      </c>
      <c r="J44" s="106">
        <v>11619</v>
      </c>
      <c r="K44" s="106">
        <v>9409</v>
      </c>
      <c r="L44" s="106">
        <v>8699</v>
      </c>
      <c r="M44" s="106">
        <v>7928</v>
      </c>
      <c r="N44" s="106">
        <v>7091.1867565030998</v>
      </c>
      <c r="O44" s="106">
        <v>6461.1271408374996</v>
      </c>
      <c r="P44" s="106">
        <v>6016.7192285075998</v>
      </c>
      <c r="Q44" s="106">
        <v>5418</v>
      </c>
      <c r="R44" s="106">
        <v>5423.38</v>
      </c>
      <c r="S44" s="138">
        <v>4877.63</v>
      </c>
    </row>
    <row r="45" spans="3:19" ht="13" customHeight="1">
      <c r="C45" s="226" t="str">
        <f>VLOOKUP(57,Textbausteine_305[],Hilfsgrössen!$D$2,FALSE)</f>
        <v>Gas naturale</v>
      </c>
      <c r="D45" s="66" t="str">
        <f>VLOOKUP(11,Textbausteine_305[],Hilfsgrössen!$D$2,FALSE)</f>
        <v>t di CO2 equivalenti</v>
      </c>
      <c r="E45" s="11">
        <v>2</v>
      </c>
      <c r="F45" s="13"/>
      <c r="G45" s="49"/>
      <c r="H45" s="106">
        <v>3385</v>
      </c>
      <c r="I45" s="106">
        <v>2642</v>
      </c>
      <c r="J45" s="106">
        <v>1018</v>
      </c>
      <c r="K45" s="106">
        <v>919</v>
      </c>
      <c r="L45" s="106">
        <v>839</v>
      </c>
      <c r="M45" s="106">
        <v>783</v>
      </c>
      <c r="N45" s="106">
        <v>342.16881709466003</v>
      </c>
      <c r="O45" s="106">
        <v>144.94737746812001</v>
      </c>
      <c r="P45" s="106">
        <v>182.59991399936001</v>
      </c>
      <c r="Q45" s="106">
        <v>122</v>
      </c>
      <c r="R45" s="106">
        <v>121.74</v>
      </c>
      <c r="S45" s="138">
        <v>0</v>
      </c>
    </row>
    <row r="46" spans="3:19" ht="13" customHeight="1">
      <c r="C46" s="226" t="str">
        <f>VLOOKUP(58,Textbausteine_305[],Hilfsgrössen!$D$2,FALSE)</f>
        <v>Idrogeno</v>
      </c>
      <c r="D46" s="66" t="str">
        <f>VLOOKUP(11,Textbausteine_305[],Hilfsgrössen!$D$2,FALSE)</f>
        <v>t di CO2 equivalenti</v>
      </c>
      <c r="E46" s="11">
        <v>2</v>
      </c>
      <c r="F46" s="11"/>
      <c r="G46" s="49"/>
      <c r="H46" s="106" t="s">
        <v>30</v>
      </c>
      <c r="I46" s="106" t="s">
        <v>30</v>
      </c>
      <c r="J46" s="106" t="s">
        <v>30</v>
      </c>
      <c r="K46" s="106">
        <v>0</v>
      </c>
      <c r="L46" s="106">
        <v>0</v>
      </c>
      <c r="M46" s="106">
        <v>0</v>
      </c>
      <c r="N46" s="106">
        <v>0</v>
      </c>
      <c r="O46" s="106" t="s">
        <v>30</v>
      </c>
      <c r="P46" s="106" t="s">
        <v>30</v>
      </c>
      <c r="Q46" s="106" t="s">
        <v>30</v>
      </c>
      <c r="R46" s="106">
        <v>0</v>
      </c>
      <c r="S46" s="138">
        <v>0</v>
      </c>
    </row>
    <row r="47" spans="3:19" ht="13" customHeight="1">
      <c r="C47" s="223" t="str">
        <f>VLOOKUP(59,Textbausteine_305[],Hilfsgrössen!$D$2,FALSE)</f>
        <v>Emissioni volatili</v>
      </c>
      <c r="D47" s="66" t="str">
        <f>VLOOKUP(11,Textbausteine_305[],Hilfsgrössen!$D$2,FALSE)</f>
        <v>t di CO2 equivalenti</v>
      </c>
      <c r="E47" s="11">
        <v>2</v>
      </c>
      <c r="F47" s="11"/>
      <c r="G47" s="50"/>
      <c r="H47" s="106">
        <f>SUM(H48)</f>
        <v>2451</v>
      </c>
      <c r="I47" s="106">
        <f t="shared" ref="I47:N47" si="9">SUM(I48)</f>
        <v>2548</v>
      </c>
      <c r="J47" s="106">
        <f t="shared" si="9"/>
        <v>3430</v>
      </c>
      <c r="K47" s="106">
        <f t="shared" si="9"/>
        <v>3484</v>
      </c>
      <c r="L47" s="106">
        <f t="shared" si="9"/>
        <v>3039</v>
      </c>
      <c r="M47" s="106">
        <f t="shared" si="9"/>
        <v>2895</v>
      </c>
      <c r="N47" s="106">
        <f t="shared" si="9"/>
        <v>3237.9525331999998</v>
      </c>
      <c r="O47" s="106">
        <f t="shared" ref="O47" si="10">SUM(O48)</f>
        <v>2650.4339442</v>
      </c>
      <c r="P47" s="106">
        <v>3006.7713772000002</v>
      </c>
      <c r="Q47" s="106">
        <v>4565</v>
      </c>
      <c r="R47" s="106">
        <v>4564.82</v>
      </c>
      <c r="S47" s="138">
        <v>4615.34</v>
      </c>
    </row>
    <row r="48" spans="3:19" ht="13" customHeight="1">
      <c r="C48" s="226" t="str">
        <f>VLOOKUP(60,Textbausteine_305[],Hilfsgrössen!$D$2,FALSE)</f>
        <v>Refrigeranti</v>
      </c>
      <c r="D48" s="66" t="str">
        <f>VLOOKUP(11,Textbausteine_305[],Hilfsgrössen!$D$2,FALSE)</f>
        <v>t di CO2 equivalenti</v>
      </c>
      <c r="E48" s="11">
        <v>2</v>
      </c>
      <c r="F48" s="13"/>
      <c r="G48" s="49"/>
      <c r="H48" s="106">
        <v>2451</v>
      </c>
      <c r="I48" s="106">
        <v>2548</v>
      </c>
      <c r="J48" s="106">
        <v>3430</v>
      </c>
      <c r="K48" s="106">
        <v>3484</v>
      </c>
      <c r="L48" s="106">
        <v>3039</v>
      </c>
      <c r="M48" s="106">
        <v>2895</v>
      </c>
      <c r="N48" s="106">
        <v>3237.9525331999998</v>
      </c>
      <c r="O48" s="106">
        <v>2650.4339442</v>
      </c>
      <c r="P48" s="106">
        <v>3006.7713772000002</v>
      </c>
      <c r="Q48" s="106">
        <v>4565</v>
      </c>
      <c r="R48" s="106">
        <v>4564.82</v>
      </c>
      <c r="S48" s="138">
        <v>4615.34</v>
      </c>
    </row>
    <row r="49" spans="2:83" ht="13" customHeight="1">
      <c r="C49" s="216" t="str">
        <f>VLOOKUP(61,Textbausteine_305[],Hilfsgrössen!$D$2,FALSE)</f>
        <v>Emissioni indirette da consumo energetico di gas a effetto serra (scope 2)</v>
      </c>
      <c r="D49" s="66" t="str">
        <f>VLOOKUP(11,Textbausteine_305[],Hilfsgrössen!$D$2,FALSE)</f>
        <v>t di CO2 equivalenti</v>
      </c>
      <c r="E49" s="11">
        <v>2</v>
      </c>
      <c r="F49" s="11" t="s">
        <v>138</v>
      </c>
      <c r="G49" s="49"/>
      <c r="H49" s="106">
        <f>SUM(H50,H53)</f>
        <v>29629</v>
      </c>
      <c r="I49" s="106">
        <f t="shared" ref="I49:N49" si="11">SUM(I50,I53)</f>
        <v>22212</v>
      </c>
      <c r="J49" s="106">
        <f t="shared" si="11"/>
        <v>22623</v>
      </c>
      <c r="K49" s="106">
        <f t="shared" si="11"/>
        <v>21684</v>
      </c>
      <c r="L49" s="106">
        <f t="shared" si="11"/>
        <v>23332</v>
      </c>
      <c r="M49" s="106">
        <f t="shared" si="11"/>
        <v>22217</v>
      </c>
      <c r="N49" s="106">
        <f t="shared" si="11"/>
        <v>20147.061374623499</v>
      </c>
      <c r="O49" s="106">
        <f t="shared" ref="O49" si="12">SUM(O50,O53)</f>
        <v>20123.486884443701</v>
      </c>
      <c r="P49" s="106">
        <v>20188.436594316001</v>
      </c>
      <c r="Q49" s="106">
        <v>19091</v>
      </c>
      <c r="R49" s="106">
        <v>19388.77</v>
      </c>
      <c r="S49" s="138">
        <v>17005.490000000002</v>
      </c>
    </row>
    <row r="50" spans="2:83" ht="13" customHeight="1">
      <c r="C50" s="227" t="str">
        <f>VLOOKUP(62,Textbausteine_305[],Hilfsgrössen!$D$2,FALSE)</f>
        <v>Energia elettrica</v>
      </c>
      <c r="D50" s="191" t="str">
        <f>VLOOKUP(11,Textbausteine_305[],Hilfsgrössen!$D$2,FALSE)</f>
        <v>t di CO2 equivalenti</v>
      </c>
      <c r="E50" s="11">
        <v>1</v>
      </c>
      <c r="F50" s="11"/>
      <c r="G50" s="50"/>
      <c r="H50" s="106">
        <f>H52</f>
        <v>27408</v>
      </c>
      <c r="I50" s="106">
        <f t="shared" ref="I50:N50" si="13">I52</f>
        <v>20619</v>
      </c>
      <c r="J50" s="106">
        <f t="shared" si="13"/>
        <v>20766</v>
      </c>
      <c r="K50" s="106">
        <f t="shared" si="13"/>
        <v>20037</v>
      </c>
      <c r="L50" s="106">
        <f t="shared" si="13"/>
        <v>21547</v>
      </c>
      <c r="M50" s="106">
        <f t="shared" si="13"/>
        <v>20348</v>
      </c>
      <c r="N50" s="106">
        <f t="shared" si="13"/>
        <v>18403.540674961001</v>
      </c>
      <c r="O50" s="106">
        <f t="shared" ref="O50" si="14">O52</f>
        <v>18532.772471717999</v>
      </c>
      <c r="P50" s="106">
        <v>17734.697146113998</v>
      </c>
      <c r="Q50" s="106">
        <v>17035</v>
      </c>
      <c r="R50" s="106">
        <v>17332.45</v>
      </c>
      <c r="S50" s="138">
        <v>14771.77</v>
      </c>
    </row>
    <row r="51" spans="2:83" ht="13" customHeight="1">
      <c r="C51" s="228" t="str">
        <f>VLOOKUP(63,Textbausteine_305[],Hilfsgrössen!$D$2,FALSE)</f>
        <v>Emissioni per sede</v>
      </c>
      <c r="D51" s="192" t="str">
        <f>VLOOKUP(11,Textbausteine_305[],Hilfsgrössen!$D$2,FALSE)</f>
        <v>t di CO2 equivalenti</v>
      </c>
      <c r="E51" s="11">
        <v>2</v>
      </c>
      <c r="F51" s="11"/>
      <c r="G51" s="49"/>
      <c r="H51" s="106">
        <f>H52/0.95</f>
        <v>28850.526315789473</v>
      </c>
      <c r="I51" s="106">
        <f>I52/0.95</f>
        <v>21704.21052631579</v>
      </c>
      <c r="J51" s="106">
        <f>J52/0.95</f>
        <v>21858.947368421053</v>
      </c>
      <c r="K51" s="106">
        <f t="shared" ref="K51" si="15">K52/0.95</f>
        <v>21091.578947368424</v>
      </c>
      <c r="L51" s="106">
        <f>L52/0.95</f>
        <v>22681.05263157895</v>
      </c>
      <c r="M51" s="106">
        <f>M52/0.95</f>
        <v>21418.947368421053</v>
      </c>
      <c r="N51" s="106">
        <f>N52/0.9</f>
        <v>20448.378527734447</v>
      </c>
      <c r="O51" s="106">
        <f>O52/0.9</f>
        <v>20591.969413019997</v>
      </c>
      <c r="P51" s="106">
        <v>19265.297593883999</v>
      </c>
      <c r="Q51" s="106">
        <v>18472</v>
      </c>
      <c r="R51" s="106">
        <v>18770.02</v>
      </c>
      <c r="S51" s="138">
        <v>17549.400000000001</v>
      </c>
    </row>
    <row r="52" spans="2:83" ht="13" customHeight="1">
      <c r="C52" s="228" t="str">
        <f>VLOOKUP(64,Textbausteine_305[],Hilfsgrössen!$D$2,FALSE)</f>
        <v>Emissioni basate sul mercato</v>
      </c>
      <c r="D52" s="191" t="str">
        <f>VLOOKUP(11,Textbausteine_305[],Hilfsgrössen!$D$2,FALSE)</f>
        <v>t di CO2 equivalenti</v>
      </c>
      <c r="E52" s="11">
        <v>2</v>
      </c>
      <c r="F52" s="11"/>
      <c r="G52" s="49"/>
      <c r="H52" s="106">
        <v>27408</v>
      </c>
      <c r="I52" s="106">
        <v>20619</v>
      </c>
      <c r="J52" s="106">
        <v>20766</v>
      </c>
      <c r="K52" s="106">
        <v>20037</v>
      </c>
      <c r="L52" s="106">
        <v>21547</v>
      </c>
      <c r="M52" s="106">
        <v>20348</v>
      </c>
      <c r="N52" s="106">
        <v>18403.540674961001</v>
      </c>
      <c r="O52" s="106">
        <v>18532.772471717999</v>
      </c>
      <c r="P52" s="106">
        <v>17734.697146113998</v>
      </c>
      <c r="Q52" s="106">
        <v>17035</v>
      </c>
      <c r="R52" s="106">
        <v>17332.45</v>
      </c>
      <c r="S52" s="138">
        <v>14771.77</v>
      </c>
    </row>
    <row r="53" spans="2:83" ht="13" customHeight="1">
      <c r="C53" s="223" t="str">
        <f>VLOOKUP(65,Textbausteine_305[],Hilfsgrössen!$D$2,FALSE)</f>
        <v>Teleriscaldamento</v>
      </c>
      <c r="D53" s="66" t="str">
        <f>VLOOKUP(11,Textbausteine_305[],Hilfsgrössen!$D$2,FALSE)</f>
        <v>t di CO2 equivalenti</v>
      </c>
      <c r="E53" s="11">
        <v>2</v>
      </c>
      <c r="F53" s="11"/>
      <c r="G53" s="49"/>
      <c r="H53" s="106">
        <v>2221</v>
      </c>
      <c r="I53" s="106">
        <v>1593</v>
      </c>
      <c r="J53" s="106">
        <v>1857</v>
      </c>
      <c r="K53" s="106">
        <v>1647</v>
      </c>
      <c r="L53" s="106">
        <v>1785</v>
      </c>
      <c r="M53" s="106">
        <v>1869</v>
      </c>
      <c r="N53" s="106">
        <v>1743.5206996625</v>
      </c>
      <c r="O53" s="106">
        <v>1590.7144127257</v>
      </c>
      <c r="P53" s="106">
        <v>2453.7394482013001</v>
      </c>
      <c r="Q53" s="106">
        <v>2056</v>
      </c>
      <c r="R53" s="106">
        <v>2056.3200000000002</v>
      </c>
      <c r="S53" s="138">
        <v>2233.7199999999998</v>
      </c>
    </row>
    <row r="54" spans="2:83" ht="13" customHeight="1">
      <c r="C54" s="229" t="str">
        <f>VLOOKUP(66,Textbausteine_305[],Hilfsgrössen!$D$2,FALSE)</f>
        <v>Altre emissioni indirette rilevanti di gas a effetto serra (scope 3)</v>
      </c>
      <c r="D54" s="191" t="str">
        <f>VLOOKUP(11,Textbausteine_305[],Hilfsgrössen!$D$2,FALSE)</f>
        <v>t di CO2 equivalenti</v>
      </c>
      <c r="E54" s="11">
        <v>2</v>
      </c>
      <c r="F54" s="11" t="s">
        <v>139</v>
      </c>
      <c r="G54" s="49"/>
      <c r="H54" s="106">
        <f>SUM(H55:H62)</f>
        <v>262780</v>
      </c>
      <c r="I54" s="106">
        <f t="shared" ref="I54:N54" si="16">SUM(I55:I62)</f>
        <v>255588</v>
      </c>
      <c r="J54" s="106">
        <f t="shared" si="16"/>
        <v>263248</v>
      </c>
      <c r="K54" s="106">
        <f t="shared" si="16"/>
        <v>234297</v>
      </c>
      <c r="L54" s="106">
        <f t="shared" si="16"/>
        <v>229821</v>
      </c>
      <c r="M54" s="106">
        <f t="shared" si="16"/>
        <v>230873</v>
      </c>
      <c r="N54" s="106">
        <f t="shared" si="16"/>
        <v>233366.53409199772</v>
      </c>
      <c r="O54" s="106">
        <f t="shared" ref="O54" si="17">SUM(O55:O62)</f>
        <v>228181.89127211153</v>
      </c>
      <c r="P54" s="106">
        <v>227370.66673549</v>
      </c>
      <c r="Q54" s="106">
        <v>216364</v>
      </c>
      <c r="R54" s="106">
        <v>227556.24999999997</v>
      </c>
      <c r="S54" s="138">
        <v>222576.50999999998</v>
      </c>
    </row>
    <row r="55" spans="2:83" ht="13" customHeight="1">
      <c r="C55" s="227" t="str">
        <f>VLOOKUP(67,Textbausteine_305[],Hilfsgrössen!$D$2,FALSE)</f>
        <v>Merci e prestazioni acquisite</v>
      </c>
      <c r="D55" s="191" t="str">
        <f>VLOOKUP(11,Textbausteine_305[],Hilfsgrössen!$D$2,FALSE)</f>
        <v>t di CO2 equivalenti</v>
      </c>
      <c r="E55" s="11">
        <v>2</v>
      </c>
      <c r="F55" s="11" t="s">
        <v>139</v>
      </c>
      <c r="G55" s="49"/>
      <c r="H55" s="106">
        <v>11561</v>
      </c>
      <c r="I55" s="106">
        <v>11429</v>
      </c>
      <c r="J55" s="106">
        <v>11273</v>
      </c>
      <c r="K55" s="106">
        <v>8109</v>
      </c>
      <c r="L55" s="106">
        <v>7935</v>
      </c>
      <c r="M55" s="106">
        <v>7751</v>
      </c>
      <c r="N55" s="106">
        <v>5846.7021988427996</v>
      </c>
      <c r="O55" s="106">
        <v>6468.4043745774998</v>
      </c>
      <c r="P55" s="106">
        <v>4590.3196405556</v>
      </c>
      <c r="Q55" s="106">
        <v>3942</v>
      </c>
      <c r="R55" s="106">
        <v>3941.73</v>
      </c>
      <c r="S55" s="138">
        <v>4128.72</v>
      </c>
    </row>
    <row r="56" spans="2:83" ht="13" customHeight="1">
      <c r="C56" s="230" t="str">
        <f>VLOOKUP(68,Textbausteine_305[],Hilfsgrössen!$D$2,FALSE)</f>
        <v>Attività relative a carburanti ed energia</v>
      </c>
      <c r="D56" s="191" t="str">
        <f>VLOOKUP(11,Textbausteine_305[],Hilfsgrössen!$D$2,FALSE)</f>
        <v>t di CO2 equivalenti</v>
      </c>
      <c r="E56" s="11">
        <v>2</v>
      </c>
      <c r="F56" s="11" t="s">
        <v>139</v>
      </c>
      <c r="G56" s="49"/>
      <c r="H56" s="106">
        <v>51104</v>
      </c>
      <c r="I56" s="106">
        <v>50138</v>
      </c>
      <c r="J56" s="106">
        <v>51217</v>
      </c>
      <c r="K56" s="106">
        <v>50269</v>
      </c>
      <c r="L56" s="106">
        <v>50583</v>
      </c>
      <c r="M56" s="106">
        <v>49794</v>
      </c>
      <c r="N56" s="106">
        <v>49424.781135725003</v>
      </c>
      <c r="O56" s="106">
        <v>48210.135412317999</v>
      </c>
      <c r="P56" s="106">
        <v>46142.779632666003</v>
      </c>
      <c r="Q56" s="106">
        <v>41538</v>
      </c>
      <c r="R56" s="106">
        <v>42114.21</v>
      </c>
      <c r="S56" s="138">
        <v>39918.639999999999</v>
      </c>
    </row>
    <row r="57" spans="2:83" ht="13" customHeight="1">
      <c r="C57" s="230" t="str">
        <f>VLOOKUP(69,Textbausteine_305[],Hilfsgrössen!$D$2,FALSE)</f>
        <v>Trasporto e distribuzione a monte</v>
      </c>
      <c r="D57" s="191" t="str">
        <f>VLOOKUP(11,Textbausteine_305[],Hilfsgrössen!$D$2,FALSE)</f>
        <v>t di CO2 equivalenti</v>
      </c>
      <c r="E57" s="11">
        <v>2</v>
      </c>
      <c r="F57" s="11" t="s">
        <v>139</v>
      </c>
      <c r="G57" s="49"/>
      <c r="H57" s="106">
        <v>110601</v>
      </c>
      <c r="I57" s="106">
        <v>109666</v>
      </c>
      <c r="J57" s="106">
        <v>120287</v>
      </c>
      <c r="K57" s="106">
        <v>94302</v>
      </c>
      <c r="L57" s="106">
        <v>91031</v>
      </c>
      <c r="M57" s="106">
        <v>93550</v>
      </c>
      <c r="N57" s="106">
        <v>100730.06248808201</v>
      </c>
      <c r="O57" s="106">
        <v>96907.918669915001</v>
      </c>
      <c r="P57" s="106">
        <v>99011.316827989998</v>
      </c>
      <c r="Q57" s="106">
        <v>96683</v>
      </c>
      <c r="R57" s="106">
        <v>107299.17</v>
      </c>
      <c r="S57" s="138">
        <v>113793.63</v>
      </c>
    </row>
    <row r="58" spans="2:83" ht="13" customHeight="1">
      <c r="C58" s="227" t="str">
        <f>VLOOKUP(70,Textbausteine_305[],Hilfsgrössen!$D$2,FALSE)</f>
        <v>Rifiuti risultanti da attività aziendali</v>
      </c>
      <c r="D58" s="191" t="str">
        <f>VLOOKUP(11,Textbausteine_305[],Hilfsgrössen!$D$2,FALSE)</f>
        <v>t di CO2 equivalenti</v>
      </c>
      <c r="E58" s="13">
        <v>2</v>
      </c>
      <c r="F58" s="11" t="s">
        <v>139</v>
      </c>
      <c r="G58" s="49"/>
      <c r="H58" s="106">
        <v>9353</v>
      </c>
      <c r="I58" s="106">
        <v>9170</v>
      </c>
      <c r="J58" s="106">
        <v>9320</v>
      </c>
      <c r="K58" s="106">
        <v>9129</v>
      </c>
      <c r="L58" s="106">
        <v>9243</v>
      </c>
      <c r="M58" s="106">
        <v>9158</v>
      </c>
      <c r="N58" s="106">
        <v>9047.3568552236993</v>
      </c>
      <c r="O58" s="106">
        <v>8813.1983539383</v>
      </c>
      <c r="P58" s="106">
        <v>8568.5426310463008</v>
      </c>
      <c r="Q58" s="106">
        <v>8017</v>
      </c>
      <c r="R58" s="106">
        <v>8017.06</v>
      </c>
      <c r="S58" s="138">
        <v>6658.32</v>
      </c>
    </row>
    <row r="59" spans="2:83" ht="13" customHeight="1">
      <c r="C59" s="227" t="str">
        <f>VLOOKUP(71,Textbausteine_305[],Hilfsgrössen!$D$2,FALSE)</f>
        <v>Viaggi di servizio</v>
      </c>
      <c r="D59" s="191" t="str">
        <f>VLOOKUP(11,Textbausteine_305[],Hilfsgrössen!$D$2,FALSE)</f>
        <v>t di CO2 equivalenti</v>
      </c>
      <c r="E59" s="13">
        <v>2</v>
      </c>
      <c r="F59" s="11" t="s">
        <v>139</v>
      </c>
      <c r="G59" s="49"/>
      <c r="H59" s="106">
        <v>399</v>
      </c>
      <c r="I59" s="106">
        <v>630</v>
      </c>
      <c r="J59" s="106">
        <v>624</v>
      </c>
      <c r="K59" s="106">
        <v>429</v>
      </c>
      <c r="L59" s="106">
        <v>488</v>
      </c>
      <c r="M59" s="106">
        <v>530</v>
      </c>
      <c r="N59" s="106">
        <v>595.11857555518998</v>
      </c>
      <c r="O59" s="106">
        <v>750.00902377274997</v>
      </c>
      <c r="P59" s="106">
        <v>1189.5965480719999</v>
      </c>
      <c r="Q59" s="106">
        <v>1216</v>
      </c>
      <c r="R59" s="106">
        <v>1216.46</v>
      </c>
      <c r="S59" s="138">
        <v>411.18</v>
      </c>
    </row>
    <row r="60" spans="2:83" ht="13" customHeight="1">
      <c r="C60" s="227" t="str">
        <f>VLOOKUP(72,Textbausteine_305[],Hilfsgrössen!$D$2,FALSE)</f>
        <v>Pendolarismo degli impiegati</v>
      </c>
      <c r="D60" s="191" t="str">
        <f>VLOOKUP(11,Textbausteine_305[],Hilfsgrössen!$D$2,FALSE)</f>
        <v>t di CO2 equivalenti</v>
      </c>
      <c r="E60" s="13">
        <v>2</v>
      </c>
      <c r="F60" s="11" t="s">
        <v>139</v>
      </c>
      <c r="G60" s="49"/>
      <c r="H60" s="106">
        <v>52549</v>
      </c>
      <c r="I60" s="106">
        <v>51756</v>
      </c>
      <c r="J60" s="106">
        <v>51801</v>
      </c>
      <c r="K60" s="106">
        <v>53659</v>
      </c>
      <c r="L60" s="106">
        <v>55802</v>
      </c>
      <c r="M60" s="106">
        <v>55474</v>
      </c>
      <c r="N60" s="106">
        <v>52843.591257975997</v>
      </c>
      <c r="O60" s="106">
        <v>51553.30771519</v>
      </c>
      <c r="P60" s="106">
        <v>50329.735308902003</v>
      </c>
      <c r="Q60" s="106">
        <v>47855</v>
      </c>
      <c r="R60" s="106">
        <v>47855.46</v>
      </c>
      <c r="S60" s="138">
        <v>40759.440000000002</v>
      </c>
    </row>
    <row r="61" spans="2:83" ht="13" customHeight="1">
      <c r="C61" s="227" t="str">
        <f>VLOOKUP(73,Textbausteine_305[],Hilfsgrössen!$D$2,FALSE)</f>
        <v xml:space="preserve">Elementi patrimoniali in locazione per attività a monte </v>
      </c>
      <c r="D61" s="191" t="str">
        <f>VLOOKUP(11,Textbausteine_305[],Hilfsgrössen!$D$2,FALSE)</f>
        <v>t di CO2 equivalenti</v>
      </c>
      <c r="E61" s="11">
        <v>2</v>
      </c>
      <c r="F61" s="11" t="s">
        <v>139</v>
      </c>
      <c r="G61" s="49"/>
      <c r="H61" s="106">
        <v>27213</v>
      </c>
      <c r="I61" s="106">
        <v>22799</v>
      </c>
      <c r="J61" s="106">
        <v>18726</v>
      </c>
      <c r="K61" s="106">
        <v>18400</v>
      </c>
      <c r="L61" s="106">
        <v>14739</v>
      </c>
      <c r="M61" s="106">
        <v>14616</v>
      </c>
      <c r="N61" s="106">
        <v>14878.921580593</v>
      </c>
      <c r="O61" s="106">
        <v>15478.9177224</v>
      </c>
      <c r="P61" s="106">
        <v>14467.12846645</v>
      </c>
      <c r="Q61" s="106">
        <v>14435</v>
      </c>
      <c r="R61" s="106">
        <v>14434.71</v>
      </c>
      <c r="S61" s="138">
        <v>13976.4</v>
      </c>
    </row>
    <row r="62" spans="2:83" ht="13" customHeight="1">
      <c r="C62" s="227" t="str">
        <f>VLOOKUP(74,Textbausteine_305[],Hilfsgrössen!$D$2,FALSE)</f>
        <v xml:space="preserve">Elementi patrimoniali in locazione per attività a valle </v>
      </c>
      <c r="D62" s="191" t="str">
        <f>VLOOKUP(11,Textbausteine_305[],Hilfsgrössen!$D$2,FALSE)</f>
        <v>t di CO2 equivalenti</v>
      </c>
      <c r="E62" s="11">
        <v>2</v>
      </c>
      <c r="F62" s="11" t="s">
        <v>139</v>
      </c>
      <c r="G62" s="49"/>
      <c r="H62" s="106" t="s">
        <v>30</v>
      </c>
      <c r="I62" s="106" t="s">
        <v>30</v>
      </c>
      <c r="J62" s="106" t="s">
        <v>30</v>
      </c>
      <c r="K62" s="106" t="s">
        <v>30</v>
      </c>
      <c r="L62" s="106" t="s">
        <v>30</v>
      </c>
      <c r="M62" s="106" t="s">
        <v>30</v>
      </c>
      <c r="N62" s="106" t="s">
        <v>30</v>
      </c>
      <c r="O62" s="106" t="s">
        <v>30</v>
      </c>
      <c r="P62" s="106">
        <v>3071.2476798115999</v>
      </c>
      <c r="Q62" s="106">
        <v>2677</v>
      </c>
      <c r="R62" s="106">
        <v>2677.45</v>
      </c>
      <c r="S62" s="138">
        <v>2930.18</v>
      </c>
    </row>
    <row r="63" spans="2:83" ht="13" customHeight="1">
      <c r="E63" s="11"/>
      <c r="F63" s="11"/>
      <c r="G63" s="49"/>
      <c r="N63" s="106"/>
      <c r="O63" s="106"/>
      <c r="P63" s="106"/>
      <c r="Q63" s="106"/>
      <c r="R63" s="106"/>
      <c r="S63" s="102"/>
    </row>
    <row r="64" spans="2:83" ht="13" customHeight="1">
      <c r="B64" s="21" t="str">
        <f>VLOOKUP(130,Textbausteine_305[],Hilfsgrössen!$D$2,FALSE)</f>
        <v xml:space="preserve">1) L'energia elettrica rinnovabile è iscritta nel bilancio delle emissioni di gas serra con il mix energetico svizzero. L'energia elettrica certificata «naturemade star» viene iscritta a bilancio con impatto climatico zero. </v>
      </c>
      <c r="E64" s="41"/>
      <c r="F64" s="41"/>
      <c r="G64" s="49"/>
      <c r="H64" s="102"/>
      <c r="I64" s="102"/>
      <c r="J64" s="102"/>
      <c r="K64" s="102"/>
      <c r="L64" s="102"/>
      <c r="M64" s="102"/>
      <c r="N64" s="102"/>
      <c r="O64" s="102"/>
      <c r="P64" s="102"/>
      <c r="Q64" s="102"/>
      <c r="R64" s="102"/>
      <c r="S64" s="102"/>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row>
    <row r="65" spans="1:83" ht="13" customHeight="1">
      <c r="B65" s="21" t="str">
        <f>VLOOKUP(131,Textbausteine_305[],Hilfsgrössen!$D$2,FALSE)</f>
        <v>2) Standard, metodi e fattori di emissione: GHG Protocol, Revised Edition (2004), ISO 14064–1 Per il consolidamento è stato seguito il Financial Control Approach. I fattori di conversione provengono da ecoinvent 2.2.</v>
      </c>
      <c r="E65" s="41"/>
      <c r="F65" s="41"/>
      <c r="G65" s="49"/>
      <c r="N65" s="106"/>
      <c r="O65" s="106"/>
      <c r="P65" s="106"/>
      <c r="Q65" s="106"/>
      <c r="R65" s="106"/>
      <c r="S65" s="106"/>
    </row>
    <row r="66" spans="1:83" ht="13" customHeight="1">
      <c r="A66" s="470"/>
      <c r="B66" s="21" t="str">
        <f>VLOOKUP(132,Textbausteine_305[],Hilfsgrössen!$D$2,FALSE)</f>
        <v>3)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v>
      </c>
      <c r="E66" s="41"/>
      <c r="F66" s="41"/>
      <c r="G66" s="51"/>
      <c r="N66" s="106"/>
      <c r="O66" s="106"/>
      <c r="P66" s="106"/>
      <c r="Q66" s="106"/>
      <c r="R66" s="106"/>
      <c r="S66" s="106"/>
    </row>
    <row r="67" spans="1:83" ht="13" customHeight="1">
      <c r="A67" s="470"/>
      <c r="B67" s="21"/>
      <c r="E67" s="42"/>
      <c r="F67" s="42"/>
      <c r="G67" s="51"/>
    </row>
    <row r="68" spans="1:83" ht="13" customHeight="1">
      <c r="E68" s="43"/>
      <c r="F68" s="43"/>
      <c r="G68" s="52"/>
    </row>
    <row r="69" spans="1:83" ht="13" customHeight="1">
      <c r="G69" s="52"/>
    </row>
    <row r="70" spans="1:83" s="31" customFormat="1" ht="13" customHeight="1">
      <c r="A70" s="188" t="s">
        <v>27</v>
      </c>
      <c r="B70" s="488" t="str">
        <f>$C$8</f>
        <v>Intensità delle emissioni di gas serra</v>
      </c>
      <c r="C70" s="488"/>
      <c r="D70" s="6" t="str">
        <f>VLOOKUP(32,Textbausteine_Menu[],Hilfsgrössen!$D$2,FALSE)</f>
        <v>Unità</v>
      </c>
      <c r="E70" s="39" t="str">
        <f>VLOOKUP(33,Textbausteine_Menu[],Hilfsgrössen!$D$2,FALSE)</f>
        <v>Note</v>
      </c>
      <c r="F70" s="39" t="str">
        <f>VLOOKUP(34,Textbausteine_Menu[],Hilfsgrössen!$D$2,FALSE)</f>
        <v>GRI</v>
      </c>
      <c r="G70" s="53"/>
      <c r="H70" s="102">
        <v>2010</v>
      </c>
      <c r="I70" s="102">
        <v>2011</v>
      </c>
      <c r="J70" s="102">
        <v>2012</v>
      </c>
      <c r="K70" s="102">
        <v>2013</v>
      </c>
      <c r="L70" s="102">
        <v>2014</v>
      </c>
      <c r="M70" s="102">
        <v>2015</v>
      </c>
      <c r="N70" s="116">
        <v>2016</v>
      </c>
      <c r="O70" s="116">
        <v>2017</v>
      </c>
      <c r="P70" s="116">
        <v>2018</v>
      </c>
      <c r="Q70" s="116">
        <v>2019</v>
      </c>
      <c r="R70" s="116" t="s">
        <v>140</v>
      </c>
      <c r="S70" s="141">
        <v>2020</v>
      </c>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row>
    <row r="71" spans="1:83" s="31" customFormat="1" ht="13" customHeight="1">
      <c r="A71" s="55"/>
      <c r="B71" s="488"/>
      <c r="C71" s="488"/>
      <c r="D71" s="6"/>
      <c r="E71" s="37"/>
      <c r="F71" s="37"/>
      <c r="G71" s="47"/>
      <c r="H71" s="106"/>
      <c r="I71" s="106"/>
      <c r="J71" s="106"/>
      <c r="K71" s="106"/>
      <c r="L71" s="106"/>
      <c r="M71" s="106"/>
      <c r="N71" s="20"/>
      <c r="O71" s="20"/>
      <c r="P71" s="20"/>
      <c r="Q71" s="20"/>
      <c r="R71" s="20"/>
      <c r="S71" s="13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row>
    <row r="72" spans="1:83" ht="13" customHeight="1">
      <c r="B72" s="8"/>
      <c r="C72" s="9"/>
      <c r="D72" s="9"/>
      <c r="E72" s="40"/>
      <c r="F72" s="40"/>
      <c r="S72" s="132"/>
    </row>
    <row r="73" spans="1:83" ht="13" customHeight="1">
      <c r="B73" s="8" t="str">
        <f>VLOOKUP(36,Textbausteine_Menu[],Hilfsgrössen!$D$2,FALSE)</f>
        <v>Gruppo</v>
      </c>
      <c r="C73" s="8"/>
      <c r="D73" s="66"/>
      <c r="E73" s="40"/>
      <c r="F73" s="40"/>
      <c r="S73" s="132"/>
    </row>
    <row r="74" spans="1:83" ht="13" customHeight="1">
      <c r="C74" s="18" t="str">
        <f>VLOOKUP(81,Textbausteine_305[],Hilfsgrössen!$D$2,FALSE)</f>
        <v>Intensità di CO2 del valore aggiunto</v>
      </c>
      <c r="D74" s="66" t="str">
        <f>VLOOKUP(12,Textbausteine_305[],Hilfsgrössen!$D$2,FALSE)</f>
        <v>t di CO2 equivalenti per mln di CHF</v>
      </c>
      <c r="E74" s="13"/>
      <c r="F74" s="11" t="s">
        <v>141</v>
      </c>
      <c r="G74" s="48"/>
      <c r="H74" s="348">
        <v>90.784548215641607</v>
      </c>
      <c r="I74" s="348">
        <v>89.309427414690575</v>
      </c>
      <c r="J74" s="348">
        <v>89.954836281520514</v>
      </c>
      <c r="K74" s="348">
        <v>84.304429429429433</v>
      </c>
      <c r="L74" s="348">
        <v>84.713026819923371</v>
      </c>
      <c r="M74" s="348">
        <v>84.869632197188523</v>
      </c>
      <c r="N74" s="349">
        <v>84.849319440382899</v>
      </c>
      <c r="O74" s="349">
        <v>84.882315481386343</v>
      </c>
      <c r="P74" s="349">
        <v>95.372819102265339</v>
      </c>
      <c r="Q74" s="349">
        <v>88.558058925476601</v>
      </c>
      <c r="R74" s="349">
        <v>91.583145580589246</v>
      </c>
      <c r="S74" s="350">
        <v>90.33516921035168</v>
      </c>
    </row>
    <row r="75" spans="1:83" ht="13" customHeight="1">
      <c r="C75" s="18" t="str">
        <f>VLOOKUP(82,Textbausteine_305[],Hilfsgrössen!$D$2,FALSE)</f>
        <v>Intensità di CO2 dei ricavi d'esercizio</v>
      </c>
      <c r="D75" s="66" t="str">
        <f>VLOOKUP(12,Textbausteine_305[],Hilfsgrössen!$D$2,FALSE)</f>
        <v>t di CO2 equivalenti per mln di CHF</v>
      </c>
      <c r="F75" s="37" t="s">
        <v>141</v>
      </c>
      <c r="G75" s="48"/>
      <c r="H75" s="348">
        <v>54.745077838827839</v>
      </c>
      <c r="I75" s="348">
        <v>53.872310733806259</v>
      </c>
      <c r="J75" s="348">
        <v>55.739272388059703</v>
      </c>
      <c r="K75" s="348">
        <v>52.381807580174929</v>
      </c>
      <c r="L75" s="348">
        <v>52.825468880659422</v>
      </c>
      <c r="M75" s="348">
        <v>53.590466926070036</v>
      </c>
      <c r="N75" s="349">
        <v>54.488441826554713</v>
      </c>
      <c r="O75" s="349">
        <v>54.135633497119294</v>
      </c>
      <c r="P75" s="349">
        <v>60.649960644988973</v>
      </c>
      <c r="Q75" s="349">
        <v>57.060859854829701</v>
      </c>
      <c r="R75" s="349">
        <v>58.977092633928571</v>
      </c>
      <c r="S75" s="350">
        <v>57.896980436631686</v>
      </c>
    </row>
    <row r="76" spans="1:83" ht="13" customHeight="1">
      <c r="C76" s="18" t="str">
        <f>VLOOKUP(83,Textbausteine_305[],Hilfsgrössen!$D$2,FALSE)</f>
        <v>Intensità di CO2 dei posti di lavoro</v>
      </c>
      <c r="D76" s="66" t="str">
        <f>VLOOKUP(13,Textbausteine_305[],Hilfsgrössen!$D$2,FALSE)</f>
        <v xml:space="preserve">t di CO2 equivalenti per unità di personale </v>
      </c>
      <c r="E76" s="13"/>
      <c r="F76" s="11" t="s">
        <v>141</v>
      </c>
      <c r="G76" s="49"/>
      <c r="H76" s="348">
        <v>10.6</v>
      </c>
      <c r="I76" s="348">
        <v>10.4</v>
      </c>
      <c r="J76" s="348">
        <v>10.7</v>
      </c>
      <c r="K76" s="348">
        <v>10.199999999999999</v>
      </c>
      <c r="L76" s="348">
        <v>9.9</v>
      </c>
      <c r="M76" s="348">
        <v>9.99</v>
      </c>
      <c r="N76" s="351">
        <v>10.261708102292999</v>
      </c>
      <c r="O76" s="351">
        <v>10.297000000000001</v>
      </c>
      <c r="P76" s="351">
        <v>11.017600283450616</v>
      </c>
      <c r="Q76" s="351">
        <v>10.304613057726241</v>
      </c>
      <c r="R76" s="351">
        <v>10.656612049407613</v>
      </c>
      <c r="S76" s="352">
        <v>10.448087697306146</v>
      </c>
      <c r="T76" s="11"/>
    </row>
    <row r="77" spans="1:83" ht="13" customHeight="1">
      <c r="B77" s="21"/>
      <c r="C77" s="225"/>
      <c r="D77" s="18"/>
      <c r="E77" s="13"/>
      <c r="F77" s="11"/>
      <c r="G77" s="46"/>
      <c r="N77" s="106"/>
      <c r="O77" s="106"/>
      <c r="P77" s="106"/>
      <c r="Q77" s="106"/>
      <c r="R77" s="106"/>
      <c r="S77" s="106"/>
    </row>
    <row r="78" spans="1:83" ht="13" customHeight="1">
      <c r="B78" s="21" t="str">
        <f>VLOOKUP(138,Textbausteine_305[],Hilfsgrössen!$D$2,FALSE)</f>
        <v>1)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v>
      </c>
      <c r="C78" s="225"/>
      <c r="D78" s="18"/>
      <c r="E78" s="13"/>
      <c r="F78" s="11"/>
      <c r="G78" s="46"/>
      <c r="N78" s="106"/>
      <c r="O78" s="106"/>
      <c r="P78" s="106"/>
      <c r="Q78" s="106"/>
      <c r="R78" s="106"/>
      <c r="S78" s="106"/>
    </row>
    <row r="79" spans="1:83" ht="13" customHeight="1">
      <c r="B79" s="21"/>
      <c r="C79" s="225"/>
      <c r="D79" s="18"/>
      <c r="E79" s="13"/>
      <c r="F79" s="11"/>
      <c r="N79" s="106"/>
      <c r="O79" s="106"/>
      <c r="P79" s="106"/>
      <c r="Q79" s="106"/>
      <c r="R79" s="106"/>
      <c r="S79" s="106"/>
    </row>
    <row r="80" spans="1:83" ht="13" customHeight="1">
      <c r="E80" s="44"/>
      <c r="F80" s="44"/>
      <c r="N80" s="106"/>
      <c r="O80" s="106"/>
      <c r="P80" s="106"/>
      <c r="Q80" s="106"/>
      <c r="R80" s="106"/>
      <c r="S80" s="106"/>
    </row>
    <row r="81" spans="1:83" s="31" customFormat="1" ht="13" customHeight="1">
      <c r="A81" s="188" t="s">
        <v>27</v>
      </c>
      <c r="B81" s="488" t="str">
        <f>$C$9</f>
        <v>Emissioni di gas serra compensate</v>
      </c>
      <c r="C81" s="488"/>
      <c r="D81" s="6" t="str">
        <f>VLOOKUP(32,Textbausteine_Menu[],Hilfsgrössen!$D$2,FALSE)</f>
        <v>Unità</v>
      </c>
      <c r="E81" s="117" t="str">
        <f>VLOOKUP(33,Textbausteine_Menu[],Hilfsgrössen!$D$2,FALSE)</f>
        <v>Note</v>
      </c>
      <c r="F81" s="117" t="str">
        <f>VLOOKUP(34,Textbausteine_Menu[],Hilfsgrössen!$D$2,FALSE)</f>
        <v>GRI</v>
      </c>
      <c r="G81" s="47"/>
      <c r="H81" s="102">
        <v>2010</v>
      </c>
      <c r="I81" s="102">
        <v>2011</v>
      </c>
      <c r="J81" s="102">
        <v>2012</v>
      </c>
      <c r="K81" s="102">
        <v>2013</v>
      </c>
      <c r="L81" s="102">
        <v>2014</v>
      </c>
      <c r="M81" s="102">
        <v>2015</v>
      </c>
      <c r="N81" s="102">
        <v>2016</v>
      </c>
      <c r="O81" s="102">
        <v>2017</v>
      </c>
      <c r="P81" s="102">
        <v>2018</v>
      </c>
      <c r="Q81" s="102">
        <v>2019</v>
      </c>
      <c r="R81" s="102">
        <v>2019</v>
      </c>
      <c r="S81" s="134">
        <v>2020</v>
      </c>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row>
    <row r="82" spans="1:83" s="31" customFormat="1" ht="13" customHeight="1">
      <c r="A82" s="55"/>
      <c r="B82" s="488"/>
      <c r="C82" s="488"/>
      <c r="D82" s="6"/>
      <c r="E82" s="44"/>
      <c r="F82" s="44"/>
      <c r="G82" s="47"/>
      <c r="H82" s="106"/>
      <c r="I82" s="106"/>
      <c r="J82" s="106"/>
      <c r="K82" s="106"/>
      <c r="L82" s="106"/>
      <c r="M82" s="106"/>
      <c r="N82" s="106"/>
      <c r="O82" s="106"/>
      <c r="P82" s="106"/>
      <c r="Q82" s="106"/>
      <c r="R82" s="106"/>
      <c r="S82" s="138"/>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row>
    <row r="83" spans="1:83" ht="13" customHeight="1">
      <c r="B83" s="8"/>
      <c r="C83" s="9"/>
      <c r="D83" s="9"/>
      <c r="N83" s="106"/>
      <c r="O83" s="106"/>
      <c r="P83" s="106"/>
      <c r="Q83" s="106"/>
      <c r="R83" s="106"/>
      <c r="S83" s="138"/>
    </row>
    <row r="84" spans="1:83" ht="13" customHeight="1">
      <c r="B84" s="8" t="str">
        <f>VLOOKUP(36,Textbausteine_Menu[],Hilfsgrössen!$D$2,FALSE)</f>
        <v>Gruppo</v>
      </c>
      <c r="C84" s="8"/>
      <c r="D84" s="66"/>
      <c r="N84" s="106"/>
      <c r="O84" s="106"/>
      <c r="P84" s="106"/>
      <c r="Q84" s="106"/>
      <c r="R84" s="106"/>
      <c r="S84" s="138"/>
    </row>
    <row r="85" spans="1:83" ht="13" customHeight="1">
      <c r="C85" s="18" t="str">
        <f>VLOOKUP(91,Textbausteine_305[],Hilfsgrössen!$D$2,FALSE)</f>
        <v>Compensazioni di CO2</v>
      </c>
      <c r="D85" s="66" t="str">
        <f>VLOOKUP(11,Textbausteine_305[],Hilfsgrössen!$D$2,FALSE)</f>
        <v>t di CO2 equivalenti</v>
      </c>
      <c r="E85" s="37">
        <v>1</v>
      </c>
      <c r="H85" s="106">
        <v>27000</v>
      </c>
      <c r="I85" s="106">
        <v>9500</v>
      </c>
      <c r="J85" s="106">
        <v>38300</v>
      </c>
      <c r="K85" s="106">
        <v>41800</v>
      </c>
      <c r="L85" s="106">
        <v>35900</v>
      </c>
      <c r="M85" s="106">
        <v>35600</v>
      </c>
      <c r="N85" s="118">
        <v>35766</v>
      </c>
      <c r="O85" s="118">
        <v>41000</v>
      </c>
      <c r="P85" s="118">
        <v>38906</v>
      </c>
      <c r="Q85" s="118">
        <v>39085</v>
      </c>
      <c r="R85" s="118">
        <v>39085</v>
      </c>
      <c r="S85" s="133">
        <v>37391</v>
      </c>
    </row>
    <row r="86" spans="1:83" ht="13" customHeight="1">
      <c r="C86" s="66" t="str">
        <f>VLOOKUP(92,Textbausteine_305[],Hilfsgrössen!$D$2,FALSE)</f>
        <v>Invii compensati</v>
      </c>
      <c r="D86" s="66" t="str">
        <f>VLOOKUP(14,Textbausteine_305[],Hilfsgrössen!$D$2,FALSE)</f>
        <v>numero in mln</v>
      </c>
      <c r="E86" s="37">
        <v>1</v>
      </c>
      <c r="H86" s="106">
        <v>69</v>
      </c>
      <c r="I86" s="106">
        <v>67</v>
      </c>
      <c r="J86" s="106">
        <v>1726</v>
      </c>
      <c r="K86" s="106">
        <v>2252</v>
      </c>
      <c r="L86" s="106">
        <v>2199</v>
      </c>
      <c r="M86" s="106">
        <v>2168</v>
      </c>
      <c r="N86" s="118">
        <v>2099</v>
      </c>
      <c r="O86" s="118">
        <v>2954</v>
      </c>
      <c r="P86" s="118">
        <v>2826</v>
      </c>
      <c r="Q86" s="118">
        <v>2836</v>
      </c>
      <c r="R86" s="118">
        <v>2836</v>
      </c>
      <c r="S86" s="133">
        <v>2641</v>
      </c>
    </row>
    <row r="88" spans="1:83" ht="13" customHeight="1">
      <c r="B88" s="21" t="str">
        <f>VLOOKUP(134,Textbausteine_305[],Hilfsgrössen!$D$2,FALSE)</f>
        <v xml:space="preserve">1) La quantità di CO2 compensata varia a seconda del prezzo di mercato dei certificati d'emissione. I supplementi «pro clima» pagati dai clienti vengono interamente investiti in progetti di compensazione. </v>
      </c>
      <c r="C88" s="21"/>
      <c r="D88" s="21"/>
    </row>
    <row r="90" spans="1:83" ht="13" customHeight="1">
      <c r="N90" s="106"/>
      <c r="O90" s="106"/>
      <c r="P90" s="106"/>
      <c r="Q90" s="106"/>
      <c r="R90" s="106"/>
      <c r="S90" s="106"/>
    </row>
    <row r="91" spans="1:83" s="31" customFormat="1" ht="13" customHeight="1">
      <c r="A91" s="188" t="s">
        <v>27</v>
      </c>
      <c r="B91" s="488" t="str">
        <f>$C$10</f>
        <v>Altre cifre sui gas serra</v>
      </c>
      <c r="C91" s="488"/>
      <c r="D91" s="6" t="str">
        <f>VLOOKUP(32,Textbausteine_Menu[],Hilfsgrössen!$D$2,FALSE)</f>
        <v>Unità</v>
      </c>
      <c r="E91" s="39" t="str">
        <f>VLOOKUP(33,Textbausteine_Menu[],Hilfsgrössen!$D$2,FALSE)</f>
        <v>Note</v>
      </c>
      <c r="F91" s="39" t="str">
        <f>VLOOKUP(34,Textbausteine_Menu[],Hilfsgrössen!$D$2,FALSE)</f>
        <v>GRI</v>
      </c>
      <c r="G91" s="47"/>
      <c r="H91" s="102">
        <v>2010</v>
      </c>
      <c r="I91" s="102">
        <v>2011</v>
      </c>
      <c r="J91" s="102">
        <v>2012</v>
      </c>
      <c r="K91" s="102">
        <v>2013</v>
      </c>
      <c r="L91" s="102">
        <v>2014</v>
      </c>
      <c r="M91" s="102">
        <v>2015</v>
      </c>
      <c r="N91" s="102">
        <v>2016</v>
      </c>
      <c r="O91" s="102">
        <v>2017</v>
      </c>
      <c r="P91" s="102">
        <v>2018</v>
      </c>
      <c r="Q91" s="102">
        <v>2019</v>
      </c>
      <c r="R91" s="102">
        <v>2019</v>
      </c>
      <c r="S91" s="134">
        <v>2020</v>
      </c>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row>
    <row r="92" spans="1:83" s="31" customFormat="1" ht="13" customHeight="1">
      <c r="A92" s="55"/>
      <c r="B92" s="488"/>
      <c r="C92" s="488"/>
      <c r="D92" s="6"/>
      <c r="E92" s="37"/>
      <c r="F92" s="37"/>
      <c r="G92" s="47"/>
      <c r="H92" s="106"/>
      <c r="I92" s="106"/>
      <c r="J92" s="106"/>
      <c r="K92" s="106"/>
      <c r="L92" s="106"/>
      <c r="M92" s="106"/>
      <c r="N92" s="106"/>
      <c r="O92" s="106"/>
      <c r="P92" s="106"/>
      <c r="Q92" s="106"/>
      <c r="R92" s="106"/>
      <c r="S92" s="138"/>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row>
    <row r="93" spans="1:83" ht="13" customHeight="1">
      <c r="B93" s="8"/>
      <c r="C93" s="9"/>
      <c r="D93" s="9"/>
      <c r="N93" s="106"/>
      <c r="O93" s="106"/>
      <c r="P93" s="106"/>
      <c r="Q93" s="106"/>
      <c r="R93" s="106"/>
      <c r="S93" s="138"/>
    </row>
    <row r="94" spans="1:83" ht="13" customHeight="1">
      <c r="B94" s="8" t="str">
        <f>VLOOKUP(36,Textbausteine_Menu[],Hilfsgrössen!$D$2,FALSE)</f>
        <v>Gruppo</v>
      </c>
      <c r="C94" s="8"/>
      <c r="D94" s="66"/>
      <c r="N94" s="106"/>
      <c r="O94" s="106"/>
      <c r="P94" s="106"/>
      <c r="Q94" s="106"/>
      <c r="R94" s="106"/>
      <c r="S94" s="138"/>
    </row>
    <row r="95" spans="1:83" ht="13" customHeight="1">
      <c r="C95" s="18" t="str">
        <f>VLOOKUP(101,Textbausteine_305[],Hilfsgrössen!$D$2,FALSE)</f>
        <v>Incremento dell'efficienza in termini di di CO2 dal 2010</v>
      </c>
      <c r="D95" s="18" t="str">
        <f>VLOOKUP(15,Textbausteine_305[],Hilfsgrössen!$D$2,FALSE)</f>
        <v>%</v>
      </c>
      <c r="E95" s="37">
        <v>1</v>
      </c>
      <c r="H95" s="106">
        <v>0</v>
      </c>
      <c r="I95" s="159">
        <v>3.46</v>
      </c>
      <c r="J95" s="106">
        <v>3.11</v>
      </c>
      <c r="K95" s="106">
        <v>10.1</v>
      </c>
      <c r="L95" s="106">
        <v>12.1</v>
      </c>
      <c r="M95" s="106">
        <v>13.7</v>
      </c>
      <c r="N95" s="106">
        <v>16.5</v>
      </c>
      <c r="O95" s="106">
        <v>19.2</v>
      </c>
      <c r="P95" s="106">
        <v>20.399999999999999</v>
      </c>
      <c r="Q95" s="106">
        <v>27.6</v>
      </c>
      <c r="R95" s="106">
        <v>27.6</v>
      </c>
      <c r="S95" s="138">
        <v>29.8</v>
      </c>
    </row>
    <row r="96" spans="1:83" ht="13" customHeight="1">
      <c r="N96" s="106"/>
      <c r="O96" s="106"/>
      <c r="P96" s="106"/>
      <c r="Q96" s="106"/>
      <c r="R96" s="106"/>
      <c r="S96" s="106"/>
    </row>
    <row r="97" spans="1:83" ht="13" customHeight="1">
      <c r="B97" s="21" t="str">
        <f>VLOOKUP(135,Textbausteine_305[],Hilfsgrössen!$D$2,FALSE)</f>
        <v>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v>
      </c>
      <c r="C97" s="21"/>
      <c r="D97" s="21"/>
      <c r="N97" s="106"/>
      <c r="O97" s="106"/>
      <c r="P97" s="106"/>
      <c r="Q97" s="106"/>
      <c r="R97" s="106"/>
      <c r="S97" s="106"/>
    </row>
    <row r="98" spans="1:83" ht="13" customHeight="1">
      <c r="G98" s="49"/>
      <c r="N98" s="106"/>
      <c r="O98" s="106"/>
      <c r="P98" s="106"/>
      <c r="Q98" s="106"/>
      <c r="R98" s="106"/>
      <c r="S98" s="106"/>
    </row>
    <row r="99" spans="1:83" ht="13" customHeight="1">
      <c r="G99" s="49"/>
      <c r="N99" s="106"/>
      <c r="O99" s="106"/>
      <c r="P99" s="106"/>
      <c r="Q99" s="106"/>
      <c r="R99" s="106"/>
      <c r="S99" s="106"/>
    </row>
    <row r="100" spans="1:83" s="31" customFormat="1" ht="13" customHeight="1">
      <c r="A100" s="188" t="s">
        <v>27</v>
      </c>
      <c r="B100" s="488" t="str">
        <f>$C$11</f>
        <v>Emissioni di inquinanti atmosferici</v>
      </c>
      <c r="C100" s="488"/>
      <c r="D100" s="6" t="str">
        <f>VLOOKUP(32,Textbausteine_Menu[],Hilfsgrössen!$D$2,FALSE)</f>
        <v>Unità</v>
      </c>
      <c r="E100" s="39" t="str">
        <f>VLOOKUP(33,Textbausteine_Menu[],Hilfsgrössen!$D$2,FALSE)</f>
        <v>Note</v>
      </c>
      <c r="F100" s="39" t="str">
        <f>VLOOKUP(34,Textbausteine_Menu[],Hilfsgrössen!$D$2,FALSE)</f>
        <v>GRI</v>
      </c>
      <c r="G100" s="49"/>
      <c r="H100" s="102">
        <v>2010</v>
      </c>
      <c r="I100" s="102">
        <v>2011</v>
      </c>
      <c r="J100" s="102">
        <v>2012</v>
      </c>
      <c r="K100" s="102">
        <v>2013</v>
      </c>
      <c r="L100" s="102">
        <v>2014</v>
      </c>
      <c r="M100" s="102">
        <v>2015</v>
      </c>
      <c r="N100" s="102">
        <v>2016</v>
      </c>
      <c r="O100" s="102">
        <v>2017</v>
      </c>
      <c r="P100" s="102">
        <v>2018</v>
      </c>
      <c r="Q100" s="102">
        <v>2019</v>
      </c>
      <c r="R100" s="102" t="s">
        <v>142</v>
      </c>
      <c r="S100" s="134">
        <v>2020</v>
      </c>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row>
    <row r="101" spans="1:83" s="31" customFormat="1" ht="13" customHeight="1">
      <c r="A101" s="55"/>
      <c r="B101" s="488"/>
      <c r="C101" s="488"/>
      <c r="D101" s="6"/>
      <c r="E101" s="37"/>
      <c r="F101" s="37"/>
      <c r="G101" s="49"/>
      <c r="H101" s="106"/>
      <c r="I101" s="106"/>
      <c r="J101" s="106"/>
      <c r="K101" s="106"/>
      <c r="L101" s="106"/>
      <c r="M101" s="106"/>
      <c r="N101" s="106"/>
      <c r="O101" s="106"/>
      <c r="P101" s="106"/>
      <c r="Q101" s="106"/>
      <c r="R101" s="106"/>
      <c r="S101" s="138"/>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row>
    <row r="102" spans="1:83" ht="13" customHeight="1">
      <c r="B102" s="8"/>
      <c r="C102" s="9"/>
      <c r="D102" s="9"/>
      <c r="G102" s="49"/>
      <c r="N102" s="106"/>
      <c r="O102" s="106"/>
      <c r="P102" s="106"/>
      <c r="Q102" s="106"/>
      <c r="R102" s="106"/>
      <c r="S102" s="138"/>
    </row>
    <row r="103" spans="1:83" ht="13" customHeight="1">
      <c r="B103" s="8" t="str">
        <f>VLOOKUP(36,Textbausteine_Menu[],Hilfsgrössen!$D$2,FALSE)</f>
        <v>Gruppo</v>
      </c>
      <c r="C103" s="8"/>
      <c r="D103" s="66"/>
      <c r="N103" s="106"/>
      <c r="O103" s="106"/>
      <c r="P103" s="106"/>
      <c r="Q103" s="106"/>
      <c r="R103" s="106"/>
      <c r="S103" s="138"/>
    </row>
    <row r="104" spans="1:83" ht="13" customHeight="1">
      <c r="C104" s="18" t="str">
        <f>VLOOKUP(111,Textbausteine_305[],Hilfsgrössen!$D$2,FALSE)</f>
        <v>Equivalenti fluoro-cloro-idrocarburi (HCFC-11 equiv.)</v>
      </c>
      <c r="D104" s="18" t="str">
        <f>VLOOKUP(16,Textbausteine_305[],Hilfsgrössen!$D$2,FALSE)</f>
        <v>kg</v>
      </c>
      <c r="E104" s="37" t="s">
        <v>87</v>
      </c>
      <c r="F104" s="37" t="s">
        <v>143</v>
      </c>
      <c r="H104" s="347">
        <v>56.656749999999995</v>
      </c>
      <c r="I104" s="347">
        <v>56.216750000000005</v>
      </c>
      <c r="J104" s="347">
        <v>108</v>
      </c>
      <c r="K104" s="347">
        <v>106.6825</v>
      </c>
      <c r="L104" s="347">
        <v>53.605249999999998</v>
      </c>
      <c r="M104" s="347">
        <v>52.248352500000003</v>
      </c>
      <c r="N104" s="347">
        <v>51.7</v>
      </c>
      <c r="O104" s="347">
        <v>1.28</v>
      </c>
      <c r="P104" s="347">
        <v>0.74731999999999998</v>
      </c>
      <c r="Q104" s="347">
        <v>0.04</v>
      </c>
      <c r="R104" s="347">
        <v>0.05</v>
      </c>
      <c r="S104" s="353">
        <v>0.05</v>
      </c>
    </row>
    <row r="105" spans="1:83" ht="13" customHeight="1">
      <c r="C105" s="18" t="str">
        <f>VLOOKUP(112,Textbausteine_305[],Hilfsgrössen!$D$2,FALSE)</f>
        <v>Ossidi di azoto (NOx)</v>
      </c>
      <c r="D105" s="18" t="str">
        <f>VLOOKUP(17,Textbausteine_305[],Hilfsgrössen!$D$2,FALSE)</f>
        <v>t</v>
      </c>
      <c r="E105" s="37" t="s">
        <v>87</v>
      </c>
      <c r="F105" s="37" t="s">
        <v>144</v>
      </c>
      <c r="H105" s="347">
        <v>2126.6254912214044</v>
      </c>
      <c r="I105" s="347">
        <v>2086.986795031813</v>
      </c>
      <c r="J105" s="347">
        <v>2110.7971396006742</v>
      </c>
      <c r="K105" s="347">
        <v>2001.3082524510821</v>
      </c>
      <c r="L105" s="347">
        <v>1892.8871645166876</v>
      </c>
      <c r="M105" s="347">
        <v>1836.9172596897106</v>
      </c>
      <c r="N105" s="354">
        <v>1828.6075223799689</v>
      </c>
      <c r="O105" s="354">
        <v>1692.6639323839715</v>
      </c>
      <c r="P105" s="354">
        <v>1617.9185809195394</v>
      </c>
      <c r="Q105" s="354">
        <v>1425</v>
      </c>
      <c r="R105" s="354">
        <v>1487</v>
      </c>
      <c r="S105" s="355">
        <v>1426</v>
      </c>
    </row>
    <row r="106" spans="1:83" ht="13" customHeight="1">
      <c r="C106" s="18" t="str">
        <f>VLOOKUP(113,Textbausteine_305[],Hilfsgrössen!$D$2,FALSE)</f>
        <v>Ossidi di zolfo (SOx)</v>
      </c>
      <c r="D106" s="18" t="str">
        <f>VLOOKUP(17,Textbausteine_305[],Hilfsgrössen!$D$2,FALSE)</f>
        <v>t</v>
      </c>
      <c r="E106" s="37" t="s">
        <v>87</v>
      </c>
      <c r="F106" s="37" t="s">
        <v>144</v>
      </c>
      <c r="H106" s="347">
        <v>453.21409126742935</v>
      </c>
      <c r="I106" s="347">
        <v>442.20779069904631</v>
      </c>
      <c r="J106" s="347">
        <v>448.95330090473709</v>
      </c>
      <c r="K106" s="347">
        <v>407.43407886293028</v>
      </c>
      <c r="L106" s="347">
        <v>398.72234914301902</v>
      </c>
      <c r="M106" s="347">
        <v>398.12541437514068</v>
      </c>
      <c r="N106" s="354">
        <v>405.29957808288373</v>
      </c>
      <c r="O106" s="354">
        <v>387.73112315768856</v>
      </c>
      <c r="P106" s="354">
        <v>385.22939359908577</v>
      </c>
      <c r="Q106" s="354">
        <v>367</v>
      </c>
      <c r="R106" s="354">
        <v>377</v>
      </c>
      <c r="S106" s="355">
        <v>367</v>
      </c>
    </row>
    <row r="107" spans="1:83" ht="13" customHeight="1">
      <c r="C107" s="18" t="str">
        <f>VLOOKUP(114,Textbausteine_305[],Hilfsgrössen!$D$2,FALSE)</f>
        <v>Idrocarburi non metanici (NMHC)</v>
      </c>
      <c r="D107" s="18" t="str">
        <f>VLOOKUP(17,Textbausteine_305[],Hilfsgrössen!$D$2,FALSE)</f>
        <v>t</v>
      </c>
      <c r="E107" s="37" t="s">
        <v>87</v>
      </c>
      <c r="F107" s="37" t="s">
        <v>144</v>
      </c>
      <c r="H107" s="347">
        <v>808.00031071068884</v>
      </c>
      <c r="I107" s="347">
        <v>680.92395886955273</v>
      </c>
      <c r="J107" s="347">
        <v>657.95984198882127</v>
      </c>
      <c r="K107" s="347">
        <v>538.57415381843543</v>
      </c>
      <c r="L107" s="347">
        <v>458.74439530133685</v>
      </c>
      <c r="M107" s="347">
        <v>427.44439191721011</v>
      </c>
      <c r="N107" s="354">
        <v>369.98220828925298</v>
      </c>
      <c r="O107" s="354">
        <v>334.92098138256659</v>
      </c>
      <c r="P107" s="354">
        <v>320.34807607678783</v>
      </c>
      <c r="Q107" s="354">
        <v>297</v>
      </c>
      <c r="R107" s="354">
        <v>297</v>
      </c>
      <c r="S107" s="355">
        <v>281</v>
      </c>
    </row>
    <row r="108" spans="1:83" ht="13" customHeight="1">
      <c r="C108" s="18" t="str">
        <f>VLOOKUP(115,Textbausteine_305[],Hilfsgrössen!$D$2,FALSE)</f>
        <v>Particolato (PM10)</v>
      </c>
      <c r="D108" s="18" t="str">
        <f>VLOOKUP(17,Textbausteine_305[],Hilfsgrössen!$D$2,FALSE)</f>
        <v>t</v>
      </c>
      <c r="E108" s="37" t="s">
        <v>87</v>
      </c>
      <c r="F108" s="37" t="s">
        <v>144</v>
      </c>
      <c r="G108" s="48"/>
      <c r="H108" s="347">
        <v>87.302417005827763</v>
      </c>
      <c r="I108" s="347">
        <v>81.451962669579601</v>
      </c>
      <c r="J108" s="347">
        <v>77.82838093008597</v>
      </c>
      <c r="K108" s="347">
        <v>74.193520202790808</v>
      </c>
      <c r="L108" s="347">
        <v>70.374800229991109</v>
      </c>
      <c r="M108" s="347">
        <v>69.162272717505914</v>
      </c>
      <c r="N108" s="354">
        <v>67.59036985320202</v>
      </c>
      <c r="O108" s="354">
        <v>62.089763775006226</v>
      </c>
      <c r="P108" s="354">
        <v>58.681106546014142</v>
      </c>
      <c r="Q108" s="354">
        <v>54.8</v>
      </c>
      <c r="R108" s="354">
        <v>56</v>
      </c>
      <c r="S108" s="355">
        <v>54</v>
      </c>
    </row>
    <row r="109" spans="1:83" ht="13" customHeight="1">
      <c r="G109" s="48"/>
    </row>
    <row r="110" spans="1:83" ht="13" customHeight="1">
      <c r="B110" s="21" t="str">
        <f>VLOOKUP(141,Textbausteine_305[],Hilfsgrössen!$D$2,FALSE)</f>
        <v>1) Le emissioni sono calcolate per mezzo di fattori di emissione derivanti dai trasporti o dal consumo energetico. Esse comprendono anche i livelli precedenti della preparazione dell'energia.</v>
      </c>
      <c r="C110" s="21"/>
      <c r="D110" s="21"/>
      <c r="G110" s="49"/>
      <c r="N110" s="106"/>
      <c r="O110" s="106"/>
      <c r="P110" s="106"/>
      <c r="Q110" s="106"/>
      <c r="R110" s="106"/>
      <c r="S110" s="106"/>
    </row>
    <row r="111" spans="1:83" ht="13" customHeight="1">
      <c r="B111" s="21" t="str">
        <f>VLOOKUP(142,Textbausteine_305[],Hilfsgrössen!$D$2,FALSE)</f>
        <v xml:space="preserve">2) Standard, metodi e fattori di emissione: i fattori di emissione provengono da HBEFA 3.1, Mobitool Version 2010, ecoinvent 2.2 e altre fonti statistiche. </v>
      </c>
      <c r="C111" s="21"/>
      <c r="D111" s="21"/>
      <c r="G111" s="46"/>
      <c r="N111" s="106"/>
      <c r="O111" s="106"/>
      <c r="P111" s="106"/>
      <c r="Q111" s="106"/>
      <c r="R111" s="106"/>
      <c r="S111" s="106"/>
    </row>
    <row r="112" spans="1:83" ht="13" customHeight="1">
      <c r="B112" s="21" t="str">
        <f>VLOOKUP(143,Textbausteine_305[],Hilfsgrössen!$D$2,FALSE)</f>
        <v>3)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v>
      </c>
      <c r="G112" s="49"/>
    </row>
    <row r="113" spans="7:19" ht="13" customHeight="1">
      <c r="G113" s="49"/>
    </row>
    <row r="114" spans="7:19" ht="13" customHeight="1">
      <c r="G114" s="49"/>
    </row>
    <row r="115" spans="7:19" ht="13" customHeight="1">
      <c r="G115" s="49"/>
      <c r="N115" s="139"/>
      <c r="O115" s="139"/>
      <c r="P115" s="139"/>
      <c r="Q115" s="139"/>
      <c r="R115" s="139"/>
      <c r="S115" s="139"/>
    </row>
    <row r="116" spans="7:19" ht="13" customHeight="1">
      <c r="G116" s="54"/>
      <c r="N116" s="139"/>
      <c r="O116" s="139"/>
      <c r="P116" s="139"/>
      <c r="Q116" s="139"/>
      <c r="R116" s="139"/>
      <c r="S116" s="139"/>
    </row>
    <row r="117" spans="7:19" ht="13" customHeight="1">
      <c r="G117" s="54"/>
      <c r="N117" s="139"/>
      <c r="O117" s="139"/>
      <c r="P117" s="139"/>
      <c r="Q117" s="139"/>
      <c r="R117" s="139"/>
      <c r="S117" s="139"/>
    </row>
    <row r="118" spans="7:19" ht="13" customHeight="1">
      <c r="G118" s="54"/>
      <c r="N118" s="139"/>
      <c r="O118" s="139"/>
      <c r="P118" s="139"/>
      <c r="Q118" s="139"/>
      <c r="R118" s="139"/>
      <c r="S118" s="139"/>
    </row>
    <row r="119" spans="7:19" ht="13" customHeight="1">
      <c r="N119" s="139"/>
      <c r="O119" s="139"/>
      <c r="P119" s="139"/>
      <c r="Q119" s="139"/>
      <c r="R119" s="139"/>
      <c r="S119" s="139"/>
    </row>
    <row r="120" spans="7:19" ht="13" customHeight="1">
      <c r="N120" s="139"/>
      <c r="O120" s="139"/>
      <c r="P120" s="139"/>
      <c r="Q120" s="139"/>
      <c r="R120" s="139"/>
      <c r="S120" s="139"/>
    </row>
    <row r="121" spans="7:19" ht="13" customHeight="1">
      <c r="N121" s="139"/>
      <c r="O121" s="139"/>
      <c r="P121" s="139"/>
      <c r="Q121" s="139"/>
      <c r="R121" s="139"/>
      <c r="S121" s="139"/>
    </row>
    <row r="122" spans="7:19" ht="13" customHeight="1">
      <c r="N122" s="139"/>
      <c r="O122" s="139"/>
      <c r="P122" s="139"/>
      <c r="Q122" s="139"/>
      <c r="R122" s="139"/>
      <c r="S122" s="139"/>
    </row>
  </sheetData>
  <sheetProtection algorithmName="SHA-512" hashValue="74T9pxwGw8Kgqu4KDWf/UF+ORVOP4PEiKAnyRVuQBdIsRiZLc1Pi0ikpR/Q34e9JW61xQCIZTcjcOYTpo4cnzw==" saltValue="NEn43m3GOhLEsK6Sabk+NQ==" spinCount="100000" sheet="1" objects="1" scenarios="1"/>
  <mergeCells count="8">
    <mergeCell ref="D2:E2"/>
    <mergeCell ref="B100:C101"/>
    <mergeCell ref="B91:C92"/>
    <mergeCell ref="B2:C2"/>
    <mergeCell ref="B3:C3"/>
    <mergeCell ref="B14:C15"/>
    <mergeCell ref="B70:C71"/>
    <mergeCell ref="B81:C82"/>
  </mergeCells>
  <conditionalFormatting sqref="H14:CE10000">
    <cfRule type="expression" dxfId="29" priority="12">
      <formula>AND($D14&lt;&gt;"",H$14&lt;&gt;"",H14="")</formula>
    </cfRule>
    <cfRule type="expression" dxfId="28" priority="13">
      <formula>AND($A14="",ABS(H14)=0)</formula>
    </cfRule>
    <cfRule type="expression" dxfId="27" priority="14">
      <formula>AND($A14="",ABS(H14)&lt;10)</formula>
    </cfRule>
    <cfRule type="expression" dxfId="26" priority="15">
      <formula>AND($A14="",ABS(H14)&lt;100)</formula>
    </cfRule>
    <cfRule type="expression" dxfId="25" priority="16">
      <formula>AND($A14="",ABS(H14)&gt;=100)</formula>
    </cfRule>
  </conditionalFormatting>
  <dataValidations count="2">
    <dataValidation type="list" allowBlank="1" showInputMessage="1" showErrorMessage="1" sqref="G2" xr:uid="{00000000-0002-0000-0600-000000000000}">
      <formula1>Sprache</formula1>
    </dataValidation>
    <dataValidation allowBlank="1" showInputMessage="1" showErrorMessage="1" sqref="F2" xr:uid="{00000000-0002-0000-0600-000001000000}"/>
  </dataValidations>
  <hyperlinks>
    <hyperlink ref="C10" location="GRI_305_4" display="GRI_305_4" xr:uid="{00000000-0004-0000-0600-000000000000}"/>
    <hyperlink ref="C9" location="GRI_305_3" display="GRI_305_3" xr:uid="{00000000-0004-0000-0600-000001000000}"/>
    <hyperlink ref="C8" location="GRI_305_2" display="GRI_305_2" xr:uid="{00000000-0004-0000-0600-000002000000}"/>
    <hyperlink ref="C7" location="GRI_305_1" display="GRI_305_1" xr:uid="{00000000-0004-0000-0600-000003000000}"/>
    <hyperlink ref="A14" location="GRI_305" display="Ó" xr:uid="{00000000-0004-0000-0600-000004000000}"/>
    <hyperlink ref="A70" location="GRI_305" display="Ó" xr:uid="{00000000-0004-0000-0600-000005000000}"/>
    <hyperlink ref="A81" location="GRI_305" display="Ó" xr:uid="{00000000-0004-0000-0600-000006000000}"/>
    <hyperlink ref="A91" location="GRI_305" display="Ó" xr:uid="{00000000-0004-0000-0600-000007000000}"/>
    <hyperlink ref="A100" location="GRI_305" display="Ó" xr:uid="{00000000-0004-0000-0600-000008000000}"/>
    <hyperlink ref="C11" location="GRI_305_6_7" display="GRI_305_6_7" xr:uid="{00000000-0004-0000-0600-000009000000}"/>
    <hyperlink ref="D2" location="Home" display="Home" xr:uid="{00000000-0004-0000-0600-00000A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tabColor rgb="FF9E2A2F"/>
  </sheetPr>
  <dimension ref="A2:CJ146"/>
  <sheetViews>
    <sheetView showGridLines="0" showRowColHeaders="0" zoomScale="90" zoomScaleNormal="90" workbookViewId="0">
      <pane xSplit="7" topLeftCell="S1" activePane="topRight" state="frozen"/>
      <selection activeCell="B3" sqref="B3:C3"/>
      <selection pane="topRight" activeCell="B60" sqref="B60"/>
    </sheetView>
  </sheetViews>
  <sheetFormatPr baseColWidth="10" defaultColWidth="10.796875" defaultRowHeight="13" customHeight="1"/>
  <cols>
    <col min="1" max="1" width="2.3984375" style="90" customWidth="1"/>
    <col min="2" max="2" width="2.3984375" style="1" customWidth="1"/>
    <col min="3" max="3" width="61.3984375" style="1" customWidth="1"/>
    <col min="4" max="4" width="35.3984375" style="1" customWidth="1"/>
    <col min="5" max="5" width="10.59765625" style="37" bestFit="1" customWidth="1"/>
    <col min="6" max="6" width="14.19921875" style="37" customWidth="1"/>
    <col min="7" max="7" width="2.3984375" style="47" customWidth="1"/>
    <col min="8" max="13" width="12" style="99" customWidth="1"/>
    <col min="14" max="19" width="11.796875" style="106" customWidth="1"/>
    <col min="20" max="24" width="11.796875" style="20" customWidth="1"/>
    <col min="25" max="88" width="11.796875" style="11" customWidth="1"/>
    <col min="89" max="16384" width="10.796875" style="1"/>
  </cols>
  <sheetData>
    <row r="2" spans="1:88" s="152" customFormat="1" ht="26" customHeight="1">
      <c r="A2" s="87"/>
      <c r="B2" s="493" t="str">
        <f>UPPER(RIGHT(Inhaltsverzeichnis!$C$27,LEN(Inhaltsverzeichnis!$C$27)-FIND(" – ",Inhaltsverzeichnis!$C$27,1)-2))</f>
        <v>OCCUPAZIONE</v>
      </c>
      <c r="C2" s="493"/>
      <c r="D2" s="489" t="str">
        <f>VLOOKUP(35,Textbausteine_Menu[],Hilfsgrössen!$D$2,FALSE)</f>
        <v>torna alla tabella dei contenuti</v>
      </c>
      <c r="E2" s="490"/>
      <c r="F2" s="144" t="s">
        <v>0</v>
      </c>
      <c r="G2" s="168"/>
      <c r="H2" s="156"/>
      <c r="I2" s="156"/>
      <c r="J2" s="156"/>
      <c r="K2" s="156"/>
      <c r="L2" s="156"/>
      <c r="M2" s="156"/>
      <c r="N2" s="135"/>
      <c r="O2" s="135"/>
      <c r="P2" s="135"/>
      <c r="Q2" s="135"/>
      <c r="R2" s="135"/>
      <c r="S2" s="135"/>
      <c r="T2" s="115"/>
      <c r="U2" s="115"/>
      <c r="V2" s="115"/>
      <c r="W2" s="115"/>
      <c r="X2" s="115"/>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row>
    <row r="3" spans="1:88" s="153" customFormat="1" ht="26" customHeight="1">
      <c r="A3" s="88"/>
      <c r="B3" s="494" t="str">
        <f>UPPER("GRI "&amp;LEFT(Inhaltsverzeichnis!$C$27,3))</f>
        <v>GRI 401</v>
      </c>
      <c r="C3" s="494"/>
      <c r="D3" s="481"/>
      <c r="E3" s="38"/>
      <c r="F3" s="38"/>
      <c r="G3" s="45"/>
      <c r="H3" s="93"/>
      <c r="I3" s="93"/>
      <c r="J3" s="93"/>
      <c r="K3" s="93"/>
      <c r="L3" s="93"/>
      <c r="M3" s="93"/>
      <c r="N3" s="135"/>
      <c r="O3" s="135"/>
      <c r="P3" s="135"/>
      <c r="Q3" s="135"/>
      <c r="R3" s="135"/>
      <c r="S3" s="135"/>
      <c r="T3" s="115"/>
      <c r="U3" s="115"/>
      <c r="V3" s="115"/>
      <c r="W3" s="115"/>
      <c r="X3" s="115"/>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row>
    <row r="6" spans="1:88" s="31" customFormat="1" ht="13" customHeight="1">
      <c r="A6" s="89"/>
      <c r="B6" s="31" t="str">
        <f>VLOOKUP(31,Textbausteine_Menu[],Hilfsgrössen!$D$2,FALSE)</f>
        <v>Divulgazioni</v>
      </c>
      <c r="E6" s="39"/>
      <c r="F6" s="39"/>
      <c r="G6" s="46"/>
      <c r="H6" s="95"/>
      <c r="I6" s="95"/>
      <c r="J6" s="95"/>
      <c r="K6" s="95"/>
      <c r="L6" s="95"/>
      <c r="M6" s="95"/>
      <c r="N6" s="106"/>
      <c r="O6" s="106"/>
      <c r="P6" s="106"/>
      <c r="Q6" s="106"/>
      <c r="R6" s="106"/>
      <c r="S6" s="106"/>
      <c r="T6" s="20"/>
      <c r="U6" s="20"/>
      <c r="V6" s="20"/>
      <c r="W6" s="20"/>
      <c r="X6" s="20"/>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13" customHeight="1">
      <c r="B7" s="2"/>
      <c r="C7" s="5" t="str">
        <f>VLOOKUP(1,Textbausteine_401[],Hilfsgrössen!$D$2,FALSE)</f>
        <v>Fluttuazione del personale e partenze</v>
      </c>
      <c r="D7" s="4"/>
    </row>
    <row r="8" spans="1:88" ht="13" customHeight="1">
      <c r="B8" s="2"/>
      <c r="C8" s="5" t="str">
        <f>VLOOKUP(2,Textbausteine_401[],Hilfsgrössen!$D$2,FALSE)</f>
        <v>Congedo parentale</v>
      </c>
      <c r="D8" s="4"/>
    </row>
    <row r="9" spans="1:88" ht="13" customHeight="1">
      <c r="B9" s="2"/>
      <c r="C9" s="5" t="str">
        <f>VLOOKUP(3,Textbausteine_401[],Hilfsgrössen!$D$2,FALSE)</f>
        <v>Soddisfazione del personale, motivazione e impegno</v>
      </c>
    </row>
    <row r="10" spans="1:88" ht="13" customHeight="1">
      <c r="B10" s="2"/>
    </row>
    <row r="11" spans="1:88" ht="13" customHeight="1">
      <c r="B11" s="2"/>
    </row>
    <row r="12" spans="1:88" s="31" customFormat="1" ht="13" customHeight="1">
      <c r="A12" s="56" t="s">
        <v>27</v>
      </c>
      <c r="B12" s="488" t="str">
        <f>$C$7</f>
        <v>Fluttuazione del personale e partenze</v>
      </c>
      <c r="C12" s="488"/>
      <c r="D12" s="6" t="str">
        <f>VLOOKUP(32,Textbausteine_Menu[],Hilfsgrössen!$D$2,FALSE)</f>
        <v>Unità</v>
      </c>
      <c r="E12" s="39" t="str">
        <f>VLOOKUP(33,Textbausteine_Menu[],Hilfsgrössen!$D$2,FALSE)</f>
        <v>Note</v>
      </c>
      <c r="F12" s="39" t="str">
        <f>VLOOKUP(34,Textbausteine_Menu[],Hilfsgrössen!$D$2,FALSE)</f>
        <v>GRI</v>
      </c>
      <c r="G12" s="47"/>
      <c r="H12" s="157">
        <v>2004</v>
      </c>
      <c r="I12" s="157">
        <v>2005</v>
      </c>
      <c r="J12" s="157">
        <v>2006</v>
      </c>
      <c r="K12" s="157">
        <v>2007</v>
      </c>
      <c r="L12" s="157">
        <v>2008</v>
      </c>
      <c r="M12" s="157">
        <v>2009</v>
      </c>
      <c r="N12" s="116">
        <v>2010</v>
      </c>
      <c r="O12" s="116">
        <v>2011</v>
      </c>
      <c r="P12" s="116">
        <v>2012</v>
      </c>
      <c r="Q12" s="116">
        <v>2013</v>
      </c>
      <c r="R12" s="116">
        <v>2014</v>
      </c>
      <c r="S12" s="116">
        <v>2015</v>
      </c>
      <c r="T12" s="116">
        <v>2016</v>
      </c>
      <c r="U12" s="116">
        <v>2017</v>
      </c>
      <c r="V12" s="116">
        <v>2018</v>
      </c>
      <c r="W12" s="116">
        <v>2019</v>
      </c>
      <c r="X12" s="242">
        <v>2020</v>
      </c>
      <c r="Y12" s="7"/>
      <c r="Z12" s="7"/>
      <c r="AA12" s="7"/>
      <c r="AB12" s="7"/>
      <c r="AC12" s="7"/>
      <c r="AD12" s="7"/>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s="31" customFormat="1" ht="13" customHeight="1">
      <c r="A13" s="89"/>
      <c r="B13" s="488"/>
      <c r="C13" s="488"/>
      <c r="D13" s="6"/>
      <c r="E13" s="40"/>
      <c r="F13" s="40"/>
      <c r="G13" s="48"/>
      <c r="H13" s="158"/>
      <c r="I13" s="158"/>
      <c r="J13" s="158"/>
      <c r="K13" s="158"/>
      <c r="L13" s="158"/>
      <c r="M13" s="158"/>
      <c r="N13" s="142"/>
      <c r="O13" s="142"/>
      <c r="P13" s="142"/>
      <c r="Q13" s="142"/>
      <c r="R13" s="142"/>
      <c r="S13" s="142"/>
      <c r="T13" s="118"/>
      <c r="U13" s="118"/>
      <c r="V13" s="118"/>
      <c r="W13" s="118"/>
      <c r="X13" s="243"/>
      <c r="Y13" s="128"/>
      <c r="Z13" s="121"/>
      <c r="AA13" s="121"/>
      <c r="AB13" s="121"/>
      <c r="AC13" s="121"/>
      <c r="AD13" s="121"/>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row>
    <row r="14" spans="1:88" ht="13" customHeight="1">
      <c r="B14" s="8"/>
      <c r="C14" s="9"/>
      <c r="D14" s="9"/>
      <c r="E14" s="40"/>
      <c r="F14" s="40"/>
      <c r="G14" s="48"/>
      <c r="X14" s="244"/>
      <c r="Y14" s="12"/>
      <c r="Z14" s="13"/>
      <c r="AA14" s="13"/>
      <c r="AB14" s="13"/>
      <c r="AC14" s="13"/>
      <c r="AD14" s="13"/>
    </row>
    <row r="15" spans="1:88" ht="13" customHeight="1">
      <c r="B15" s="8" t="str">
        <f>VLOOKUP(37,Textbausteine_Menu[],Hilfsgrössen!$D$2,FALSE)</f>
        <v>Gruppo Svizzera</v>
      </c>
      <c r="C15" s="8"/>
      <c r="D15" s="66"/>
      <c r="E15" s="12"/>
      <c r="F15" s="11"/>
      <c r="G15" s="49"/>
      <c r="X15" s="244"/>
    </row>
    <row r="16" spans="1:88" ht="13" customHeight="1">
      <c r="C16" s="18" t="str">
        <f>VLOOKUP(31,Textbausteine_401[],Hilfsgrössen!$D$2,FALSE)</f>
        <v>Arrivi</v>
      </c>
      <c r="D16" s="18" t="str">
        <f>VLOOKUP(11,Textbausteine_401[],Hilfsgrössen!$D$2,FALSE)</f>
        <v>numero di collaboratori con salario mensile</v>
      </c>
      <c r="E16" s="11" t="s">
        <v>129</v>
      </c>
      <c r="F16" s="11" t="s">
        <v>145</v>
      </c>
      <c r="G16" s="49"/>
      <c r="H16" s="14">
        <v>1512</v>
      </c>
      <c r="I16" s="14">
        <v>2314</v>
      </c>
      <c r="J16" s="14">
        <v>1797</v>
      </c>
      <c r="K16" s="14">
        <v>2603</v>
      </c>
      <c r="L16" s="14">
        <v>4121</v>
      </c>
      <c r="M16" s="14">
        <v>2002</v>
      </c>
      <c r="N16" s="14">
        <v>2151</v>
      </c>
      <c r="O16" s="14">
        <v>2711</v>
      </c>
      <c r="P16" s="17">
        <v>2146</v>
      </c>
      <c r="Q16" s="17">
        <v>2432</v>
      </c>
      <c r="R16" s="356">
        <v>2319</v>
      </c>
      <c r="S16" s="356">
        <v>2404</v>
      </c>
      <c r="T16" s="14">
        <v>2220</v>
      </c>
      <c r="U16" s="14">
        <v>2155</v>
      </c>
      <c r="V16" s="14">
        <v>2916</v>
      </c>
      <c r="W16" s="14">
        <v>3324</v>
      </c>
      <c r="X16" s="357">
        <v>3339</v>
      </c>
      <c r="Y16" s="14"/>
      <c r="Z16" s="17"/>
      <c r="AA16" s="17"/>
      <c r="AB16" s="17"/>
      <c r="AC16" s="17"/>
      <c r="AD16" s="17"/>
    </row>
    <row r="17" spans="1:88" ht="13" customHeight="1">
      <c r="C17" s="213" t="str">
        <f>VLOOKUP(32,Textbausteine_401[],Hilfsgrössen!$D$2,FALSE)</f>
        <v>Donne</v>
      </c>
      <c r="D17" s="214" t="str">
        <f>VLOOKUP(11,Textbausteine_401[],Hilfsgrössen!$D$2,FALSE)</f>
        <v>numero di collaboratori con salario mensile</v>
      </c>
      <c r="E17" s="11" t="s">
        <v>129</v>
      </c>
      <c r="F17" s="11" t="s">
        <v>145</v>
      </c>
      <c r="G17" s="49"/>
      <c r="H17" s="14">
        <v>812</v>
      </c>
      <c r="I17" s="14">
        <v>1049</v>
      </c>
      <c r="J17" s="14">
        <v>852</v>
      </c>
      <c r="K17" s="14">
        <v>1287</v>
      </c>
      <c r="L17" s="14">
        <v>1920</v>
      </c>
      <c r="M17" s="14">
        <v>850</v>
      </c>
      <c r="N17" s="14">
        <v>922</v>
      </c>
      <c r="O17" s="14">
        <v>1063</v>
      </c>
      <c r="P17" s="17">
        <v>861</v>
      </c>
      <c r="Q17" s="17">
        <v>917</v>
      </c>
      <c r="R17" s="356">
        <v>977</v>
      </c>
      <c r="S17" s="356">
        <v>1021</v>
      </c>
      <c r="T17" s="14">
        <v>921</v>
      </c>
      <c r="U17" s="14">
        <v>754</v>
      </c>
      <c r="V17" s="14">
        <v>1047</v>
      </c>
      <c r="W17" s="14">
        <v>1265</v>
      </c>
      <c r="X17" s="357">
        <v>1064</v>
      </c>
      <c r="Y17" s="14"/>
      <c r="Z17" s="17"/>
      <c r="AA17" s="17"/>
      <c r="AB17" s="17"/>
      <c r="AC17" s="17"/>
      <c r="AD17" s="17"/>
    </row>
    <row r="18" spans="1:88" ht="13" customHeight="1">
      <c r="C18" s="215" t="str">
        <f>VLOOKUP(33,Textbausteine_401[],Hilfsgrössen!$D$2,FALSE)</f>
        <v>20-29</v>
      </c>
      <c r="D18" s="214" t="str">
        <f>VLOOKUP(11,Textbausteine_401[],Hilfsgrössen!$D$2,FALSE)</f>
        <v>numero di collaboratori con salario mensile</v>
      </c>
      <c r="E18" s="11" t="s">
        <v>129</v>
      </c>
      <c r="F18" s="11" t="s">
        <v>145</v>
      </c>
      <c r="G18" s="49"/>
      <c r="H18" s="14">
        <v>235</v>
      </c>
      <c r="I18" s="14">
        <v>371</v>
      </c>
      <c r="J18" s="14">
        <v>262</v>
      </c>
      <c r="K18" s="14">
        <v>323</v>
      </c>
      <c r="L18" s="14">
        <v>616</v>
      </c>
      <c r="M18" s="14">
        <v>416</v>
      </c>
      <c r="N18" s="14">
        <v>404</v>
      </c>
      <c r="O18" s="14">
        <v>485</v>
      </c>
      <c r="P18" s="17">
        <v>396</v>
      </c>
      <c r="Q18" s="17">
        <v>415</v>
      </c>
      <c r="R18" s="356">
        <v>496</v>
      </c>
      <c r="S18" s="356">
        <v>475</v>
      </c>
      <c r="T18" s="358">
        <v>395</v>
      </c>
      <c r="U18" s="358">
        <v>320</v>
      </c>
      <c r="V18" s="358">
        <v>416</v>
      </c>
      <c r="W18" s="358">
        <v>452</v>
      </c>
      <c r="X18" s="359">
        <v>413</v>
      </c>
      <c r="Y18" s="14"/>
      <c r="Z18" s="14"/>
      <c r="AA18" s="14"/>
      <c r="AB18" s="14"/>
      <c r="AC18" s="14"/>
    </row>
    <row r="19" spans="1:88" ht="13" customHeight="1">
      <c r="C19" s="215" t="str">
        <f>VLOOKUP(34,Textbausteine_401[],Hilfsgrössen!$D$2,FALSE)</f>
        <v>30-49</v>
      </c>
      <c r="D19" s="18" t="str">
        <f>VLOOKUP(11,Textbausteine_401[],Hilfsgrössen!$D$2,FALSE)</f>
        <v>numero di collaboratori con salario mensile</v>
      </c>
      <c r="E19" s="11" t="s">
        <v>129</v>
      </c>
      <c r="F19" s="11" t="s">
        <v>145</v>
      </c>
      <c r="G19" s="49"/>
      <c r="H19" s="14">
        <v>476</v>
      </c>
      <c r="I19" s="14">
        <v>563</v>
      </c>
      <c r="J19" s="14">
        <v>498</v>
      </c>
      <c r="K19" s="14">
        <v>700</v>
      </c>
      <c r="L19" s="14">
        <v>976</v>
      </c>
      <c r="M19" s="14">
        <v>367</v>
      </c>
      <c r="N19" s="14">
        <v>444</v>
      </c>
      <c r="O19" s="14">
        <v>512</v>
      </c>
      <c r="P19" s="17">
        <v>405</v>
      </c>
      <c r="Q19" s="17">
        <v>440</v>
      </c>
      <c r="R19" s="356">
        <v>399</v>
      </c>
      <c r="S19" s="356">
        <v>470</v>
      </c>
      <c r="T19" s="358">
        <v>444</v>
      </c>
      <c r="U19" s="358">
        <v>361</v>
      </c>
      <c r="V19" s="358">
        <v>516</v>
      </c>
      <c r="W19" s="358">
        <v>644</v>
      </c>
      <c r="X19" s="359">
        <v>552</v>
      </c>
      <c r="Y19" s="14"/>
      <c r="Z19" s="17"/>
      <c r="AA19" s="17"/>
      <c r="AB19" s="17"/>
      <c r="AC19" s="17"/>
      <c r="AD19" s="17"/>
    </row>
    <row r="20" spans="1:88" ht="13" customHeight="1">
      <c r="C20" s="216" t="str">
        <f>VLOOKUP(35,Textbausteine_401[],Hilfsgrössen!$D$2,FALSE)</f>
        <v>Dai 50 anni in su</v>
      </c>
      <c r="D20" s="18" t="str">
        <f>VLOOKUP(11,Textbausteine_401[],Hilfsgrössen!$D$2,FALSE)</f>
        <v>numero di collaboratori con salario mensile</v>
      </c>
      <c r="E20" s="11" t="s">
        <v>129</v>
      </c>
      <c r="F20" s="11" t="s">
        <v>145</v>
      </c>
      <c r="G20" s="49"/>
      <c r="H20" s="14">
        <v>101</v>
      </c>
      <c r="I20" s="14">
        <v>115</v>
      </c>
      <c r="J20" s="14">
        <v>92</v>
      </c>
      <c r="K20" s="14">
        <v>264</v>
      </c>
      <c r="L20" s="14">
        <v>328</v>
      </c>
      <c r="M20" s="14">
        <v>67</v>
      </c>
      <c r="N20" s="14">
        <v>74</v>
      </c>
      <c r="O20" s="14">
        <v>66</v>
      </c>
      <c r="P20" s="360">
        <v>60</v>
      </c>
      <c r="Q20" s="17">
        <v>62</v>
      </c>
      <c r="R20" s="356">
        <v>82</v>
      </c>
      <c r="S20" s="356">
        <v>76</v>
      </c>
      <c r="T20" s="14">
        <v>82</v>
      </c>
      <c r="U20" s="14">
        <v>73</v>
      </c>
      <c r="V20" s="14">
        <v>115</v>
      </c>
      <c r="W20" s="14">
        <v>169</v>
      </c>
      <c r="X20" s="357">
        <v>99</v>
      </c>
      <c r="Y20" s="14"/>
      <c r="Z20" s="17"/>
      <c r="AA20" s="17"/>
      <c r="AB20" s="17"/>
      <c r="AC20" s="17"/>
    </row>
    <row r="21" spans="1:88" ht="13" customHeight="1">
      <c r="C21" s="19" t="str">
        <f>VLOOKUP(36,Textbausteine_401[],Hilfsgrössen!$D$2,FALSE)</f>
        <v>Uomini</v>
      </c>
      <c r="D21" s="18" t="str">
        <f>VLOOKUP(11,Textbausteine_401[],Hilfsgrössen!$D$2,FALSE)</f>
        <v>numero di collaboratori con salario mensile</v>
      </c>
      <c r="E21" s="11" t="s">
        <v>129</v>
      </c>
      <c r="F21" s="11" t="s">
        <v>145</v>
      </c>
      <c r="G21" s="49"/>
      <c r="H21" s="14">
        <v>700</v>
      </c>
      <c r="I21" s="14">
        <v>1265</v>
      </c>
      <c r="J21" s="14">
        <v>945</v>
      </c>
      <c r="K21" s="14">
        <v>1316</v>
      </c>
      <c r="L21" s="14">
        <v>2201</v>
      </c>
      <c r="M21" s="14">
        <v>1152</v>
      </c>
      <c r="N21" s="14">
        <v>1229</v>
      </c>
      <c r="O21" s="14">
        <v>1648</v>
      </c>
      <c r="P21" s="17">
        <v>1285</v>
      </c>
      <c r="Q21" s="17">
        <v>1515</v>
      </c>
      <c r="R21" s="356">
        <v>1342</v>
      </c>
      <c r="S21" s="356">
        <v>1383</v>
      </c>
      <c r="T21" s="17">
        <v>1299</v>
      </c>
      <c r="U21" s="17">
        <v>1401</v>
      </c>
      <c r="V21" s="17">
        <v>1869</v>
      </c>
      <c r="W21" s="17">
        <v>2059</v>
      </c>
      <c r="X21" s="361">
        <v>2275</v>
      </c>
      <c r="Y21" s="14"/>
      <c r="Z21" s="17"/>
      <c r="AA21" s="17"/>
      <c r="AB21" s="17"/>
      <c r="AC21" s="17"/>
      <c r="AD21" s="17"/>
    </row>
    <row r="22" spans="1:88" ht="13" customHeight="1">
      <c r="C22" s="216" t="str">
        <f>VLOOKUP(37,Textbausteine_401[],Hilfsgrössen!$D$2,FALSE)</f>
        <v>20-29</v>
      </c>
      <c r="D22" s="18" t="str">
        <f>VLOOKUP(11,Textbausteine_401[],Hilfsgrössen!$D$2,FALSE)</f>
        <v>numero di collaboratori con salario mensile</v>
      </c>
      <c r="E22" s="11" t="s">
        <v>129</v>
      </c>
      <c r="F22" s="11" t="s">
        <v>145</v>
      </c>
      <c r="G22" s="49"/>
      <c r="H22" s="14">
        <v>261</v>
      </c>
      <c r="I22" s="14">
        <v>340</v>
      </c>
      <c r="J22" s="14">
        <v>306</v>
      </c>
      <c r="K22" s="14">
        <v>399</v>
      </c>
      <c r="L22" s="14">
        <v>760</v>
      </c>
      <c r="M22" s="14">
        <v>437</v>
      </c>
      <c r="N22" s="14">
        <v>512</v>
      </c>
      <c r="O22" s="14">
        <v>655</v>
      </c>
      <c r="P22" s="17">
        <v>563</v>
      </c>
      <c r="Q22" s="17">
        <v>635</v>
      </c>
      <c r="R22" s="17">
        <v>543</v>
      </c>
      <c r="S22" s="356">
        <v>564</v>
      </c>
      <c r="T22" s="17">
        <v>551</v>
      </c>
      <c r="U22" s="17">
        <v>577</v>
      </c>
      <c r="V22" s="17">
        <v>768</v>
      </c>
      <c r="W22" s="17">
        <v>801</v>
      </c>
      <c r="X22" s="361">
        <v>899</v>
      </c>
      <c r="Y22" s="13"/>
      <c r="AD22" s="17"/>
    </row>
    <row r="23" spans="1:88" ht="13" customHeight="1">
      <c r="C23" s="217" t="str">
        <f>VLOOKUP(38,Textbausteine_401[],Hilfsgrössen!$D$2,FALSE)</f>
        <v>30-49</v>
      </c>
      <c r="D23" s="66" t="str">
        <f>VLOOKUP(11,Textbausteine_401[],Hilfsgrössen!$D$2,FALSE)</f>
        <v>numero di collaboratori con salario mensile</v>
      </c>
      <c r="E23" s="11" t="s">
        <v>129</v>
      </c>
      <c r="F23" s="11" t="s">
        <v>145</v>
      </c>
      <c r="G23" s="49"/>
      <c r="H23" s="73">
        <v>341</v>
      </c>
      <c r="I23" s="73">
        <v>709</v>
      </c>
      <c r="J23" s="73">
        <v>546</v>
      </c>
      <c r="K23" s="73">
        <v>702</v>
      </c>
      <c r="L23" s="73">
        <v>1132</v>
      </c>
      <c r="M23" s="73">
        <v>593</v>
      </c>
      <c r="N23" s="17">
        <v>592</v>
      </c>
      <c r="O23" s="17">
        <v>804</v>
      </c>
      <c r="P23" s="17">
        <v>607</v>
      </c>
      <c r="Q23" s="17">
        <v>712</v>
      </c>
      <c r="R23" s="17">
        <v>634</v>
      </c>
      <c r="S23" s="17">
        <v>666</v>
      </c>
      <c r="T23" s="17">
        <v>602</v>
      </c>
      <c r="U23" s="17">
        <v>660</v>
      </c>
      <c r="V23" s="17">
        <v>860</v>
      </c>
      <c r="W23" s="17">
        <v>972</v>
      </c>
      <c r="X23" s="361">
        <v>1067</v>
      </c>
    </row>
    <row r="24" spans="1:88" ht="13" customHeight="1">
      <c r="C24" s="217" t="str">
        <f>VLOOKUP(39,Textbausteine_401[],Hilfsgrössen!$D$2,FALSE)</f>
        <v>Dai 50 anni in su</v>
      </c>
      <c r="D24" s="66" t="str">
        <f>VLOOKUP(11,Textbausteine_401[],Hilfsgrössen!$D$2,FALSE)</f>
        <v>numero di collaboratori con salario mensile</v>
      </c>
      <c r="E24" s="11" t="s">
        <v>129</v>
      </c>
      <c r="F24" s="11" t="s">
        <v>145</v>
      </c>
      <c r="G24" s="49"/>
      <c r="H24" s="73">
        <v>98</v>
      </c>
      <c r="I24" s="73">
        <v>216</v>
      </c>
      <c r="J24" s="73">
        <v>93</v>
      </c>
      <c r="K24" s="73">
        <v>215</v>
      </c>
      <c r="L24" s="73">
        <v>309</v>
      </c>
      <c r="M24" s="73">
        <v>122</v>
      </c>
      <c r="N24" s="17">
        <v>125</v>
      </c>
      <c r="O24" s="17">
        <v>189</v>
      </c>
      <c r="P24" s="17">
        <v>115</v>
      </c>
      <c r="Q24" s="17">
        <v>168</v>
      </c>
      <c r="R24" s="17">
        <v>165</v>
      </c>
      <c r="S24" s="17">
        <v>153</v>
      </c>
      <c r="T24" s="17">
        <v>146</v>
      </c>
      <c r="U24" s="17">
        <v>164</v>
      </c>
      <c r="V24" s="17">
        <v>241</v>
      </c>
      <c r="W24" s="17">
        <v>286</v>
      </c>
      <c r="X24" s="361">
        <v>309</v>
      </c>
    </row>
    <row r="25" spans="1:88" ht="13" customHeight="1">
      <c r="C25" s="18"/>
      <c r="D25" s="66"/>
      <c r="E25" s="11"/>
      <c r="F25" s="11"/>
      <c r="G25" s="49"/>
      <c r="H25" s="329"/>
      <c r="I25" s="329"/>
      <c r="J25" s="329"/>
      <c r="K25" s="329"/>
      <c r="L25" s="329"/>
      <c r="M25" s="329"/>
      <c r="N25" s="17"/>
      <c r="O25" s="17"/>
      <c r="P25" s="17"/>
      <c r="Q25" s="17"/>
      <c r="R25" s="17"/>
      <c r="S25" s="17"/>
      <c r="T25" s="17"/>
      <c r="U25" s="17"/>
      <c r="V25" s="17"/>
      <c r="W25" s="17"/>
      <c r="X25" s="361"/>
    </row>
    <row r="26" spans="1:88" ht="13" customHeight="1">
      <c r="C26" s="10" t="str">
        <f>VLOOKUP(40,Textbausteine_401[],Hilfsgrössen!$D$2,FALSE)</f>
        <v>Partenze di collaboratori</v>
      </c>
      <c r="D26" s="66" t="str">
        <f>VLOOKUP(11,Textbausteine_401[],Hilfsgrössen!$D$2,FALSE)</f>
        <v>numero di collaboratori con salario mensile</v>
      </c>
      <c r="E26" s="11" t="s">
        <v>83</v>
      </c>
      <c r="F26" s="11" t="s">
        <v>145</v>
      </c>
      <c r="G26" s="49"/>
      <c r="H26" s="362">
        <v>4628</v>
      </c>
      <c r="I26" s="362">
        <v>3643</v>
      </c>
      <c r="J26" s="362">
        <v>3954</v>
      </c>
      <c r="K26" s="362">
        <v>4261</v>
      </c>
      <c r="L26" s="362">
        <v>4823</v>
      </c>
      <c r="M26" s="362">
        <v>3605</v>
      </c>
      <c r="N26" s="17">
        <v>3368</v>
      </c>
      <c r="O26" s="17">
        <v>3648</v>
      </c>
      <c r="P26" s="17">
        <v>3557</v>
      </c>
      <c r="Q26" s="17">
        <v>3789</v>
      </c>
      <c r="R26" s="17">
        <v>3514</v>
      </c>
      <c r="S26" s="17">
        <v>3564</v>
      </c>
      <c r="T26" s="17">
        <v>3412</v>
      </c>
      <c r="U26" s="17">
        <v>3905</v>
      </c>
      <c r="V26" s="17">
        <v>4276</v>
      </c>
      <c r="W26" s="17">
        <v>4130</v>
      </c>
      <c r="X26" s="361">
        <v>4028</v>
      </c>
    </row>
    <row r="27" spans="1:88" ht="13" customHeight="1">
      <c r="C27" s="76" t="str">
        <f>VLOOKUP(41,Textbausteine_401[],Hilfsgrössen!$D$2,FALSE)</f>
        <v>Pensionamenti</v>
      </c>
      <c r="D27" s="66" t="str">
        <f>VLOOKUP(11,Textbausteine_401[],Hilfsgrössen!$D$2,FALSE)</f>
        <v>numero di collaboratori con salario mensile</v>
      </c>
      <c r="E27" s="11" t="s">
        <v>83</v>
      </c>
      <c r="F27" s="11" t="s">
        <v>145</v>
      </c>
      <c r="G27" s="49"/>
      <c r="H27" s="362">
        <v>1136</v>
      </c>
      <c r="I27" s="362">
        <v>876</v>
      </c>
      <c r="J27" s="362">
        <v>1471</v>
      </c>
      <c r="K27" s="362">
        <v>892</v>
      </c>
      <c r="L27" s="362">
        <v>1007</v>
      </c>
      <c r="M27" s="362">
        <v>838</v>
      </c>
      <c r="N27" s="17">
        <v>793</v>
      </c>
      <c r="O27" s="17">
        <v>1055</v>
      </c>
      <c r="P27" s="17">
        <v>918</v>
      </c>
      <c r="Q27" s="17">
        <v>1216</v>
      </c>
      <c r="R27" s="17">
        <v>900</v>
      </c>
      <c r="S27" s="17">
        <v>1099</v>
      </c>
      <c r="T27" s="17">
        <v>800</v>
      </c>
      <c r="U27" s="17">
        <v>1171</v>
      </c>
      <c r="V27" s="17">
        <v>1056</v>
      </c>
      <c r="W27" s="17">
        <v>1065</v>
      </c>
      <c r="X27" s="361">
        <v>1455</v>
      </c>
    </row>
    <row r="28" spans="1:88" s="9" customFormat="1" ht="13" customHeight="1">
      <c r="A28" s="146"/>
      <c r="C28" s="19" t="str">
        <f>VLOOKUP(42,Textbausteine_401[],Hilfsgrössen!$D$2,FALSE)</f>
        <v>Contratti in scadenza</v>
      </c>
      <c r="D28" s="66" t="str">
        <f>VLOOKUP(11,Textbausteine_401[],Hilfsgrössen!$D$2,FALSE)</f>
        <v>numero di collaboratori con salario mensile</v>
      </c>
      <c r="E28" s="11" t="s">
        <v>83</v>
      </c>
      <c r="F28" s="11" t="s">
        <v>145</v>
      </c>
      <c r="G28" s="49"/>
      <c r="H28" s="362">
        <v>233</v>
      </c>
      <c r="I28" s="362">
        <v>218</v>
      </c>
      <c r="J28" s="362">
        <v>217</v>
      </c>
      <c r="K28" s="362">
        <v>197</v>
      </c>
      <c r="L28" s="362">
        <v>265</v>
      </c>
      <c r="M28" s="362">
        <v>414</v>
      </c>
      <c r="N28" s="17">
        <v>325</v>
      </c>
      <c r="O28" s="17">
        <v>237</v>
      </c>
      <c r="P28" s="17">
        <v>232</v>
      </c>
      <c r="Q28" s="17">
        <v>255</v>
      </c>
      <c r="R28" s="17">
        <v>249</v>
      </c>
      <c r="S28" s="17">
        <v>243</v>
      </c>
      <c r="T28" s="17">
        <v>247</v>
      </c>
      <c r="U28" s="17">
        <v>35</v>
      </c>
      <c r="V28" s="17">
        <v>294</v>
      </c>
      <c r="W28" s="17">
        <v>449</v>
      </c>
      <c r="X28" s="361">
        <v>442</v>
      </c>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row>
    <row r="29" spans="1:88" s="9" customFormat="1" ht="13" customHeight="1">
      <c r="A29" s="146"/>
      <c r="C29" s="76" t="str">
        <f>VLOOKUP(43,Textbausteine_401[],Hilfsgrössen!$D$2,FALSE)</f>
        <v>Partenze convenute</v>
      </c>
      <c r="D29" s="66" t="str">
        <f>VLOOKUP(11,Textbausteine_401[],Hilfsgrössen!$D$2,FALSE)</f>
        <v>numero di collaboratori con salario mensile</v>
      </c>
      <c r="E29" s="11" t="s">
        <v>83</v>
      </c>
      <c r="F29" s="11" t="s">
        <v>145</v>
      </c>
      <c r="G29" s="49"/>
      <c r="H29" s="362">
        <v>724</v>
      </c>
      <c r="I29" s="362">
        <v>324</v>
      </c>
      <c r="J29" s="362">
        <v>266</v>
      </c>
      <c r="K29" s="362">
        <v>797</v>
      </c>
      <c r="L29" s="362">
        <v>975</v>
      </c>
      <c r="M29" s="362">
        <v>645</v>
      </c>
      <c r="N29" s="17">
        <v>439</v>
      </c>
      <c r="O29" s="17">
        <v>349</v>
      </c>
      <c r="P29" s="17">
        <v>271</v>
      </c>
      <c r="Q29" s="17">
        <v>298</v>
      </c>
      <c r="R29" s="17">
        <v>240</v>
      </c>
      <c r="S29" s="17">
        <v>364</v>
      </c>
      <c r="T29" s="17">
        <v>313</v>
      </c>
      <c r="U29" s="17">
        <v>314</v>
      </c>
      <c r="V29" s="17">
        <v>317</v>
      </c>
      <c r="W29" s="17">
        <v>201</v>
      </c>
      <c r="X29" s="361">
        <v>151</v>
      </c>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row>
    <row r="30" spans="1:88" ht="13" customHeight="1">
      <c r="C30" s="76" t="str">
        <f>VLOOKUP(44,Textbausteine_401[],Hilfsgrössen!$D$2,FALSE)</f>
        <v>Licenziamenti da parte del datore di lavoro</v>
      </c>
      <c r="D30" s="66" t="str">
        <f>VLOOKUP(11,Textbausteine_401[],Hilfsgrössen!$D$2,FALSE)</f>
        <v>numero di collaboratori con salario mensile</v>
      </c>
      <c r="E30" s="11" t="s">
        <v>83</v>
      </c>
      <c r="F30" s="11" t="s">
        <v>145</v>
      </c>
      <c r="G30" s="49"/>
      <c r="H30" s="362">
        <v>597</v>
      </c>
      <c r="I30" s="362">
        <v>470</v>
      </c>
      <c r="J30" s="362">
        <v>299</v>
      </c>
      <c r="K30" s="362">
        <v>273</v>
      </c>
      <c r="L30" s="362">
        <v>235</v>
      </c>
      <c r="M30" s="362">
        <v>263</v>
      </c>
      <c r="N30" s="17">
        <v>293</v>
      </c>
      <c r="O30" s="17">
        <v>289</v>
      </c>
      <c r="P30" s="17">
        <v>538</v>
      </c>
      <c r="Q30" s="17">
        <v>414</v>
      </c>
      <c r="R30" s="17">
        <v>441</v>
      </c>
      <c r="S30" s="17">
        <v>315</v>
      </c>
      <c r="T30" s="17">
        <v>404</v>
      </c>
      <c r="U30" s="17">
        <v>484</v>
      </c>
      <c r="V30" s="17">
        <v>503</v>
      </c>
      <c r="W30" s="17">
        <v>496</v>
      </c>
      <c r="X30" s="361">
        <v>447</v>
      </c>
    </row>
    <row r="31" spans="1:88" ht="13" customHeight="1">
      <c r="C31" s="217" t="str">
        <f>VLOOKUP(45,Textbausteine_401[],Hilfsgrössen!$D$2,FALSE)</f>
        <v>per motivi economici</v>
      </c>
      <c r="D31" s="66" t="str">
        <f>VLOOKUP(11,Textbausteine_401[],Hilfsgrössen!$D$2,FALSE)</f>
        <v>numero di collaboratori con salario mensile</v>
      </c>
      <c r="E31" s="11" t="s">
        <v>83</v>
      </c>
      <c r="F31" s="11" t="s">
        <v>145</v>
      </c>
      <c r="G31" s="49"/>
      <c r="H31" s="362">
        <v>173</v>
      </c>
      <c r="I31" s="362">
        <v>172</v>
      </c>
      <c r="J31" s="362">
        <v>86</v>
      </c>
      <c r="K31" s="362">
        <v>110</v>
      </c>
      <c r="L31" s="362">
        <v>97</v>
      </c>
      <c r="M31" s="362">
        <v>99</v>
      </c>
      <c r="N31" s="17">
        <v>116</v>
      </c>
      <c r="O31" s="17">
        <v>95</v>
      </c>
      <c r="P31" s="17">
        <v>315</v>
      </c>
      <c r="Q31" s="17">
        <v>180</v>
      </c>
      <c r="R31" s="17">
        <v>168</v>
      </c>
      <c r="S31" s="17">
        <v>78</v>
      </c>
      <c r="T31" s="17">
        <v>84</v>
      </c>
      <c r="U31" s="17">
        <v>161</v>
      </c>
      <c r="V31" s="17">
        <v>152</v>
      </c>
      <c r="W31" s="17">
        <v>105</v>
      </c>
      <c r="X31" s="361">
        <v>73</v>
      </c>
    </row>
    <row r="32" spans="1:88" ht="13" customHeight="1">
      <c r="C32" s="217" t="str">
        <f>VLOOKUP(46,Textbausteine_401[],Hilfsgrössen!$D$2,FALSE)</f>
        <v>per motivi personali</v>
      </c>
      <c r="D32" s="66" t="str">
        <f>VLOOKUP(11,Textbausteine_401[],Hilfsgrössen!$D$2,FALSE)</f>
        <v>numero di collaboratori con salario mensile</v>
      </c>
      <c r="E32" s="11" t="s">
        <v>83</v>
      </c>
      <c r="F32" s="13" t="s">
        <v>145</v>
      </c>
      <c r="G32" s="50"/>
      <c r="H32" s="362">
        <v>424</v>
      </c>
      <c r="I32" s="362">
        <v>298</v>
      </c>
      <c r="J32" s="362">
        <v>213</v>
      </c>
      <c r="K32" s="362">
        <v>163</v>
      </c>
      <c r="L32" s="362">
        <v>138</v>
      </c>
      <c r="M32" s="362">
        <v>164</v>
      </c>
      <c r="N32" s="17">
        <v>177</v>
      </c>
      <c r="O32" s="17">
        <v>194</v>
      </c>
      <c r="P32" s="17">
        <v>223</v>
      </c>
      <c r="Q32" s="17">
        <v>234</v>
      </c>
      <c r="R32" s="17">
        <v>269</v>
      </c>
      <c r="S32" s="17">
        <v>237</v>
      </c>
      <c r="T32" s="17">
        <v>320</v>
      </c>
      <c r="U32" s="17">
        <v>323</v>
      </c>
      <c r="V32" s="17">
        <v>351</v>
      </c>
      <c r="W32" s="17">
        <v>391</v>
      </c>
      <c r="X32" s="361">
        <v>374</v>
      </c>
    </row>
    <row r="33" spans="1:88" ht="13" customHeight="1">
      <c r="C33" s="76" t="str">
        <f>VLOOKUP(47,Textbausteine_401[],Hilfsgrössen!$D$2,FALSE)</f>
        <v>Decessi</v>
      </c>
      <c r="D33" s="66" t="str">
        <f>VLOOKUP(11,Textbausteine_401[],Hilfsgrössen!$D$2,FALSE)</f>
        <v>numero di collaboratori con salario mensile</v>
      </c>
      <c r="E33" s="11" t="s">
        <v>83</v>
      </c>
      <c r="F33" s="11" t="s">
        <v>145</v>
      </c>
      <c r="G33" s="49"/>
      <c r="H33" s="362">
        <v>54</v>
      </c>
      <c r="I33" s="362">
        <v>52</v>
      </c>
      <c r="J33" s="362">
        <v>71</v>
      </c>
      <c r="K33" s="362">
        <v>57</v>
      </c>
      <c r="L33" s="362">
        <v>52</v>
      </c>
      <c r="M33" s="362">
        <v>69</v>
      </c>
      <c r="N33" s="17">
        <v>42</v>
      </c>
      <c r="O33" s="17">
        <v>48</v>
      </c>
      <c r="P33" s="17">
        <v>50</v>
      </c>
      <c r="Q33" s="17">
        <v>39</v>
      </c>
      <c r="R33" s="17">
        <v>60</v>
      </c>
      <c r="S33" s="17">
        <v>41</v>
      </c>
      <c r="T33" s="17">
        <v>39</v>
      </c>
      <c r="U33" s="17">
        <v>45</v>
      </c>
      <c r="V33" s="17">
        <v>46</v>
      </c>
      <c r="W33" s="17">
        <v>32</v>
      </c>
      <c r="X33" s="361">
        <v>26</v>
      </c>
    </row>
    <row r="34" spans="1:88" ht="13" customHeight="1">
      <c r="C34" s="19" t="str">
        <f>VLOOKUP(48,Textbausteine_401[],Hilfsgrössen!$D$2,FALSE)</f>
        <v>Partenze volontarie</v>
      </c>
      <c r="D34" s="66" t="str">
        <f>VLOOKUP(11,Textbausteine_401[],Hilfsgrössen!$D$2,FALSE)</f>
        <v>numero di collaboratori con salario mensile</v>
      </c>
      <c r="E34" s="11" t="s">
        <v>83</v>
      </c>
      <c r="F34" s="11" t="s">
        <v>145</v>
      </c>
      <c r="G34" s="49"/>
      <c r="H34" s="73">
        <v>1884</v>
      </c>
      <c r="I34" s="73">
        <v>1703</v>
      </c>
      <c r="J34" s="73">
        <v>1630</v>
      </c>
      <c r="K34" s="73">
        <v>2045</v>
      </c>
      <c r="L34" s="73">
        <v>2289</v>
      </c>
      <c r="M34" s="73">
        <v>1376</v>
      </c>
      <c r="N34" s="17">
        <v>1476</v>
      </c>
      <c r="O34" s="17">
        <v>1670</v>
      </c>
      <c r="P34" s="17">
        <v>1548</v>
      </c>
      <c r="Q34" s="17">
        <v>1567</v>
      </c>
      <c r="R34" s="17">
        <v>1628</v>
      </c>
      <c r="S34" s="17">
        <v>1502</v>
      </c>
      <c r="T34" s="17">
        <v>1609</v>
      </c>
      <c r="U34" s="17">
        <v>1856</v>
      </c>
      <c r="V34" s="17">
        <v>2060</v>
      </c>
      <c r="W34" s="17">
        <v>1887</v>
      </c>
      <c r="X34" s="361">
        <v>1507</v>
      </c>
    </row>
    <row r="35" spans="1:88" ht="13" customHeight="1">
      <c r="C35" s="217" t="str">
        <f>VLOOKUP(49,Textbausteine_401[],Hilfsgrössen!$D$2,FALSE)</f>
        <v>Donne</v>
      </c>
      <c r="D35" s="66" t="str">
        <f>VLOOKUP(11,Textbausteine_401[],Hilfsgrössen!$D$2,FALSE)</f>
        <v>numero di collaboratori con salario mensile</v>
      </c>
      <c r="E35" s="11" t="s">
        <v>83</v>
      </c>
      <c r="F35" s="11" t="s">
        <v>145</v>
      </c>
      <c r="G35" s="49"/>
      <c r="H35" s="73">
        <v>1130</v>
      </c>
      <c r="I35" s="73">
        <v>999</v>
      </c>
      <c r="J35" s="73">
        <v>944</v>
      </c>
      <c r="K35" s="73">
        <v>1166</v>
      </c>
      <c r="L35" s="73">
        <v>1296</v>
      </c>
      <c r="M35" s="73">
        <v>804</v>
      </c>
      <c r="N35" s="17">
        <v>774</v>
      </c>
      <c r="O35" s="17">
        <v>901</v>
      </c>
      <c r="P35" s="17">
        <v>798</v>
      </c>
      <c r="Q35" s="17">
        <v>804</v>
      </c>
      <c r="R35" s="17">
        <v>880</v>
      </c>
      <c r="S35" s="17">
        <v>815</v>
      </c>
      <c r="T35" s="17">
        <v>841</v>
      </c>
      <c r="U35" s="17">
        <v>992</v>
      </c>
      <c r="V35" s="17">
        <v>1016</v>
      </c>
      <c r="W35" s="17">
        <v>860</v>
      </c>
      <c r="X35" s="361">
        <v>661</v>
      </c>
    </row>
    <row r="36" spans="1:88" ht="13" customHeight="1">
      <c r="C36" s="218" t="str">
        <f>VLOOKUP(50,Textbausteine_401[],Hilfsgrössen!$D$2,FALSE)</f>
        <v>20-29</v>
      </c>
      <c r="D36" s="66" t="str">
        <f>VLOOKUP(11,Textbausteine_401[],Hilfsgrössen!$D$2,FALSE)</f>
        <v>numero di collaboratori con salario mensile</v>
      </c>
      <c r="E36" s="11" t="s">
        <v>83</v>
      </c>
      <c r="F36" s="13" t="s">
        <v>145</v>
      </c>
      <c r="G36" s="50"/>
      <c r="H36" s="73">
        <v>261</v>
      </c>
      <c r="I36" s="73">
        <v>199</v>
      </c>
      <c r="J36" s="73">
        <v>205</v>
      </c>
      <c r="K36" s="73">
        <v>262</v>
      </c>
      <c r="L36" s="73">
        <v>267</v>
      </c>
      <c r="M36" s="73">
        <v>174</v>
      </c>
      <c r="N36" s="17">
        <v>204</v>
      </c>
      <c r="O36" s="17">
        <v>275</v>
      </c>
      <c r="P36" s="17">
        <v>240</v>
      </c>
      <c r="Q36" s="17">
        <v>279</v>
      </c>
      <c r="R36" s="17">
        <v>311</v>
      </c>
      <c r="S36" s="17">
        <v>280</v>
      </c>
      <c r="T36" s="17">
        <v>297</v>
      </c>
      <c r="U36" s="17">
        <v>356</v>
      </c>
      <c r="V36" s="17">
        <v>313</v>
      </c>
      <c r="W36" s="17">
        <v>271</v>
      </c>
      <c r="X36" s="361">
        <v>197</v>
      </c>
    </row>
    <row r="37" spans="1:88" ht="13" customHeight="1">
      <c r="C37" s="218" t="str">
        <f>VLOOKUP(51,Textbausteine_401[],Hilfsgrössen!$D$2,FALSE)</f>
        <v>30-49</v>
      </c>
      <c r="D37" s="66" t="str">
        <f>VLOOKUP(11,Textbausteine_401[],Hilfsgrössen!$D$2,FALSE)</f>
        <v>numero di collaboratori con salario mensile</v>
      </c>
      <c r="E37" s="11" t="s">
        <v>83</v>
      </c>
      <c r="F37" s="13" t="s">
        <v>145</v>
      </c>
      <c r="G37" s="50"/>
      <c r="H37" s="73">
        <v>689</v>
      </c>
      <c r="I37" s="73">
        <v>613</v>
      </c>
      <c r="J37" s="73">
        <v>577</v>
      </c>
      <c r="K37" s="73">
        <v>698</v>
      </c>
      <c r="L37" s="73">
        <v>774</v>
      </c>
      <c r="M37" s="73">
        <v>475</v>
      </c>
      <c r="N37" s="17">
        <v>419</v>
      </c>
      <c r="O37" s="17">
        <v>488</v>
      </c>
      <c r="P37" s="17">
        <v>426</v>
      </c>
      <c r="Q37" s="17">
        <v>395</v>
      </c>
      <c r="R37" s="17">
        <v>442</v>
      </c>
      <c r="S37" s="17">
        <v>403</v>
      </c>
      <c r="T37" s="17">
        <v>417</v>
      </c>
      <c r="U37" s="17">
        <v>487</v>
      </c>
      <c r="V37" s="17">
        <v>531</v>
      </c>
      <c r="W37" s="17">
        <v>433</v>
      </c>
      <c r="X37" s="361">
        <v>342</v>
      </c>
    </row>
    <row r="38" spans="1:88" ht="13" customHeight="1">
      <c r="C38" s="218" t="str">
        <f>VLOOKUP(52,Textbausteine_401[],Hilfsgrössen!$D$2,FALSE)</f>
        <v>Dai 50 anni in su</v>
      </c>
      <c r="D38" s="66" t="str">
        <f>VLOOKUP(11,Textbausteine_401[],Hilfsgrössen!$D$2,FALSE)</f>
        <v>numero di collaboratori con salario mensile</v>
      </c>
      <c r="E38" s="11" t="s">
        <v>83</v>
      </c>
      <c r="F38" s="11" t="s">
        <v>145</v>
      </c>
      <c r="G38" s="49"/>
      <c r="H38" s="73">
        <v>180</v>
      </c>
      <c r="I38" s="73">
        <v>187</v>
      </c>
      <c r="J38" s="73">
        <v>162</v>
      </c>
      <c r="K38" s="73">
        <v>206</v>
      </c>
      <c r="L38" s="73">
        <v>255</v>
      </c>
      <c r="M38" s="73">
        <v>155</v>
      </c>
      <c r="N38" s="17">
        <v>151</v>
      </c>
      <c r="O38" s="17">
        <v>138</v>
      </c>
      <c r="P38" s="17">
        <v>132</v>
      </c>
      <c r="Q38" s="17">
        <v>130</v>
      </c>
      <c r="R38" s="17">
        <v>127</v>
      </c>
      <c r="S38" s="17">
        <v>132</v>
      </c>
      <c r="T38" s="17">
        <v>127</v>
      </c>
      <c r="U38" s="17">
        <v>149</v>
      </c>
      <c r="V38" s="17">
        <v>172</v>
      </c>
      <c r="W38" s="17">
        <v>156</v>
      </c>
      <c r="X38" s="361">
        <v>122</v>
      </c>
    </row>
    <row r="39" spans="1:88" ht="13" customHeight="1">
      <c r="C39" s="217" t="str">
        <f>VLOOKUP(53,Textbausteine_401[],Hilfsgrössen!$D$2,FALSE)</f>
        <v>Uomini</v>
      </c>
      <c r="D39" s="66" t="str">
        <f>VLOOKUP(11,Textbausteine_401[],Hilfsgrössen!$D$2,FALSE)</f>
        <v>numero di collaboratori con salario mensile</v>
      </c>
      <c r="E39" s="11" t="s">
        <v>83</v>
      </c>
      <c r="F39" s="11" t="s">
        <v>145</v>
      </c>
      <c r="G39" s="49"/>
      <c r="H39" s="73">
        <v>754</v>
      </c>
      <c r="I39" s="73">
        <v>704</v>
      </c>
      <c r="J39" s="73">
        <v>686</v>
      </c>
      <c r="K39" s="73">
        <v>879</v>
      </c>
      <c r="L39" s="73">
        <v>993</v>
      </c>
      <c r="M39" s="73">
        <v>572</v>
      </c>
      <c r="N39" s="17">
        <v>702</v>
      </c>
      <c r="O39" s="17">
        <v>769</v>
      </c>
      <c r="P39" s="17">
        <v>750</v>
      </c>
      <c r="Q39" s="17">
        <v>763</v>
      </c>
      <c r="R39" s="17">
        <v>748</v>
      </c>
      <c r="S39" s="17">
        <v>687</v>
      </c>
      <c r="T39" s="17">
        <v>768</v>
      </c>
      <c r="U39" s="17">
        <v>864</v>
      </c>
      <c r="V39" s="17">
        <v>1044</v>
      </c>
      <c r="W39" s="17">
        <v>1027</v>
      </c>
      <c r="X39" s="361">
        <v>846</v>
      </c>
    </row>
    <row r="40" spans="1:88" ht="13" customHeight="1">
      <c r="C40" s="218" t="str">
        <f>VLOOKUP(54,Textbausteine_401[],Hilfsgrössen!$D$2,FALSE)</f>
        <v>20-29</v>
      </c>
      <c r="D40" s="66" t="str">
        <f>VLOOKUP(11,Textbausteine_401[],Hilfsgrössen!$D$2,FALSE)</f>
        <v>numero di collaboratori con salario mensile</v>
      </c>
      <c r="E40" s="11" t="s">
        <v>83</v>
      </c>
      <c r="F40" s="13" t="s">
        <v>145</v>
      </c>
      <c r="G40" s="50"/>
      <c r="H40" s="73">
        <v>246</v>
      </c>
      <c r="I40" s="73">
        <v>178</v>
      </c>
      <c r="J40" s="73">
        <v>177</v>
      </c>
      <c r="K40" s="73">
        <v>241</v>
      </c>
      <c r="L40" s="73">
        <v>257</v>
      </c>
      <c r="M40" s="73">
        <v>170</v>
      </c>
      <c r="N40" s="17">
        <v>199</v>
      </c>
      <c r="O40" s="17">
        <v>254</v>
      </c>
      <c r="P40" s="17">
        <v>230</v>
      </c>
      <c r="Q40" s="17">
        <v>270</v>
      </c>
      <c r="R40" s="17">
        <v>291</v>
      </c>
      <c r="S40" s="17">
        <v>232</v>
      </c>
      <c r="T40" s="17">
        <v>287</v>
      </c>
      <c r="U40" s="17">
        <v>282</v>
      </c>
      <c r="V40" s="17">
        <v>338</v>
      </c>
      <c r="W40" s="17">
        <v>355</v>
      </c>
      <c r="X40" s="361">
        <v>306</v>
      </c>
    </row>
    <row r="41" spans="1:88" ht="13" customHeight="1">
      <c r="C41" s="218" t="str">
        <f>VLOOKUP(55,Textbausteine_401[],Hilfsgrössen!$D$2,FALSE)</f>
        <v>30-49</v>
      </c>
      <c r="D41" s="66" t="str">
        <f>VLOOKUP(11,Textbausteine_401[],Hilfsgrössen!$D$2,FALSE)</f>
        <v>numero di collaboratori con salario mensile</v>
      </c>
      <c r="E41" s="11" t="s">
        <v>83</v>
      </c>
      <c r="F41" s="13" t="s">
        <v>145</v>
      </c>
      <c r="G41" s="50"/>
      <c r="H41" s="73">
        <v>441</v>
      </c>
      <c r="I41" s="73">
        <v>454</v>
      </c>
      <c r="J41" s="73">
        <v>437</v>
      </c>
      <c r="K41" s="73">
        <v>561</v>
      </c>
      <c r="L41" s="73">
        <v>643</v>
      </c>
      <c r="M41" s="73">
        <v>331</v>
      </c>
      <c r="N41" s="17">
        <v>419</v>
      </c>
      <c r="O41" s="17">
        <v>451</v>
      </c>
      <c r="P41" s="17">
        <v>440</v>
      </c>
      <c r="Q41" s="17">
        <v>426</v>
      </c>
      <c r="R41" s="17">
        <v>381</v>
      </c>
      <c r="S41" s="17">
        <v>377</v>
      </c>
      <c r="T41" s="17">
        <v>389</v>
      </c>
      <c r="U41" s="17">
        <v>463</v>
      </c>
      <c r="V41" s="17">
        <v>588</v>
      </c>
      <c r="W41" s="17">
        <v>537</v>
      </c>
      <c r="X41" s="361">
        <v>418</v>
      </c>
    </row>
    <row r="42" spans="1:88" ht="13" customHeight="1">
      <c r="C42" s="218" t="str">
        <f>VLOOKUP(56,Textbausteine_401[],Hilfsgrössen!$D$2,FALSE)</f>
        <v>Dai 50 anni in su</v>
      </c>
      <c r="D42" s="66" t="str">
        <f>VLOOKUP(11,Textbausteine_401[],Hilfsgrössen!$D$2,FALSE)</f>
        <v>numero di collaboratori con salario mensile</v>
      </c>
      <c r="E42" s="11" t="s">
        <v>83</v>
      </c>
      <c r="F42" s="11" t="s">
        <v>145</v>
      </c>
      <c r="G42" s="49"/>
      <c r="H42" s="73">
        <v>67</v>
      </c>
      <c r="I42" s="73">
        <v>72</v>
      </c>
      <c r="J42" s="73">
        <v>72</v>
      </c>
      <c r="K42" s="73">
        <v>77</v>
      </c>
      <c r="L42" s="73">
        <v>93</v>
      </c>
      <c r="M42" s="73">
        <v>71</v>
      </c>
      <c r="N42" s="17">
        <v>84</v>
      </c>
      <c r="O42" s="17">
        <v>64</v>
      </c>
      <c r="P42" s="17">
        <v>80</v>
      </c>
      <c r="Q42" s="17">
        <v>67</v>
      </c>
      <c r="R42" s="17">
        <v>76</v>
      </c>
      <c r="S42" s="17">
        <v>78</v>
      </c>
      <c r="T42" s="17">
        <v>92</v>
      </c>
      <c r="U42" s="17">
        <v>119</v>
      </c>
      <c r="V42" s="17">
        <v>118</v>
      </c>
      <c r="W42" s="17">
        <v>135</v>
      </c>
      <c r="X42" s="361">
        <v>122</v>
      </c>
    </row>
    <row r="43" spans="1:88" ht="13" customHeight="1">
      <c r="C43" s="218"/>
      <c r="D43" s="66"/>
      <c r="E43" s="13"/>
      <c r="F43" s="11"/>
      <c r="G43" s="49"/>
      <c r="H43" s="159"/>
      <c r="I43" s="159"/>
      <c r="J43" s="159"/>
      <c r="K43" s="159"/>
      <c r="L43" s="159"/>
      <c r="M43" s="159"/>
      <c r="T43" s="106"/>
      <c r="U43" s="106"/>
      <c r="V43" s="106"/>
      <c r="W43" s="106"/>
      <c r="X43" s="245"/>
    </row>
    <row r="44" spans="1:88" ht="13" customHeight="1">
      <c r="C44" s="9" t="str">
        <f>VLOOKUP(57,Textbausteine_401[],Hilfsgrössen!$D$2,FALSE)</f>
        <v>Tasso complessivo di partenze</v>
      </c>
      <c r="D44" s="169" t="str">
        <f>VLOOKUP(12,Textbausteine_401[],Hilfsgrössen!$D$2,FALSE)</f>
        <v>% dell'organico medio con salario mensile</v>
      </c>
      <c r="E44" s="13" t="s">
        <v>84</v>
      </c>
      <c r="F44" s="11" t="s">
        <v>145</v>
      </c>
      <c r="G44" s="49"/>
      <c r="H44" s="388">
        <v>9.4388011238612908</v>
      </c>
      <c r="I44" s="388">
        <v>7.774066850134929</v>
      </c>
      <c r="J44" s="388">
        <v>8.703731587200739</v>
      </c>
      <c r="K44" s="388">
        <v>9.7153999950633132</v>
      </c>
      <c r="L44" s="388">
        <v>11.441971492620675</v>
      </c>
      <c r="M44" s="388">
        <v>8.4414649614616888</v>
      </c>
      <c r="N44" s="364">
        <v>8.8000000000000007</v>
      </c>
      <c r="O44" s="364">
        <v>9.4</v>
      </c>
      <c r="P44" s="364">
        <v>9.5</v>
      </c>
      <c r="Q44" s="364">
        <v>9.85</v>
      </c>
      <c r="R44" s="364">
        <v>9.26</v>
      </c>
      <c r="S44" s="364">
        <v>9.15</v>
      </c>
      <c r="T44" s="364">
        <v>8.68</v>
      </c>
      <c r="U44" s="364">
        <v>11.72</v>
      </c>
      <c r="V44" s="364">
        <v>12.31</v>
      </c>
      <c r="W44" s="364">
        <v>12.6</v>
      </c>
      <c r="X44" s="427">
        <v>11.8539033151444</v>
      </c>
    </row>
    <row r="45" spans="1:88" ht="13" customHeight="1">
      <c r="C45" s="18" t="str">
        <f>VLOOKUP(58,Textbausteine_401[],Hilfsgrössen!$D$2,FALSE)</f>
        <v>Tasso di fluttuazione (partenze volontarie)</v>
      </c>
      <c r="D45" s="169" t="str">
        <f>VLOOKUP(12,Textbausteine_401[],Hilfsgrössen!$D$2,FALSE)</f>
        <v>% dell'organico medio con salario mensile</v>
      </c>
      <c r="E45" s="13" t="s">
        <v>83</v>
      </c>
      <c r="F45" s="11" t="s">
        <v>145</v>
      </c>
      <c r="G45" s="49"/>
      <c r="H45" s="385">
        <v>3.8</v>
      </c>
      <c r="I45" s="385">
        <v>3.6</v>
      </c>
      <c r="J45" s="385">
        <v>3.6</v>
      </c>
      <c r="K45" s="428">
        <v>4.7</v>
      </c>
      <c r="L45" s="385">
        <v>5.3</v>
      </c>
      <c r="M45" s="385">
        <v>3.1</v>
      </c>
      <c r="N45" s="364">
        <v>3.5</v>
      </c>
      <c r="O45" s="364">
        <v>3.9</v>
      </c>
      <c r="P45" s="364">
        <v>3.7</v>
      </c>
      <c r="Q45" s="364">
        <v>3.58</v>
      </c>
      <c r="R45" s="364">
        <v>4.05</v>
      </c>
      <c r="S45" s="364">
        <v>3.78</v>
      </c>
      <c r="T45" s="364">
        <v>3.99</v>
      </c>
      <c r="U45" s="364">
        <v>4.75</v>
      </c>
      <c r="V45" s="364">
        <v>5.48</v>
      </c>
      <c r="W45" s="364">
        <v>5.0999999999999996</v>
      </c>
      <c r="X45" s="427">
        <v>4.1322767281801003</v>
      </c>
    </row>
    <row r="46" spans="1:88" ht="13" customHeight="1">
      <c r="C46" s="18"/>
      <c r="D46" s="169"/>
      <c r="E46" s="13"/>
      <c r="F46" s="11"/>
      <c r="G46" s="49"/>
      <c r="H46" s="159"/>
      <c r="I46" s="159"/>
      <c r="J46" s="159"/>
      <c r="K46" s="159"/>
      <c r="L46" s="159"/>
      <c r="M46" s="159"/>
      <c r="T46" s="106"/>
      <c r="U46" s="106"/>
      <c r="V46" s="106"/>
      <c r="W46" s="106"/>
      <c r="X46" s="106"/>
    </row>
    <row r="47" spans="1:88" ht="13" customHeight="1">
      <c r="A47" s="65"/>
      <c r="B47" s="21" t="str">
        <f>VLOOKUP(131,Textbausteine_401[],Hilfsgrössen!$D$2,FALSE)</f>
        <v>1) Escluso il personale in formazione</v>
      </c>
      <c r="E47" s="41"/>
      <c r="F47" s="41"/>
      <c r="G47" s="50"/>
      <c r="H47" s="159"/>
      <c r="I47" s="159"/>
      <c r="J47" s="159"/>
      <c r="K47" s="159"/>
      <c r="L47" s="159"/>
      <c r="M47" s="159"/>
      <c r="N47" s="102"/>
      <c r="O47" s="102"/>
      <c r="P47" s="102"/>
      <c r="Q47" s="102"/>
      <c r="R47" s="102"/>
      <c r="S47" s="102"/>
      <c r="T47" s="102"/>
      <c r="U47" s="102"/>
      <c r="V47" s="102"/>
      <c r="W47" s="102"/>
      <c r="X47" s="102"/>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row>
    <row r="48" spans="1:88" ht="13" customHeight="1">
      <c r="A48" s="65"/>
      <c r="B48" s="21" t="str">
        <f>VLOOKUP(132,Textbausteine_401[],Hilfsgrössen!$D$2,FALSE)</f>
        <v>2) Tasso complessivo di partenze: complesso delle persone con salario mensile che nel corso di un anno civile hanno lasciato la Posta, espresso in % dell'organico medio</v>
      </c>
      <c r="E48" s="41"/>
      <c r="F48" s="41"/>
      <c r="G48" s="49"/>
      <c r="H48" s="159"/>
      <c r="I48" s="159"/>
      <c r="J48" s="159"/>
      <c r="K48" s="159"/>
      <c r="L48" s="159"/>
      <c r="M48" s="159"/>
      <c r="T48" s="106"/>
      <c r="U48" s="106"/>
      <c r="V48" s="106"/>
      <c r="W48" s="106"/>
      <c r="X48" s="106"/>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row>
    <row r="49" spans="1:88" ht="13" customHeight="1">
      <c r="A49" s="65"/>
      <c r="B49" s="21" t="str">
        <f>VLOOKUP(133,Textbausteine_401[],Hilfsgrössen!$D$2,FALSE)</f>
        <v>3)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v>
      </c>
      <c r="E49" s="41"/>
      <c r="F49" s="41"/>
      <c r="G49" s="49"/>
      <c r="H49" s="159"/>
      <c r="I49" s="159"/>
      <c r="J49" s="159"/>
      <c r="K49" s="159"/>
      <c r="L49" s="159"/>
      <c r="M49" s="159"/>
      <c r="T49" s="106"/>
      <c r="U49" s="106"/>
      <c r="V49" s="106"/>
      <c r="W49" s="106"/>
      <c r="X49" s="106"/>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row>
    <row r="50" spans="1:88" ht="13" customHeight="1">
      <c r="A50" s="65"/>
      <c r="B50" s="21" t="str">
        <f>VLOOKUP(134,Textbausteine_401[],Hilfsgrössen!$D$2,FALSE)</f>
        <v>4) Adeguamento del valore 2018 a seguito di mutazioni successive</v>
      </c>
      <c r="E50" s="41"/>
      <c r="F50" s="41"/>
      <c r="G50" s="49"/>
      <c r="H50" s="159"/>
      <c r="I50" s="159"/>
      <c r="J50" s="159"/>
      <c r="K50" s="159"/>
      <c r="L50" s="159"/>
      <c r="M50" s="159"/>
      <c r="T50" s="106"/>
      <c r="U50" s="106"/>
      <c r="V50" s="106"/>
      <c r="W50" s="106"/>
      <c r="X50" s="106"/>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row>
    <row r="51" spans="1:88" ht="13" customHeight="1">
      <c r="C51" s="18"/>
      <c r="D51" s="169"/>
      <c r="E51" s="13"/>
      <c r="F51" s="11"/>
      <c r="G51" s="49"/>
      <c r="H51" s="159"/>
      <c r="I51" s="159"/>
      <c r="J51" s="159"/>
      <c r="K51" s="159"/>
      <c r="L51" s="159"/>
      <c r="M51" s="159"/>
      <c r="T51" s="106"/>
      <c r="U51" s="106"/>
      <c r="V51" s="106"/>
      <c r="W51" s="106"/>
      <c r="X51" s="106"/>
    </row>
    <row r="52" spans="1:88" ht="13" customHeight="1">
      <c r="C52" s="18"/>
      <c r="D52" s="169"/>
      <c r="E52" s="13"/>
      <c r="F52" s="11"/>
      <c r="G52" s="49"/>
      <c r="T52" s="106"/>
      <c r="U52" s="106"/>
      <c r="V52" s="106"/>
      <c r="W52" s="106"/>
      <c r="X52" s="106"/>
    </row>
    <row r="53" spans="1:88" s="31" customFormat="1" ht="13" customHeight="1">
      <c r="A53" s="56" t="s">
        <v>27</v>
      </c>
      <c r="B53" s="488" t="str">
        <f>$C$8</f>
        <v>Congedo parentale</v>
      </c>
      <c r="C53" s="488"/>
      <c r="D53" s="6" t="str">
        <f>VLOOKUP(32,Textbausteine_Menu[],Hilfsgrössen!$D$2,FALSE)</f>
        <v>Unità</v>
      </c>
      <c r="E53" s="40" t="str">
        <f>VLOOKUP(33,Textbausteine_Menu[],Hilfsgrössen!$D$2,FALSE)</f>
        <v>Note</v>
      </c>
      <c r="F53" s="40" t="str">
        <f>VLOOKUP(34,Textbausteine_Menu[],Hilfsgrössen!$D$2,FALSE)</f>
        <v>GRI</v>
      </c>
      <c r="G53" s="49"/>
      <c r="H53" s="157">
        <v>2004</v>
      </c>
      <c r="I53" s="157">
        <v>2005</v>
      </c>
      <c r="J53" s="157">
        <v>2006</v>
      </c>
      <c r="K53" s="157">
        <v>2007</v>
      </c>
      <c r="L53" s="157">
        <v>2008</v>
      </c>
      <c r="M53" s="157">
        <v>2009</v>
      </c>
      <c r="N53" s="102">
        <v>2010</v>
      </c>
      <c r="O53" s="102">
        <v>2011</v>
      </c>
      <c r="P53" s="102">
        <v>2012</v>
      </c>
      <c r="Q53" s="102">
        <v>2013</v>
      </c>
      <c r="R53" s="102">
        <v>2014</v>
      </c>
      <c r="S53" s="102">
        <v>2015</v>
      </c>
      <c r="T53" s="102">
        <v>2016</v>
      </c>
      <c r="U53" s="102">
        <v>2017</v>
      </c>
      <c r="V53" s="102">
        <v>2018</v>
      </c>
      <c r="W53" s="102">
        <v>2019</v>
      </c>
      <c r="X53" s="246">
        <v>2020</v>
      </c>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row>
    <row r="54" spans="1:88" s="31" customFormat="1" ht="13" customHeight="1">
      <c r="A54" s="89"/>
      <c r="B54" s="488"/>
      <c r="C54" s="488"/>
      <c r="D54" s="6"/>
      <c r="E54" s="11"/>
      <c r="F54" s="11"/>
      <c r="G54" s="49"/>
      <c r="H54" s="159"/>
      <c r="I54" s="159"/>
      <c r="J54" s="159"/>
      <c r="K54" s="159"/>
      <c r="L54" s="159"/>
      <c r="M54" s="159"/>
      <c r="N54" s="106"/>
      <c r="O54" s="106"/>
      <c r="P54" s="106"/>
      <c r="Q54" s="106"/>
      <c r="R54" s="106"/>
      <c r="S54" s="106"/>
      <c r="T54" s="106"/>
      <c r="U54" s="106"/>
      <c r="V54" s="106"/>
      <c r="W54" s="106"/>
      <c r="X54" s="245"/>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row>
    <row r="55" spans="1:88" ht="13" customHeight="1">
      <c r="B55" s="8"/>
      <c r="C55" s="9"/>
      <c r="D55" s="9"/>
      <c r="E55" s="11"/>
      <c r="F55" s="13"/>
      <c r="G55" s="49"/>
      <c r="H55" s="159"/>
      <c r="I55" s="159"/>
      <c r="J55" s="159"/>
      <c r="K55" s="159"/>
      <c r="L55" s="159"/>
      <c r="M55" s="159"/>
      <c r="T55" s="106"/>
      <c r="U55" s="106"/>
      <c r="V55" s="106"/>
      <c r="W55" s="106"/>
      <c r="X55" s="245"/>
    </row>
    <row r="56" spans="1:88" ht="13" customHeight="1">
      <c r="B56" s="8" t="str">
        <f>VLOOKUP(37,Textbausteine_Menu[],Hilfsgrössen!$D$2,FALSE)</f>
        <v>Gruppo Svizzera</v>
      </c>
      <c r="C56" s="8"/>
      <c r="D56" s="66"/>
      <c r="E56" s="11"/>
      <c r="F56" s="11"/>
      <c r="G56" s="49"/>
      <c r="H56" s="159"/>
      <c r="I56" s="159"/>
      <c r="J56" s="159"/>
      <c r="K56" s="159"/>
      <c r="L56" s="159"/>
      <c r="M56" s="159"/>
      <c r="T56" s="106"/>
      <c r="U56" s="106"/>
      <c r="V56" s="106"/>
      <c r="W56" s="106"/>
      <c r="X56" s="245"/>
    </row>
    <row r="57" spans="1:88" ht="13" customHeight="1">
      <c r="C57" s="307" t="str">
        <f>VLOOKUP(71,Textbausteine_401[],Hilfsgrössen!$D$2,FALSE)</f>
        <v>Beneficiari del congedo parentale</v>
      </c>
      <c r="D57" s="214" t="str">
        <f>VLOOKUP(11,Textbausteine_401[],Hilfsgrössen!$D$2,FALSE)</f>
        <v>numero di collaboratori con salario mensile</v>
      </c>
      <c r="E57" s="11">
        <v>1</v>
      </c>
      <c r="F57" s="11" t="s">
        <v>146</v>
      </c>
      <c r="G57" s="49"/>
      <c r="H57" s="159" t="s">
        <v>30</v>
      </c>
      <c r="I57" s="159" t="s">
        <v>30</v>
      </c>
      <c r="J57" s="159" t="s">
        <v>30</v>
      </c>
      <c r="K57" s="159" t="s">
        <v>30</v>
      </c>
      <c r="L57" s="159" t="s">
        <v>30</v>
      </c>
      <c r="M57" s="159" t="s">
        <v>30</v>
      </c>
      <c r="N57" s="106">
        <v>1644</v>
      </c>
      <c r="O57" s="106">
        <v>1658</v>
      </c>
      <c r="P57" s="106">
        <v>1643</v>
      </c>
      <c r="Q57" s="106">
        <v>1762</v>
      </c>
      <c r="R57" s="106">
        <v>1689</v>
      </c>
      <c r="S57" s="106">
        <v>1735</v>
      </c>
      <c r="T57" s="106">
        <v>1764</v>
      </c>
      <c r="U57" s="106">
        <v>1745</v>
      </c>
      <c r="V57" s="106">
        <v>1677</v>
      </c>
      <c r="W57" s="106">
        <v>1741</v>
      </c>
      <c r="X57" s="245">
        <v>1688</v>
      </c>
    </row>
    <row r="58" spans="1:88" ht="13" customHeight="1">
      <c r="E58" s="11"/>
      <c r="F58" s="11"/>
      <c r="G58" s="49"/>
      <c r="H58" s="159"/>
      <c r="I58" s="159"/>
      <c r="J58" s="159"/>
      <c r="K58" s="159"/>
      <c r="L58" s="159"/>
      <c r="M58" s="159"/>
      <c r="T58" s="106"/>
      <c r="U58" s="106"/>
      <c r="V58" s="106"/>
      <c r="W58" s="106"/>
      <c r="X58" s="106"/>
    </row>
    <row r="59" spans="1:88" ht="13" customHeight="1">
      <c r="B59" s="26" t="str">
        <f>VLOOKUP(141,Textbausteine_401[],Hilfsgrössen!$D$2,FALSE)</f>
        <v>1) Comprende le persone in congedo di maternità, congedo parentale, congedo per parto, congedo di maternità e adozione.</v>
      </c>
      <c r="E59" s="11"/>
      <c r="F59" s="11"/>
      <c r="G59" s="49"/>
      <c r="H59" s="159"/>
      <c r="I59" s="159"/>
      <c r="J59" s="159"/>
      <c r="K59" s="159"/>
      <c r="L59" s="159"/>
      <c r="M59" s="159"/>
      <c r="T59" s="106"/>
      <c r="U59" s="106"/>
      <c r="V59" s="106"/>
      <c r="W59" s="106"/>
      <c r="X59" s="106"/>
    </row>
    <row r="60" spans="1:88" ht="13" customHeight="1">
      <c r="B60" s="26" t="str">
        <f>VLOOKUP(142,Textbausteine_401[],Hilfsgrössen!$D$2,FALSE)</f>
        <v>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v>
      </c>
      <c r="E60" s="11"/>
      <c r="F60" s="11"/>
      <c r="G60" s="49"/>
      <c r="H60" s="159"/>
      <c r="I60" s="159"/>
      <c r="J60" s="159"/>
      <c r="K60" s="159"/>
      <c r="L60" s="159"/>
      <c r="M60" s="159"/>
      <c r="T60" s="106"/>
      <c r="U60" s="106"/>
      <c r="V60" s="106"/>
      <c r="W60" s="106"/>
      <c r="X60" s="106"/>
    </row>
    <row r="61" spans="1:88" ht="13" customHeight="1">
      <c r="E61" s="11"/>
      <c r="F61" s="11"/>
      <c r="G61" s="49"/>
      <c r="H61" s="159"/>
      <c r="I61" s="159"/>
      <c r="J61" s="159"/>
      <c r="K61" s="159"/>
      <c r="L61" s="159"/>
      <c r="M61" s="159"/>
      <c r="T61" s="106"/>
      <c r="U61" s="106"/>
      <c r="V61" s="106"/>
      <c r="W61" s="106"/>
      <c r="X61" s="106"/>
    </row>
    <row r="62" spans="1:88" ht="13" customHeight="1">
      <c r="E62" s="11"/>
      <c r="F62" s="11"/>
      <c r="G62" s="51"/>
      <c r="H62" s="159"/>
      <c r="I62" s="159"/>
      <c r="J62" s="159"/>
      <c r="K62" s="159"/>
      <c r="L62" s="159"/>
      <c r="M62" s="159"/>
      <c r="T62" s="106"/>
      <c r="U62" s="106"/>
      <c r="V62" s="106"/>
      <c r="W62" s="106"/>
      <c r="X62" s="106"/>
    </row>
    <row r="63" spans="1:88" s="31" customFormat="1" ht="13" customHeight="1">
      <c r="A63" s="56" t="s">
        <v>27</v>
      </c>
      <c r="B63" s="488" t="str">
        <f>$C$9</f>
        <v>Soddisfazione del personale, motivazione e impegno</v>
      </c>
      <c r="C63" s="488"/>
      <c r="D63" s="6" t="str">
        <f>VLOOKUP(32,Textbausteine_Menu[],Hilfsgrössen!$D$2,FALSE)</f>
        <v>Unità</v>
      </c>
      <c r="E63" s="40" t="str">
        <f>VLOOKUP(33,Textbausteine_Menu[],Hilfsgrössen!$D$2,FALSE)</f>
        <v>Note</v>
      </c>
      <c r="F63" s="40" t="str">
        <f>VLOOKUP(34,Textbausteine_Menu[],Hilfsgrössen!$D$2,FALSE)</f>
        <v>GRI</v>
      </c>
      <c r="G63" s="49"/>
      <c r="H63" s="102">
        <v>2004</v>
      </c>
      <c r="I63" s="102">
        <v>2005</v>
      </c>
      <c r="J63" s="102">
        <v>2006</v>
      </c>
      <c r="K63" s="102">
        <v>2007</v>
      </c>
      <c r="L63" s="102">
        <v>2008</v>
      </c>
      <c r="M63" s="102">
        <v>2009</v>
      </c>
      <c r="N63" s="102">
        <v>2010</v>
      </c>
      <c r="O63" s="102">
        <v>2011</v>
      </c>
      <c r="P63" s="102">
        <v>2012</v>
      </c>
      <c r="Q63" s="102">
        <v>2013</v>
      </c>
      <c r="R63" s="102">
        <v>2014</v>
      </c>
      <c r="S63" s="102">
        <v>2015</v>
      </c>
      <c r="T63" s="102">
        <v>2016</v>
      </c>
      <c r="U63" s="102">
        <v>2017</v>
      </c>
      <c r="V63" s="102">
        <v>2018</v>
      </c>
      <c r="W63" s="102">
        <v>2019</v>
      </c>
      <c r="X63" s="246">
        <v>2020</v>
      </c>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row>
    <row r="64" spans="1:88" s="31" customFormat="1" ht="13" customHeight="1">
      <c r="A64" s="89"/>
      <c r="B64" s="488"/>
      <c r="C64" s="488"/>
      <c r="D64" s="6"/>
      <c r="E64" s="11"/>
      <c r="F64" s="11"/>
      <c r="G64" s="49"/>
      <c r="H64" s="159"/>
      <c r="I64" s="159"/>
      <c r="J64" s="159"/>
      <c r="K64" s="159"/>
      <c r="L64" s="159"/>
      <c r="M64" s="159"/>
      <c r="N64" s="106"/>
      <c r="O64" s="106"/>
      <c r="P64" s="106"/>
      <c r="Q64" s="106"/>
      <c r="R64" s="106"/>
      <c r="S64" s="106"/>
      <c r="T64" s="106"/>
      <c r="U64" s="106"/>
      <c r="V64" s="106"/>
      <c r="W64" s="106"/>
      <c r="X64" s="245"/>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row>
    <row r="65" spans="1:24" ht="13" customHeight="1">
      <c r="B65" s="8"/>
      <c r="C65" s="9"/>
      <c r="D65" s="9"/>
      <c r="E65" s="11"/>
      <c r="F65" s="13"/>
      <c r="G65" s="49"/>
      <c r="H65" s="159"/>
      <c r="I65" s="159"/>
      <c r="J65" s="159"/>
      <c r="K65" s="159"/>
      <c r="L65" s="159"/>
      <c r="M65" s="159"/>
      <c r="T65" s="106"/>
      <c r="U65" s="106"/>
      <c r="V65" s="106"/>
      <c r="W65" s="106"/>
      <c r="X65" s="245"/>
    </row>
    <row r="66" spans="1:24" ht="13" customHeight="1">
      <c r="B66" s="8" t="str">
        <f>VLOOKUP(37,Textbausteine_Menu[],Hilfsgrössen!$D$2,FALSE)</f>
        <v>Gruppo Svizzera</v>
      </c>
      <c r="C66" s="8"/>
      <c r="D66" s="66"/>
      <c r="E66" s="11"/>
      <c r="F66" s="11"/>
      <c r="G66" s="49"/>
      <c r="H66" s="159"/>
      <c r="I66" s="159"/>
      <c r="J66" s="159"/>
      <c r="K66" s="159"/>
      <c r="L66" s="159"/>
      <c r="M66" s="159"/>
      <c r="T66" s="106"/>
      <c r="U66" s="106"/>
      <c r="V66" s="106"/>
      <c r="W66" s="106"/>
      <c r="X66" s="245"/>
    </row>
    <row r="67" spans="1:24" ht="13" customHeight="1">
      <c r="C67" s="220" t="str">
        <f>VLOOKUP(81,Textbausteine_401[],Hilfsgrössen!$D$2,FALSE)</f>
        <v>Percentuale netta di questionari restituiti</v>
      </c>
      <c r="D67" s="214" t="str">
        <f>VLOOKUP(13,Textbausteine_401[],Hilfsgrössen!$D$2,FALSE)</f>
        <v>%</v>
      </c>
      <c r="E67" s="11"/>
      <c r="F67" s="11">
        <v>401</v>
      </c>
      <c r="G67" s="49"/>
      <c r="H67" s="160">
        <v>63.8</v>
      </c>
      <c r="I67" s="160">
        <v>65.5</v>
      </c>
      <c r="J67" s="160">
        <v>66.7</v>
      </c>
      <c r="K67" s="160">
        <v>64</v>
      </c>
      <c r="L67" s="160">
        <v>68</v>
      </c>
      <c r="M67" s="20">
        <v>73.599999999999994</v>
      </c>
      <c r="N67" s="20">
        <v>74.900000000000006</v>
      </c>
      <c r="O67" s="20">
        <v>76.400000000000006</v>
      </c>
      <c r="P67" s="106">
        <v>75.2</v>
      </c>
      <c r="Q67" s="231">
        <v>77.2</v>
      </c>
      <c r="R67" s="232">
        <v>78.599999999999994</v>
      </c>
      <c r="S67" s="231">
        <v>78.099999999999994</v>
      </c>
      <c r="T67" s="106">
        <v>79.2</v>
      </c>
      <c r="U67" s="106">
        <v>79.099999999999994</v>
      </c>
      <c r="V67" s="106">
        <v>76.7</v>
      </c>
      <c r="W67" s="106">
        <v>77.400000000000006</v>
      </c>
      <c r="X67" s="245">
        <v>74</v>
      </c>
    </row>
    <row r="68" spans="1:24" ht="13" customHeight="1">
      <c r="C68" s="32" t="str">
        <f>VLOOKUP(82,Textbausteine_401[],Hilfsgrössen!$D$2,FALSE)</f>
        <v>Soddisfazione del personale</v>
      </c>
      <c r="D68" s="1" t="str">
        <f>VLOOKUP(14,Textbausteine_401[],Hilfsgrössen!$D$2,FALSE)</f>
        <v>Indice</v>
      </c>
      <c r="E68" s="11" t="s">
        <v>97</v>
      </c>
      <c r="F68" s="11">
        <v>401</v>
      </c>
      <c r="G68" s="49"/>
      <c r="H68" s="331">
        <v>65</v>
      </c>
      <c r="I68" s="331">
        <v>67</v>
      </c>
      <c r="J68" s="331">
        <v>67</v>
      </c>
      <c r="K68" s="331">
        <v>67</v>
      </c>
      <c r="L68" s="331">
        <v>66</v>
      </c>
      <c r="M68" s="354">
        <v>75</v>
      </c>
      <c r="N68" s="354">
        <v>74</v>
      </c>
      <c r="O68" s="354">
        <v>75</v>
      </c>
      <c r="P68" s="347">
        <v>75</v>
      </c>
      <c r="Q68" s="429">
        <v>75</v>
      </c>
      <c r="R68" s="430">
        <v>75</v>
      </c>
      <c r="S68" s="429">
        <v>75</v>
      </c>
      <c r="T68" s="347">
        <v>74</v>
      </c>
      <c r="U68" s="347">
        <v>73</v>
      </c>
      <c r="V68" s="347">
        <v>73</v>
      </c>
      <c r="W68" s="347">
        <v>74</v>
      </c>
      <c r="X68" s="431">
        <v>73</v>
      </c>
    </row>
    <row r="69" spans="1:24" ht="13" customHeight="1">
      <c r="C69" s="307" t="str">
        <f>VLOOKUP(83,Textbausteine_401[],Hilfsgrössen!$D$2,FALSE)</f>
        <v>Impegno</v>
      </c>
      <c r="D69" s="214" t="str">
        <f>VLOOKUP(14,Textbausteine_401[],Hilfsgrössen!$D$2,FALSE)</f>
        <v>Indice</v>
      </c>
      <c r="E69" s="473" t="s">
        <v>147</v>
      </c>
      <c r="F69" s="11">
        <v>401</v>
      </c>
      <c r="G69" s="49"/>
      <c r="H69" s="330" t="s">
        <v>30</v>
      </c>
      <c r="I69" s="330" t="s">
        <v>30</v>
      </c>
      <c r="J69" s="330">
        <v>70</v>
      </c>
      <c r="K69" s="330">
        <v>70</v>
      </c>
      <c r="L69" s="330">
        <v>70</v>
      </c>
      <c r="M69" s="330">
        <v>83</v>
      </c>
      <c r="N69" s="347">
        <v>83</v>
      </c>
      <c r="O69" s="347">
        <v>83</v>
      </c>
      <c r="P69" s="347">
        <v>83</v>
      </c>
      <c r="Q69" s="347">
        <v>82</v>
      </c>
      <c r="R69" s="347">
        <v>82</v>
      </c>
      <c r="S69" s="347">
        <v>82</v>
      </c>
      <c r="T69" s="347">
        <v>82</v>
      </c>
      <c r="U69" s="347">
        <v>81</v>
      </c>
      <c r="V69" s="347">
        <v>80</v>
      </c>
      <c r="W69" s="347">
        <v>81</v>
      </c>
      <c r="X69" s="431" t="s">
        <v>30</v>
      </c>
    </row>
    <row r="70" spans="1:24" ht="13" customHeight="1">
      <c r="C70" s="307" t="str">
        <f>VLOOKUP(84,Textbausteine_401[],Hilfsgrössen!$D$2,FALSE)</f>
        <v>Salute dell'unità</v>
      </c>
      <c r="D70" s="214" t="str">
        <f>VLOOKUP(14,Textbausteine_401[],Hilfsgrössen!$D$2,FALSE)</f>
        <v>Indice</v>
      </c>
      <c r="E70" s="473" t="s">
        <v>147</v>
      </c>
      <c r="F70" s="11">
        <v>401</v>
      </c>
      <c r="G70" s="49"/>
      <c r="H70" s="330" t="s">
        <v>30</v>
      </c>
      <c r="I70" s="330" t="s">
        <v>30</v>
      </c>
      <c r="J70" s="330">
        <v>65</v>
      </c>
      <c r="K70" s="330">
        <v>68</v>
      </c>
      <c r="L70" s="330">
        <v>69</v>
      </c>
      <c r="M70" s="330">
        <v>71</v>
      </c>
      <c r="N70" s="347">
        <v>71</v>
      </c>
      <c r="O70" s="347">
        <v>72</v>
      </c>
      <c r="P70" s="347">
        <v>72</v>
      </c>
      <c r="Q70" s="347">
        <v>72</v>
      </c>
      <c r="R70" s="347">
        <v>72</v>
      </c>
      <c r="S70" s="347">
        <v>73</v>
      </c>
      <c r="T70" s="347">
        <v>73</v>
      </c>
      <c r="U70" s="347">
        <v>72</v>
      </c>
      <c r="V70" s="347">
        <v>72</v>
      </c>
      <c r="W70" s="347">
        <v>72</v>
      </c>
      <c r="X70" s="431" t="s">
        <v>30</v>
      </c>
    </row>
    <row r="71" spans="1:24" ht="13" customHeight="1">
      <c r="C71" s="32" t="str">
        <f>VLOOKUP(85,Textbausteine_401[],Hilfsgrössen!$D$2,FALSE)</f>
        <v>Situazione lavorativa</v>
      </c>
      <c r="D71" s="214" t="str">
        <f>VLOOKUP(14,Textbausteine_401[],Hilfsgrössen!$D$2,FALSE)</f>
        <v>Indice</v>
      </c>
      <c r="E71" s="473" t="s">
        <v>147</v>
      </c>
      <c r="F71" s="11">
        <v>401</v>
      </c>
      <c r="G71" s="49"/>
      <c r="H71" s="330" t="s">
        <v>30</v>
      </c>
      <c r="I71" s="330" t="s">
        <v>30</v>
      </c>
      <c r="J71" s="330">
        <v>70</v>
      </c>
      <c r="K71" s="330">
        <v>70</v>
      </c>
      <c r="L71" s="330">
        <v>70</v>
      </c>
      <c r="M71" s="330">
        <v>75</v>
      </c>
      <c r="N71" s="347">
        <v>75</v>
      </c>
      <c r="O71" s="347">
        <v>75</v>
      </c>
      <c r="P71" s="347">
        <v>75</v>
      </c>
      <c r="Q71" s="347">
        <v>75</v>
      </c>
      <c r="R71" s="347">
        <v>75</v>
      </c>
      <c r="S71" s="347">
        <v>76</v>
      </c>
      <c r="T71" s="347">
        <v>76</v>
      </c>
      <c r="U71" s="347">
        <v>76</v>
      </c>
      <c r="V71" s="347">
        <v>76</v>
      </c>
      <c r="W71" s="347">
        <v>76</v>
      </c>
      <c r="X71" s="431" t="s">
        <v>30</v>
      </c>
    </row>
    <row r="72" spans="1:24" ht="13" customHeight="1">
      <c r="C72" s="220"/>
      <c r="D72" s="214"/>
      <c r="E72" s="11"/>
      <c r="F72" s="11"/>
      <c r="G72" s="49"/>
      <c r="H72" s="159"/>
      <c r="I72" s="159"/>
      <c r="J72" s="159"/>
      <c r="K72" s="159"/>
      <c r="L72" s="159"/>
      <c r="M72" s="159"/>
      <c r="T72" s="106"/>
      <c r="U72" s="106"/>
      <c r="V72" s="106"/>
      <c r="W72" s="106"/>
      <c r="X72" s="245"/>
    </row>
    <row r="73" spans="1:24" ht="13" customHeight="1">
      <c r="C73" s="8" t="str">
        <f>VLOOKUP(45,Textbausteine_Menu[],Hilfsgrössen!$D$2,FALSE)</f>
        <v>PostMail</v>
      </c>
      <c r="D73" s="214"/>
      <c r="E73" s="11"/>
      <c r="F73" s="11"/>
      <c r="G73" s="49"/>
      <c r="H73" s="159"/>
      <c r="I73" s="159"/>
      <c r="J73" s="159"/>
      <c r="K73" s="159"/>
      <c r="L73" s="159"/>
      <c r="M73" s="159"/>
      <c r="T73" s="106"/>
      <c r="U73" s="106"/>
      <c r="V73" s="106"/>
      <c r="W73" s="106"/>
      <c r="X73" s="245"/>
    </row>
    <row r="74" spans="1:24" ht="13" customHeight="1">
      <c r="A74" s="146"/>
      <c r="B74" s="9"/>
      <c r="C74" s="15" t="str">
        <f>VLOOKUP(82,Textbausteine_401[],Hilfsgrössen!$D$2,FALSE)</f>
        <v>Soddisfazione del personale</v>
      </c>
      <c r="D74" s="9" t="str">
        <f>VLOOKUP(14,Textbausteine_401[],Hilfsgrössen!$D$2,FALSE)</f>
        <v>Indice</v>
      </c>
      <c r="E74" s="11" t="s">
        <v>97</v>
      </c>
      <c r="F74" s="11">
        <v>401</v>
      </c>
      <c r="G74" s="49"/>
      <c r="H74" s="159">
        <v>62</v>
      </c>
      <c r="I74" s="159">
        <v>64</v>
      </c>
      <c r="J74" s="159">
        <v>64</v>
      </c>
      <c r="K74" s="159">
        <v>64</v>
      </c>
      <c r="L74" s="159">
        <v>66</v>
      </c>
      <c r="M74" s="159">
        <v>75</v>
      </c>
      <c r="N74" s="106">
        <v>74</v>
      </c>
      <c r="O74" s="106">
        <v>75</v>
      </c>
      <c r="P74" s="106">
        <v>76</v>
      </c>
      <c r="Q74" s="106">
        <v>77</v>
      </c>
      <c r="R74" s="106">
        <v>77</v>
      </c>
      <c r="S74" s="106">
        <v>77</v>
      </c>
      <c r="T74" s="106">
        <v>76</v>
      </c>
      <c r="U74" s="106">
        <v>75</v>
      </c>
      <c r="V74" s="106">
        <v>75</v>
      </c>
      <c r="W74" s="106">
        <v>75</v>
      </c>
      <c r="X74" s="245">
        <v>72</v>
      </c>
    </row>
    <row r="75" spans="1:24" ht="13" customHeight="1">
      <c r="A75" s="146"/>
      <c r="B75" s="9"/>
      <c r="C75" s="213" t="str">
        <f>VLOOKUP(83,Textbausteine_401[],Hilfsgrössen!$D$2,FALSE)</f>
        <v>Impegno</v>
      </c>
      <c r="D75" s="214" t="str">
        <f>VLOOKUP(14,Textbausteine_401[],Hilfsgrössen!$D$2,FALSE)</f>
        <v>Indice</v>
      </c>
      <c r="E75" s="473" t="s">
        <v>147</v>
      </c>
      <c r="F75" s="11">
        <v>401</v>
      </c>
      <c r="G75" s="49"/>
      <c r="H75" s="159" t="s">
        <v>30</v>
      </c>
      <c r="I75" s="159" t="s">
        <v>30</v>
      </c>
      <c r="J75" s="159">
        <v>68</v>
      </c>
      <c r="K75" s="159">
        <v>68</v>
      </c>
      <c r="L75" s="159">
        <v>69</v>
      </c>
      <c r="M75" s="159">
        <v>83</v>
      </c>
      <c r="N75" s="106">
        <v>83</v>
      </c>
      <c r="O75" s="106">
        <v>83</v>
      </c>
      <c r="P75" s="106">
        <v>84</v>
      </c>
      <c r="Q75" s="106">
        <v>84</v>
      </c>
      <c r="R75" s="106">
        <v>84</v>
      </c>
      <c r="S75" s="106">
        <v>84</v>
      </c>
      <c r="T75" s="106">
        <v>83</v>
      </c>
      <c r="U75" s="106">
        <v>82</v>
      </c>
      <c r="V75" s="106">
        <v>81</v>
      </c>
      <c r="W75" s="106">
        <v>82</v>
      </c>
      <c r="X75" s="431" t="s">
        <v>30</v>
      </c>
    </row>
    <row r="76" spans="1:24" ht="13" customHeight="1">
      <c r="A76" s="146"/>
      <c r="B76" s="9"/>
      <c r="C76" s="15" t="str">
        <f>VLOOKUP(84,Textbausteine_401[],Hilfsgrössen!$D$2,FALSE)</f>
        <v>Salute dell'unità</v>
      </c>
      <c r="D76" s="9" t="str">
        <f>VLOOKUP(14,Textbausteine_401[],Hilfsgrössen!$D$2,FALSE)</f>
        <v>Indice</v>
      </c>
      <c r="E76" s="473" t="s">
        <v>147</v>
      </c>
      <c r="F76" s="11">
        <v>401</v>
      </c>
      <c r="G76" s="49"/>
      <c r="H76" s="159" t="s">
        <v>30</v>
      </c>
      <c r="I76" s="159" t="s">
        <v>30</v>
      </c>
      <c r="J76" s="159" t="s">
        <v>30</v>
      </c>
      <c r="K76" s="159" t="s">
        <v>30</v>
      </c>
      <c r="L76" s="159" t="s">
        <v>30</v>
      </c>
      <c r="M76" s="159" t="s">
        <v>30</v>
      </c>
      <c r="N76" s="106" t="s">
        <v>30</v>
      </c>
      <c r="O76" s="159" t="s">
        <v>30</v>
      </c>
      <c r="P76" s="159" t="s">
        <v>30</v>
      </c>
      <c r="Q76" s="106" t="s">
        <v>30</v>
      </c>
      <c r="R76" s="159" t="s">
        <v>30</v>
      </c>
      <c r="S76" s="159" t="s">
        <v>30</v>
      </c>
      <c r="T76" s="106" t="s">
        <v>30</v>
      </c>
      <c r="U76" s="106">
        <v>73</v>
      </c>
      <c r="V76" s="106">
        <v>72</v>
      </c>
      <c r="W76" s="106">
        <v>73</v>
      </c>
      <c r="X76" s="431" t="s">
        <v>30</v>
      </c>
    </row>
    <row r="77" spans="1:24" ht="13" customHeight="1">
      <c r="A77" s="146"/>
      <c r="B77" s="26"/>
      <c r="C77" s="15" t="str">
        <f>VLOOKUP(85,Textbausteine_401[],Hilfsgrössen!$D$2,FALSE)</f>
        <v>Situazione lavorativa</v>
      </c>
      <c r="D77" s="9" t="str">
        <f>VLOOKUP(14,Textbausteine_401[],Hilfsgrössen!$D$2,FALSE)</f>
        <v>Indice</v>
      </c>
      <c r="E77" s="473" t="s">
        <v>147</v>
      </c>
      <c r="F77" s="11">
        <v>401</v>
      </c>
      <c r="G77" s="49"/>
      <c r="H77" s="159" t="s">
        <v>30</v>
      </c>
      <c r="I77" s="159" t="s">
        <v>30</v>
      </c>
      <c r="J77" s="159" t="s">
        <v>30</v>
      </c>
      <c r="K77" s="159" t="s">
        <v>30</v>
      </c>
      <c r="L77" s="159" t="s">
        <v>30</v>
      </c>
      <c r="M77" s="159" t="s">
        <v>30</v>
      </c>
      <c r="N77" s="159" t="s">
        <v>30</v>
      </c>
      <c r="O77" s="159" t="s">
        <v>30</v>
      </c>
      <c r="P77" s="159" t="s">
        <v>30</v>
      </c>
      <c r="Q77" s="159" t="s">
        <v>30</v>
      </c>
      <c r="R77" s="159" t="s">
        <v>30</v>
      </c>
      <c r="S77" s="159" t="s">
        <v>30</v>
      </c>
      <c r="T77" s="159" t="s">
        <v>30</v>
      </c>
      <c r="U77" s="159">
        <v>77</v>
      </c>
      <c r="V77" s="159">
        <v>77</v>
      </c>
      <c r="W77" s="159">
        <v>77</v>
      </c>
      <c r="X77" s="431" t="s">
        <v>30</v>
      </c>
    </row>
    <row r="78" spans="1:24" ht="13" customHeight="1">
      <c r="A78" s="146"/>
      <c r="B78" s="9"/>
      <c r="C78" s="15"/>
      <c r="D78" s="9"/>
      <c r="E78" s="13"/>
      <c r="F78" s="11"/>
      <c r="G78" s="51"/>
      <c r="H78" s="159"/>
      <c r="I78" s="159"/>
      <c r="J78" s="159"/>
      <c r="K78" s="159"/>
      <c r="L78" s="159"/>
      <c r="M78" s="159"/>
      <c r="T78" s="106"/>
      <c r="U78" s="106"/>
      <c r="V78" s="106"/>
      <c r="W78" s="106"/>
      <c r="X78" s="245"/>
    </row>
    <row r="79" spans="1:24" ht="13" customHeight="1">
      <c r="A79" s="146"/>
      <c r="B79" s="9"/>
      <c r="C79" s="8" t="str">
        <f>VLOOKUP(48,Textbausteine_Menu[],Hilfsgrössen!$D$2,FALSE)</f>
        <v>PostLogistics</v>
      </c>
      <c r="D79" s="214"/>
      <c r="E79" s="11"/>
      <c r="F79" s="11"/>
      <c r="G79" s="49"/>
      <c r="H79" s="159"/>
      <c r="I79" s="159"/>
      <c r="J79" s="159"/>
      <c r="K79" s="159"/>
      <c r="L79" s="159"/>
      <c r="M79" s="159"/>
      <c r="T79" s="106"/>
      <c r="U79" s="106"/>
      <c r="V79" s="106"/>
      <c r="W79" s="106"/>
      <c r="X79" s="245"/>
    </row>
    <row r="80" spans="1:24" ht="13" customHeight="1">
      <c r="A80" s="146"/>
      <c r="B80" s="9"/>
      <c r="C80" s="15" t="str">
        <f>VLOOKUP(82,Textbausteine_401[],Hilfsgrössen!$D$2,FALSE)</f>
        <v>Soddisfazione del personale</v>
      </c>
      <c r="D80" s="9" t="str">
        <f>VLOOKUP(14,Textbausteine_401[],Hilfsgrössen!$D$2,FALSE)</f>
        <v>Indice</v>
      </c>
      <c r="E80" s="11" t="s">
        <v>97</v>
      </c>
      <c r="F80" s="11">
        <v>401</v>
      </c>
      <c r="G80" s="49"/>
      <c r="H80" s="330">
        <v>61</v>
      </c>
      <c r="I80" s="330">
        <v>62</v>
      </c>
      <c r="J80" s="330">
        <v>62</v>
      </c>
      <c r="K80" s="330">
        <v>65</v>
      </c>
      <c r="L80" s="330">
        <v>65</v>
      </c>
      <c r="M80" s="330">
        <v>74</v>
      </c>
      <c r="N80" s="347">
        <v>71</v>
      </c>
      <c r="O80" s="347">
        <v>73</v>
      </c>
      <c r="P80" s="347">
        <v>73</v>
      </c>
      <c r="Q80" s="347">
        <v>73</v>
      </c>
      <c r="R80" s="347">
        <v>73</v>
      </c>
      <c r="S80" s="347">
        <v>73</v>
      </c>
      <c r="T80" s="347">
        <v>72</v>
      </c>
      <c r="U80" s="347">
        <v>71</v>
      </c>
      <c r="V80" s="347">
        <v>71</v>
      </c>
      <c r="W80" s="347">
        <v>70</v>
      </c>
      <c r="X80" s="431">
        <v>69</v>
      </c>
    </row>
    <row r="81" spans="1:24" ht="13" customHeight="1">
      <c r="A81" s="146"/>
      <c r="B81" s="9"/>
      <c r="C81" s="213" t="str">
        <f>VLOOKUP(83,Textbausteine_401[],Hilfsgrössen!$D$2,FALSE)</f>
        <v>Impegno</v>
      </c>
      <c r="D81" s="214" t="str">
        <f>VLOOKUP(14,Textbausteine_401[],Hilfsgrössen!$D$2,FALSE)</f>
        <v>Indice</v>
      </c>
      <c r="E81" s="473" t="s">
        <v>147</v>
      </c>
      <c r="F81" s="11">
        <v>401</v>
      </c>
      <c r="G81" s="49"/>
      <c r="H81" s="330" t="s">
        <v>30</v>
      </c>
      <c r="I81" s="330" t="s">
        <v>30</v>
      </c>
      <c r="J81" s="330">
        <v>65</v>
      </c>
      <c r="K81" s="330">
        <v>68</v>
      </c>
      <c r="L81" s="330">
        <v>69</v>
      </c>
      <c r="M81" s="330">
        <v>84</v>
      </c>
      <c r="N81" s="347">
        <v>81</v>
      </c>
      <c r="O81" s="347">
        <v>82</v>
      </c>
      <c r="P81" s="347">
        <v>83</v>
      </c>
      <c r="Q81" s="347">
        <v>82</v>
      </c>
      <c r="R81" s="347">
        <v>82</v>
      </c>
      <c r="S81" s="347">
        <v>82</v>
      </c>
      <c r="T81" s="347">
        <v>81</v>
      </c>
      <c r="U81" s="347">
        <v>80</v>
      </c>
      <c r="V81" s="347">
        <v>81</v>
      </c>
      <c r="W81" s="347">
        <v>80</v>
      </c>
      <c r="X81" s="431" t="s">
        <v>30</v>
      </c>
    </row>
    <row r="82" spans="1:24" ht="13" customHeight="1">
      <c r="A82" s="146"/>
      <c r="B82" s="9"/>
      <c r="C82" s="15" t="str">
        <f>VLOOKUP(84,Textbausteine_401[],Hilfsgrössen!$D$2,FALSE)</f>
        <v>Salute dell'unità</v>
      </c>
      <c r="D82" s="9" t="str">
        <f>VLOOKUP(14,Textbausteine_401[],Hilfsgrössen!$D$2,FALSE)</f>
        <v>Indice</v>
      </c>
      <c r="E82" s="473" t="s">
        <v>147</v>
      </c>
      <c r="F82" s="11">
        <v>401</v>
      </c>
      <c r="G82" s="49"/>
      <c r="H82" s="330" t="s">
        <v>30</v>
      </c>
      <c r="I82" s="330" t="s">
        <v>30</v>
      </c>
      <c r="J82" s="330" t="s">
        <v>30</v>
      </c>
      <c r="K82" s="330" t="s">
        <v>30</v>
      </c>
      <c r="L82" s="330" t="s">
        <v>30</v>
      </c>
      <c r="M82" s="330" t="s">
        <v>30</v>
      </c>
      <c r="N82" s="330" t="s">
        <v>30</v>
      </c>
      <c r="O82" s="330" t="s">
        <v>30</v>
      </c>
      <c r="P82" s="330" t="s">
        <v>30</v>
      </c>
      <c r="Q82" s="330" t="s">
        <v>30</v>
      </c>
      <c r="R82" s="330" t="s">
        <v>30</v>
      </c>
      <c r="S82" s="330" t="s">
        <v>30</v>
      </c>
      <c r="T82" s="330" t="s">
        <v>30</v>
      </c>
      <c r="U82" s="330">
        <v>70</v>
      </c>
      <c r="V82" s="330">
        <v>70</v>
      </c>
      <c r="W82" s="330">
        <v>70</v>
      </c>
      <c r="X82" s="431" t="s">
        <v>30</v>
      </c>
    </row>
    <row r="83" spans="1:24" ht="13" customHeight="1">
      <c r="A83" s="146"/>
      <c r="B83" s="26"/>
      <c r="C83" s="15" t="str">
        <f>VLOOKUP(85,Textbausteine_401[],Hilfsgrössen!$D$2,FALSE)</f>
        <v>Situazione lavorativa</v>
      </c>
      <c r="D83" s="9" t="str">
        <f>VLOOKUP(14,Textbausteine_401[],Hilfsgrössen!$D$2,FALSE)</f>
        <v>Indice</v>
      </c>
      <c r="E83" s="473" t="s">
        <v>147</v>
      </c>
      <c r="F83" s="11">
        <v>401</v>
      </c>
      <c r="G83" s="49"/>
      <c r="H83" s="330" t="s">
        <v>30</v>
      </c>
      <c r="I83" s="330" t="s">
        <v>30</v>
      </c>
      <c r="J83" s="330" t="s">
        <v>30</v>
      </c>
      <c r="K83" s="330" t="s">
        <v>30</v>
      </c>
      <c r="L83" s="330" t="s">
        <v>30</v>
      </c>
      <c r="M83" s="330" t="s">
        <v>30</v>
      </c>
      <c r="N83" s="330" t="s">
        <v>30</v>
      </c>
      <c r="O83" s="330" t="s">
        <v>30</v>
      </c>
      <c r="P83" s="330" t="s">
        <v>30</v>
      </c>
      <c r="Q83" s="330" t="s">
        <v>30</v>
      </c>
      <c r="R83" s="330" t="s">
        <v>30</v>
      </c>
      <c r="S83" s="330" t="s">
        <v>30</v>
      </c>
      <c r="T83" s="330" t="s">
        <v>30</v>
      </c>
      <c r="U83" s="330">
        <v>73</v>
      </c>
      <c r="V83" s="330">
        <v>73</v>
      </c>
      <c r="W83" s="330">
        <v>73</v>
      </c>
      <c r="X83" s="431" t="s">
        <v>30</v>
      </c>
    </row>
    <row r="84" spans="1:24" ht="13" customHeight="1">
      <c r="A84" s="146"/>
      <c r="B84" s="9"/>
      <c r="C84" s="15"/>
      <c r="D84" s="9"/>
      <c r="E84" s="11"/>
      <c r="F84" s="11"/>
      <c r="G84" s="49"/>
      <c r="H84" s="159"/>
      <c r="I84" s="159"/>
      <c r="J84" s="159"/>
      <c r="K84" s="159"/>
      <c r="L84" s="159"/>
      <c r="M84" s="159"/>
      <c r="T84" s="106"/>
      <c r="U84" s="106"/>
      <c r="V84" s="106"/>
      <c r="W84" s="106"/>
      <c r="X84" s="245"/>
    </row>
    <row r="85" spans="1:24" ht="13" customHeight="1">
      <c r="A85" s="146"/>
      <c r="B85" s="9"/>
      <c r="C85" s="8" t="str">
        <f>VLOOKUP(46,Textbausteine_Menu[],Hilfsgrössen!$D$2,FALSE)</f>
        <v>Swiss Post Solutions</v>
      </c>
      <c r="D85" s="214"/>
      <c r="E85" s="11"/>
      <c r="F85" s="11"/>
      <c r="G85" s="49"/>
      <c r="H85" s="159"/>
      <c r="I85" s="159"/>
      <c r="J85" s="159"/>
      <c r="K85" s="159"/>
      <c r="L85" s="159"/>
      <c r="M85" s="159"/>
      <c r="T85" s="106"/>
      <c r="U85" s="106"/>
      <c r="V85" s="106"/>
      <c r="W85" s="106"/>
      <c r="X85" s="245"/>
    </row>
    <row r="86" spans="1:24" ht="13" customHeight="1">
      <c r="A86" s="146"/>
      <c r="B86" s="9"/>
      <c r="C86" s="15" t="str">
        <f>VLOOKUP(82,Textbausteine_401[],Hilfsgrössen!$D$2,FALSE)</f>
        <v>Soddisfazione del personale</v>
      </c>
      <c r="D86" s="9" t="str">
        <f>VLOOKUP(14,Textbausteine_401[],Hilfsgrössen!$D$2,FALSE)</f>
        <v>Indice</v>
      </c>
      <c r="E86" s="11" t="s">
        <v>129</v>
      </c>
      <c r="F86" s="11">
        <v>401</v>
      </c>
      <c r="G86" s="49"/>
      <c r="H86" s="159" t="s">
        <v>30</v>
      </c>
      <c r="I86" s="159" t="s">
        <v>30</v>
      </c>
      <c r="J86" s="159" t="s">
        <v>30</v>
      </c>
      <c r="K86" s="159" t="s">
        <v>30</v>
      </c>
      <c r="L86" s="159">
        <v>62</v>
      </c>
      <c r="M86" s="159">
        <v>68</v>
      </c>
      <c r="N86" s="106">
        <v>67</v>
      </c>
      <c r="O86" s="106">
        <v>66</v>
      </c>
      <c r="P86" s="106">
        <v>67</v>
      </c>
      <c r="Q86" s="106">
        <v>66</v>
      </c>
      <c r="R86" s="106">
        <v>67</v>
      </c>
      <c r="S86" s="106">
        <v>67</v>
      </c>
      <c r="T86" s="106">
        <v>68</v>
      </c>
      <c r="U86" s="106">
        <v>69</v>
      </c>
      <c r="V86" s="106">
        <v>70</v>
      </c>
      <c r="W86" s="106">
        <v>70</v>
      </c>
      <c r="X86" s="245">
        <v>76</v>
      </c>
    </row>
    <row r="87" spans="1:24" ht="13" customHeight="1">
      <c r="A87" s="146"/>
      <c r="B87" s="9"/>
      <c r="C87" s="213" t="str">
        <f>VLOOKUP(83,Textbausteine_401[],Hilfsgrössen!$D$2,FALSE)</f>
        <v>Impegno</v>
      </c>
      <c r="D87" s="214" t="str">
        <f>VLOOKUP(14,Textbausteine_401[],Hilfsgrössen!$D$2,FALSE)</f>
        <v>Indice</v>
      </c>
      <c r="E87" s="11" t="s">
        <v>148</v>
      </c>
      <c r="F87" s="11">
        <v>401</v>
      </c>
      <c r="G87" s="49"/>
      <c r="H87" s="159" t="s">
        <v>30</v>
      </c>
      <c r="I87" s="159" t="s">
        <v>30</v>
      </c>
      <c r="J87" s="159" t="s">
        <v>30</v>
      </c>
      <c r="K87" s="159" t="s">
        <v>30</v>
      </c>
      <c r="L87" s="159">
        <v>63</v>
      </c>
      <c r="M87" s="159">
        <v>81</v>
      </c>
      <c r="N87" s="106">
        <v>80</v>
      </c>
      <c r="O87" s="106">
        <v>79</v>
      </c>
      <c r="P87" s="106">
        <v>79</v>
      </c>
      <c r="Q87" s="106">
        <v>77</v>
      </c>
      <c r="R87" s="106">
        <v>78</v>
      </c>
      <c r="S87" s="106">
        <v>77</v>
      </c>
      <c r="T87" s="106">
        <v>78</v>
      </c>
      <c r="U87" s="106">
        <v>79</v>
      </c>
      <c r="V87" s="106">
        <v>80</v>
      </c>
      <c r="W87" s="106">
        <v>80</v>
      </c>
      <c r="X87" s="431" t="s">
        <v>30</v>
      </c>
    </row>
    <row r="88" spans="1:24" ht="13" customHeight="1">
      <c r="A88" s="146"/>
      <c r="B88" s="9"/>
      <c r="C88" s="15" t="str">
        <f>VLOOKUP(84,Textbausteine_401[],Hilfsgrössen!$D$2,FALSE)</f>
        <v>Salute dell'unità</v>
      </c>
      <c r="D88" s="9" t="str">
        <f>VLOOKUP(14,Textbausteine_401[],Hilfsgrössen!$D$2,FALSE)</f>
        <v>Indice</v>
      </c>
      <c r="E88" s="11" t="s">
        <v>148</v>
      </c>
      <c r="F88" s="11">
        <v>401</v>
      </c>
      <c r="G88" s="49"/>
      <c r="H88" s="159" t="s">
        <v>30</v>
      </c>
      <c r="I88" s="159" t="s">
        <v>30</v>
      </c>
      <c r="J88" s="159" t="s">
        <v>30</v>
      </c>
      <c r="K88" s="159" t="s">
        <v>30</v>
      </c>
      <c r="L88" s="159" t="s">
        <v>30</v>
      </c>
      <c r="M88" s="159" t="s">
        <v>30</v>
      </c>
      <c r="N88" s="159" t="s">
        <v>30</v>
      </c>
      <c r="O88" s="159" t="s">
        <v>30</v>
      </c>
      <c r="P88" s="159" t="s">
        <v>30</v>
      </c>
      <c r="Q88" s="159" t="s">
        <v>30</v>
      </c>
      <c r="R88" s="159" t="s">
        <v>30</v>
      </c>
      <c r="S88" s="159" t="s">
        <v>30</v>
      </c>
      <c r="T88" s="159" t="s">
        <v>30</v>
      </c>
      <c r="U88" s="159">
        <v>74</v>
      </c>
      <c r="V88" s="159">
        <v>75</v>
      </c>
      <c r="W88" s="159">
        <v>75</v>
      </c>
      <c r="X88" s="431" t="s">
        <v>30</v>
      </c>
    </row>
    <row r="89" spans="1:24" ht="13" customHeight="1">
      <c r="A89" s="146"/>
      <c r="B89" s="26"/>
      <c r="C89" s="15" t="str">
        <f>VLOOKUP(85,Textbausteine_401[],Hilfsgrössen!$D$2,FALSE)</f>
        <v>Situazione lavorativa</v>
      </c>
      <c r="D89" s="9" t="str">
        <f>VLOOKUP(14,Textbausteine_401[],Hilfsgrössen!$D$2,FALSE)</f>
        <v>Indice</v>
      </c>
      <c r="E89" s="11" t="s">
        <v>148</v>
      </c>
      <c r="F89" s="11">
        <v>401</v>
      </c>
      <c r="G89" s="49"/>
      <c r="H89" s="159" t="s">
        <v>30</v>
      </c>
      <c r="I89" s="159" t="s">
        <v>30</v>
      </c>
      <c r="J89" s="159" t="s">
        <v>30</v>
      </c>
      <c r="K89" s="159" t="s">
        <v>30</v>
      </c>
      <c r="L89" s="159" t="s">
        <v>30</v>
      </c>
      <c r="M89" s="159" t="s">
        <v>30</v>
      </c>
      <c r="N89" s="159" t="s">
        <v>30</v>
      </c>
      <c r="O89" s="159" t="s">
        <v>30</v>
      </c>
      <c r="P89" s="159" t="s">
        <v>30</v>
      </c>
      <c r="Q89" s="159" t="s">
        <v>30</v>
      </c>
      <c r="R89" s="159" t="s">
        <v>30</v>
      </c>
      <c r="S89" s="159" t="s">
        <v>30</v>
      </c>
      <c r="T89" s="159" t="s">
        <v>30</v>
      </c>
      <c r="U89" s="159">
        <v>74</v>
      </c>
      <c r="V89" s="159">
        <v>75</v>
      </c>
      <c r="W89" s="159">
        <v>75</v>
      </c>
      <c r="X89" s="431" t="s">
        <v>30</v>
      </c>
    </row>
    <row r="90" spans="1:24" ht="13" customHeight="1">
      <c r="A90" s="146"/>
      <c r="B90" s="9"/>
      <c r="C90" s="15"/>
      <c r="D90" s="9"/>
      <c r="E90" s="11" t="s">
        <v>148</v>
      </c>
      <c r="F90" s="11"/>
      <c r="G90" s="51"/>
      <c r="H90" s="159"/>
      <c r="I90" s="159"/>
      <c r="J90" s="159"/>
      <c r="K90" s="159"/>
      <c r="L90" s="159"/>
      <c r="M90" s="159"/>
      <c r="T90" s="106"/>
      <c r="U90" s="106"/>
      <c r="V90" s="106"/>
      <c r="W90" s="106"/>
      <c r="X90" s="245"/>
    </row>
    <row r="91" spans="1:24" ht="13" customHeight="1">
      <c r="A91" s="146"/>
      <c r="B91" s="9"/>
      <c r="C91" s="8" t="str">
        <f>VLOOKUP(47,Textbausteine_Menu[],Hilfsgrössen!$D$2,FALSE)</f>
        <v>RetePostale</v>
      </c>
      <c r="D91" s="214"/>
      <c r="E91" s="11"/>
      <c r="F91" s="11"/>
      <c r="G91" s="49"/>
      <c r="H91" s="159"/>
      <c r="I91" s="159"/>
      <c r="J91" s="159"/>
      <c r="K91" s="159"/>
      <c r="L91" s="159"/>
      <c r="M91" s="159"/>
      <c r="T91" s="106"/>
      <c r="U91" s="106"/>
      <c r="V91" s="106"/>
      <c r="W91" s="106"/>
      <c r="X91" s="245"/>
    </row>
    <row r="92" spans="1:24" ht="13" customHeight="1">
      <c r="A92" s="146"/>
      <c r="B92" s="9"/>
      <c r="C92" s="15" t="str">
        <f>VLOOKUP(82,Textbausteine_401[],Hilfsgrössen!$D$2,FALSE)</f>
        <v>Soddisfazione del personale</v>
      </c>
      <c r="D92" s="9" t="str">
        <f>VLOOKUP(14,Textbausteine_401[],Hilfsgrössen!$D$2,FALSE)</f>
        <v>Indice</v>
      </c>
      <c r="E92" s="11" t="s">
        <v>97</v>
      </c>
      <c r="F92" s="11">
        <v>401</v>
      </c>
      <c r="G92" s="49"/>
      <c r="H92" s="159">
        <v>67</v>
      </c>
      <c r="I92" s="159">
        <v>69</v>
      </c>
      <c r="J92" s="159">
        <v>69</v>
      </c>
      <c r="K92" s="159">
        <v>69</v>
      </c>
      <c r="L92" s="159">
        <v>64</v>
      </c>
      <c r="M92" s="159">
        <v>75</v>
      </c>
      <c r="N92" s="106">
        <v>75</v>
      </c>
      <c r="O92" s="106">
        <v>76</v>
      </c>
      <c r="P92" s="106">
        <v>75</v>
      </c>
      <c r="Q92" s="106">
        <v>74</v>
      </c>
      <c r="R92" s="106">
        <v>73</v>
      </c>
      <c r="S92" s="106">
        <v>74</v>
      </c>
      <c r="T92" s="106">
        <v>72</v>
      </c>
      <c r="U92" s="106">
        <v>69</v>
      </c>
      <c r="V92" s="106">
        <v>71</v>
      </c>
      <c r="W92" s="106">
        <v>72</v>
      </c>
      <c r="X92" s="245">
        <v>68</v>
      </c>
    </row>
    <row r="93" spans="1:24" ht="13" customHeight="1">
      <c r="A93" s="146"/>
      <c r="B93" s="9"/>
      <c r="C93" s="213" t="str">
        <f>VLOOKUP(83,Textbausteine_401[],Hilfsgrössen!$D$2,FALSE)</f>
        <v>Impegno</v>
      </c>
      <c r="D93" s="214" t="str">
        <f>VLOOKUP(14,Textbausteine_401[],Hilfsgrössen!$D$2,FALSE)</f>
        <v>Indice</v>
      </c>
      <c r="E93" s="473" t="s">
        <v>147</v>
      </c>
      <c r="F93" s="11">
        <v>401</v>
      </c>
      <c r="G93" s="49"/>
      <c r="H93" s="159" t="s">
        <v>30</v>
      </c>
      <c r="I93" s="159" t="s">
        <v>30</v>
      </c>
      <c r="J93" s="159">
        <v>73</v>
      </c>
      <c r="K93" s="159">
        <v>72</v>
      </c>
      <c r="L93" s="159">
        <v>70</v>
      </c>
      <c r="M93" s="159">
        <v>80</v>
      </c>
      <c r="N93" s="106">
        <v>80</v>
      </c>
      <c r="O93" s="106">
        <v>81</v>
      </c>
      <c r="P93" s="106">
        <v>80</v>
      </c>
      <c r="Q93" s="106">
        <v>79</v>
      </c>
      <c r="R93" s="106">
        <v>78</v>
      </c>
      <c r="S93" s="106">
        <v>78</v>
      </c>
      <c r="T93" s="106">
        <v>77</v>
      </c>
      <c r="U93" s="106">
        <v>75</v>
      </c>
      <c r="V93" s="106">
        <v>76</v>
      </c>
      <c r="W93" s="106">
        <v>77</v>
      </c>
      <c r="X93" s="431" t="s">
        <v>30</v>
      </c>
    </row>
    <row r="94" spans="1:24" ht="13" customHeight="1">
      <c r="A94" s="146"/>
      <c r="B94" s="9"/>
      <c r="C94" s="15" t="str">
        <f>VLOOKUP(84,Textbausteine_401[],Hilfsgrössen!$D$2,FALSE)</f>
        <v>Salute dell'unità</v>
      </c>
      <c r="D94" s="9" t="str">
        <f>VLOOKUP(14,Textbausteine_401[],Hilfsgrössen!$D$2,FALSE)</f>
        <v>Indice</v>
      </c>
      <c r="E94" s="473" t="s">
        <v>147</v>
      </c>
      <c r="F94" s="11">
        <v>401</v>
      </c>
      <c r="G94" s="49"/>
      <c r="H94" s="159" t="s">
        <v>30</v>
      </c>
      <c r="I94" s="159" t="s">
        <v>30</v>
      </c>
      <c r="J94" s="159" t="s">
        <v>30</v>
      </c>
      <c r="K94" s="159" t="s">
        <v>30</v>
      </c>
      <c r="L94" s="159" t="s">
        <v>30</v>
      </c>
      <c r="M94" s="159" t="s">
        <v>30</v>
      </c>
      <c r="N94" s="159" t="s">
        <v>30</v>
      </c>
      <c r="O94" s="159" t="s">
        <v>30</v>
      </c>
      <c r="P94" s="159" t="s">
        <v>30</v>
      </c>
      <c r="Q94" s="159" t="s">
        <v>30</v>
      </c>
      <c r="R94" s="159" t="s">
        <v>30</v>
      </c>
      <c r="S94" s="159" t="s">
        <v>30</v>
      </c>
      <c r="T94" s="159" t="s">
        <v>30</v>
      </c>
      <c r="U94" s="159">
        <v>65</v>
      </c>
      <c r="V94" s="159">
        <v>68</v>
      </c>
      <c r="W94" s="159">
        <v>71</v>
      </c>
      <c r="X94" s="431" t="s">
        <v>30</v>
      </c>
    </row>
    <row r="95" spans="1:24" ht="13" customHeight="1">
      <c r="A95" s="146"/>
      <c r="B95" s="26"/>
      <c r="C95" s="15" t="str">
        <f>VLOOKUP(85,Textbausteine_401[],Hilfsgrössen!$D$2,FALSE)</f>
        <v>Situazione lavorativa</v>
      </c>
      <c r="D95" s="9" t="str">
        <f>VLOOKUP(14,Textbausteine_401[],Hilfsgrössen!$D$2,FALSE)</f>
        <v>Indice</v>
      </c>
      <c r="E95" s="473" t="s">
        <v>147</v>
      </c>
      <c r="F95" s="11">
        <v>401</v>
      </c>
      <c r="G95" s="49"/>
      <c r="H95" s="159" t="s">
        <v>30</v>
      </c>
      <c r="I95" s="159" t="s">
        <v>30</v>
      </c>
      <c r="J95" s="159" t="s">
        <v>30</v>
      </c>
      <c r="K95" s="159" t="s">
        <v>30</v>
      </c>
      <c r="L95" s="159" t="s">
        <v>30</v>
      </c>
      <c r="M95" s="159" t="s">
        <v>30</v>
      </c>
      <c r="N95" s="159" t="s">
        <v>30</v>
      </c>
      <c r="O95" s="159" t="s">
        <v>30</v>
      </c>
      <c r="P95" s="159" t="s">
        <v>30</v>
      </c>
      <c r="Q95" s="159" t="s">
        <v>30</v>
      </c>
      <c r="R95" s="159" t="s">
        <v>30</v>
      </c>
      <c r="S95" s="159" t="s">
        <v>30</v>
      </c>
      <c r="T95" s="159" t="s">
        <v>30</v>
      </c>
      <c r="U95" s="159">
        <v>75</v>
      </c>
      <c r="V95" s="159">
        <v>76</v>
      </c>
      <c r="W95" s="159">
        <v>77</v>
      </c>
      <c r="X95" s="431" t="s">
        <v>30</v>
      </c>
    </row>
    <row r="96" spans="1:24" ht="13" customHeight="1">
      <c r="A96" s="146"/>
      <c r="B96" s="9"/>
      <c r="C96" s="15"/>
      <c r="D96" s="9"/>
      <c r="E96" s="13"/>
      <c r="F96" s="11"/>
      <c r="G96" s="51"/>
      <c r="H96" s="159"/>
      <c r="I96" s="159"/>
      <c r="J96" s="159"/>
      <c r="K96" s="159"/>
      <c r="L96" s="159"/>
      <c r="M96" s="159"/>
      <c r="T96" s="106"/>
      <c r="U96" s="106"/>
      <c r="V96" s="106"/>
      <c r="W96" s="106"/>
      <c r="X96" s="245"/>
    </row>
    <row r="97" spans="1:88" ht="13" customHeight="1">
      <c r="A97" s="146"/>
      <c r="B97" s="9"/>
      <c r="C97" s="8" t="str">
        <f>VLOOKUP(49,Textbausteine_Menu[],Hilfsgrössen!$D$2,FALSE)</f>
        <v>PostFinance</v>
      </c>
      <c r="D97" s="214"/>
      <c r="E97" s="11"/>
      <c r="F97" s="11"/>
      <c r="G97" s="49"/>
      <c r="H97" s="159"/>
      <c r="I97" s="159"/>
      <c r="J97" s="159"/>
      <c r="K97" s="159"/>
      <c r="L97" s="159"/>
      <c r="M97" s="159"/>
      <c r="T97" s="106"/>
      <c r="U97" s="106"/>
      <c r="V97" s="106"/>
      <c r="W97" s="106"/>
      <c r="X97" s="245"/>
    </row>
    <row r="98" spans="1:88" ht="13" customHeight="1">
      <c r="A98" s="146"/>
      <c r="B98" s="9"/>
      <c r="C98" s="15" t="str">
        <f>VLOOKUP(82,Textbausteine_401[],Hilfsgrössen!$D$2,FALSE)</f>
        <v>Soddisfazione del personale</v>
      </c>
      <c r="D98" s="9" t="str">
        <f>VLOOKUP(14,Textbausteine_401[],Hilfsgrössen!$D$2,FALSE)</f>
        <v>Indice</v>
      </c>
      <c r="E98" s="11" t="s">
        <v>97</v>
      </c>
      <c r="F98" s="11">
        <v>401</v>
      </c>
      <c r="G98" s="49"/>
      <c r="H98" s="159">
        <v>68</v>
      </c>
      <c r="I98" s="159">
        <v>69</v>
      </c>
      <c r="J98" s="159">
        <v>70</v>
      </c>
      <c r="K98" s="159">
        <v>69</v>
      </c>
      <c r="L98" s="159">
        <v>70</v>
      </c>
      <c r="M98" s="159">
        <v>79</v>
      </c>
      <c r="N98" s="106">
        <v>80</v>
      </c>
      <c r="O98" s="106">
        <v>80</v>
      </c>
      <c r="P98" s="106">
        <v>79</v>
      </c>
      <c r="Q98" s="106">
        <v>78</v>
      </c>
      <c r="R98" s="106">
        <v>76</v>
      </c>
      <c r="S98" s="106">
        <v>78</v>
      </c>
      <c r="T98" s="106">
        <v>79</v>
      </c>
      <c r="U98" s="106">
        <v>78</v>
      </c>
      <c r="V98" s="106">
        <v>75</v>
      </c>
      <c r="W98" s="106">
        <v>77</v>
      </c>
      <c r="X98" s="245">
        <v>76</v>
      </c>
    </row>
    <row r="99" spans="1:88" ht="13" customHeight="1">
      <c r="A99" s="146"/>
      <c r="B99" s="9"/>
      <c r="C99" s="213" t="str">
        <f>VLOOKUP(83,Textbausteine_401[],Hilfsgrössen!$D$2,FALSE)</f>
        <v>Impegno</v>
      </c>
      <c r="D99" s="214" t="str">
        <f>VLOOKUP(14,Textbausteine_401[],Hilfsgrössen!$D$2,FALSE)</f>
        <v>Indice</v>
      </c>
      <c r="E99" s="473" t="s">
        <v>147</v>
      </c>
      <c r="F99" s="11">
        <v>401</v>
      </c>
      <c r="G99" s="49"/>
      <c r="H99" s="159" t="s">
        <v>30</v>
      </c>
      <c r="I99" s="159" t="s">
        <v>30</v>
      </c>
      <c r="J99" s="159">
        <v>73</v>
      </c>
      <c r="K99" s="159">
        <v>73</v>
      </c>
      <c r="L99" s="159">
        <v>76</v>
      </c>
      <c r="M99" s="159">
        <v>87</v>
      </c>
      <c r="N99" s="106">
        <v>88</v>
      </c>
      <c r="O99" s="106">
        <v>88</v>
      </c>
      <c r="P99" s="106">
        <v>87</v>
      </c>
      <c r="Q99" s="106">
        <v>86</v>
      </c>
      <c r="R99" s="106">
        <v>86</v>
      </c>
      <c r="S99" s="106">
        <v>87</v>
      </c>
      <c r="T99" s="106">
        <v>88</v>
      </c>
      <c r="U99" s="106">
        <v>86</v>
      </c>
      <c r="V99" s="106">
        <v>84</v>
      </c>
      <c r="W99" s="106">
        <v>84</v>
      </c>
      <c r="X99" s="431" t="s">
        <v>30</v>
      </c>
    </row>
    <row r="100" spans="1:88" ht="13" customHeight="1">
      <c r="A100" s="146"/>
      <c r="B100" s="9"/>
      <c r="C100" s="15" t="str">
        <f>VLOOKUP(84,Textbausteine_401[],Hilfsgrössen!$D$2,FALSE)</f>
        <v>Salute dell'unità</v>
      </c>
      <c r="D100" s="9" t="str">
        <f>VLOOKUP(14,Textbausteine_401[],Hilfsgrössen!$D$2,FALSE)</f>
        <v>Indice</v>
      </c>
      <c r="E100" s="473" t="s">
        <v>147</v>
      </c>
      <c r="F100" s="11">
        <v>401</v>
      </c>
      <c r="G100" s="49"/>
      <c r="H100" s="159" t="s">
        <v>30</v>
      </c>
      <c r="I100" s="159" t="s">
        <v>30</v>
      </c>
      <c r="J100" s="159" t="s">
        <v>30</v>
      </c>
      <c r="K100" s="159" t="s">
        <v>30</v>
      </c>
      <c r="L100" s="159" t="s">
        <v>30</v>
      </c>
      <c r="M100" s="159" t="s">
        <v>30</v>
      </c>
      <c r="N100" s="159" t="s">
        <v>30</v>
      </c>
      <c r="O100" s="159" t="s">
        <v>30</v>
      </c>
      <c r="P100" s="159" t="s">
        <v>30</v>
      </c>
      <c r="Q100" s="159" t="s">
        <v>30</v>
      </c>
      <c r="R100" s="159" t="s">
        <v>30</v>
      </c>
      <c r="S100" s="159" t="s">
        <v>30</v>
      </c>
      <c r="T100" s="159" t="s">
        <v>30</v>
      </c>
      <c r="U100" s="159">
        <v>74</v>
      </c>
      <c r="V100" s="159">
        <v>71</v>
      </c>
      <c r="W100" s="159">
        <v>72</v>
      </c>
      <c r="X100" s="431" t="s">
        <v>30</v>
      </c>
    </row>
    <row r="101" spans="1:88" ht="13" customHeight="1">
      <c r="A101" s="146"/>
      <c r="B101" s="26"/>
      <c r="C101" s="15" t="str">
        <f>VLOOKUP(85,Textbausteine_401[],Hilfsgrössen!$D$2,FALSE)</f>
        <v>Situazione lavorativa</v>
      </c>
      <c r="D101" s="9" t="str">
        <f>VLOOKUP(14,Textbausteine_401[],Hilfsgrössen!$D$2,FALSE)</f>
        <v>Indice</v>
      </c>
      <c r="E101" s="473" t="s">
        <v>147</v>
      </c>
      <c r="F101" s="11">
        <v>401</v>
      </c>
      <c r="G101" s="49"/>
      <c r="H101" s="159" t="s">
        <v>30</v>
      </c>
      <c r="I101" s="159" t="s">
        <v>30</v>
      </c>
      <c r="J101" s="159" t="s">
        <v>30</v>
      </c>
      <c r="K101" s="159" t="s">
        <v>30</v>
      </c>
      <c r="L101" s="159" t="s">
        <v>30</v>
      </c>
      <c r="M101" s="159" t="s">
        <v>30</v>
      </c>
      <c r="N101" s="159" t="s">
        <v>30</v>
      </c>
      <c r="O101" s="159" t="s">
        <v>30</v>
      </c>
      <c r="P101" s="159" t="s">
        <v>30</v>
      </c>
      <c r="Q101" s="159" t="s">
        <v>30</v>
      </c>
      <c r="R101" s="159" t="s">
        <v>30</v>
      </c>
      <c r="S101" s="159" t="s">
        <v>30</v>
      </c>
      <c r="T101" s="159" t="s">
        <v>30</v>
      </c>
      <c r="U101" s="159">
        <v>78</v>
      </c>
      <c r="V101" s="159">
        <v>77</v>
      </c>
      <c r="W101" s="159">
        <v>78</v>
      </c>
      <c r="X101" s="431" t="s">
        <v>30</v>
      </c>
    </row>
    <row r="102" spans="1:88" ht="13" customHeight="1">
      <c r="A102" s="146"/>
      <c r="B102" s="9"/>
      <c r="C102" s="15"/>
      <c r="D102" s="9"/>
      <c r="E102" s="13"/>
      <c r="F102" s="11"/>
      <c r="G102" s="51"/>
      <c r="H102" s="159"/>
      <c r="I102" s="159"/>
      <c r="J102" s="159"/>
      <c r="K102" s="159"/>
      <c r="L102" s="159"/>
      <c r="M102" s="159"/>
      <c r="T102" s="106"/>
      <c r="U102" s="106"/>
      <c r="V102" s="106"/>
      <c r="W102" s="106"/>
      <c r="X102" s="245"/>
    </row>
    <row r="103" spans="1:88" ht="13" customHeight="1">
      <c r="A103" s="146"/>
      <c r="B103" s="9"/>
      <c r="C103" s="8" t="str">
        <f>VLOOKUP(50,Textbausteine_Menu[],Hilfsgrössen!$D$2,FALSE)</f>
        <v>AutoPostale</v>
      </c>
      <c r="D103" s="214"/>
      <c r="E103" s="11"/>
      <c r="F103" s="11"/>
      <c r="G103" s="49"/>
      <c r="H103" s="159"/>
      <c r="I103" s="159"/>
      <c r="J103" s="159"/>
      <c r="K103" s="159"/>
      <c r="L103" s="159"/>
      <c r="M103" s="159"/>
      <c r="T103" s="106"/>
      <c r="U103" s="106"/>
      <c r="V103" s="106"/>
      <c r="W103" s="106"/>
      <c r="X103" s="245"/>
    </row>
    <row r="104" spans="1:88" ht="13" customHeight="1">
      <c r="A104" s="146"/>
      <c r="B104" s="9"/>
      <c r="C104" s="15" t="str">
        <f>VLOOKUP(82,Textbausteine_401[],Hilfsgrössen!$D$2,FALSE)</f>
        <v>Soddisfazione del personale</v>
      </c>
      <c r="D104" s="9" t="str">
        <f>VLOOKUP(14,Textbausteine_401[],Hilfsgrössen!$D$2,FALSE)</f>
        <v>Indice</v>
      </c>
      <c r="E104" s="11" t="s">
        <v>97</v>
      </c>
      <c r="F104" s="11">
        <v>401</v>
      </c>
      <c r="G104" s="49"/>
      <c r="H104" s="159">
        <v>67</v>
      </c>
      <c r="I104" s="159">
        <v>67</v>
      </c>
      <c r="J104" s="159">
        <v>68</v>
      </c>
      <c r="K104" s="159">
        <v>68</v>
      </c>
      <c r="L104" s="159">
        <v>67</v>
      </c>
      <c r="M104" s="159">
        <v>74</v>
      </c>
      <c r="N104" s="106">
        <v>75</v>
      </c>
      <c r="O104" s="106">
        <v>75</v>
      </c>
      <c r="P104" s="106">
        <v>76</v>
      </c>
      <c r="Q104" s="106">
        <v>76</v>
      </c>
      <c r="R104" s="106">
        <v>76</v>
      </c>
      <c r="S104" s="106">
        <v>76</v>
      </c>
      <c r="T104" s="106">
        <v>75</v>
      </c>
      <c r="U104" s="106">
        <v>74</v>
      </c>
      <c r="V104" s="106">
        <v>72</v>
      </c>
      <c r="W104" s="106">
        <v>72</v>
      </c>
      <c r="X104" s="245">
        <v>72</v>
      </c>
    </row>
    <row r="105" spans="1:88" ht="13" customHeight="1">
      <c r="A105" s="146"/>
      <c r="B105" s="9"/>
      <c r="C105" s="213" t="str">
        <f>VLOOKUP(83,Textbausteine_401[],Hilfsgrössen!$D$2,FALSE)</f>
        <v>Impegno</v>
      </c>
      <c r="D105" s="214" t="str">
        <f>VLOOKUP(14,Textbausteine_401[],Hilfsgrössen!$D$2,FALSE)</f>
        <v>Indice</v>
      </c>
      <c r="E105" s="473" t="s">
        <v>147</v>
      </c>
      <c r="F105" s="11">
        <v>401</v>
      </c>
      <c r="G105" s="49"/>
      <c r="H105" s="159" t="s">
        <v>30</v>
      </c>
      <c r="I105" s="159" t="s">
        <v>30</v>
      </c>
      <c r="J105" s="159">
        <v>72</v>
      </c>
      <c r="K105" s="159">
        <v>70</v>
      </c>
      <c r="L105" s="159">
        <v>70</v>
      </c>
      <c r="M105" s="159">
        <v>84</v>
      </c>
      <c r="N105" s="106">
        <v>85</v>
      </c>
      <c r="O105" s="106">
        <v>85</v>
      </c>
      <c r="P105" s="106">
        <v>86</v>
      </c>
      <c r="Q105" s="106">
        <v>86</v>
      </c>
      <c r="R105" s="106">
        <v>86</v>
      </c>
      <c r="S105" s="106">
        <v>86</v>
      </c>
      <c r="T105" s="106">
        <v>85</v>
      </c>
      <c r="U105" s="106">
        <v>83</v>
      </c>
      <c r="V105" s="106">
        <v>80</v>
      </c>
      <c r="W105" s="106">
        <v>82</v>
      </c>
      <c r="X105" s="431" t="s">
        <v>30</v>
      </c>
    </row>
    <row r="106" spans="1:88" ht="13" customHeight="1">
      <c r="A106" s="146"/>
      <c r="B106" s="9"/>
      <c r="C106" s="15" t="str">
        <f>VLOOKUP(84,Textbausteine_401[],Hilfsgrössen!$D$2,FALSE)</f>
        <v>Salute dell'unità</v>
      </c>
      <c r="D106" s="9" t="str">
        <f>VLOOKUP(14,Textbausteine_401[],Hilfsgrössen!$D$2,FALSE)</f>
        <v>Indice</v>
      </c>
      <c r="E106" s="473" t="s">
        <v>147</v>
      </c>
      <c r="F106" s="11">
        <v>401</v>
      </c>
      <c r="G106" s="49"/>
      <c r="H106" s="159" t="s">
        <v>30</v>
      </c>
      <c r="I106" s="159" t="s">
        <v>30</v>
      </c>
      <c r="J106" s="159" t="s">
        <v>30</v>
      </c>
      <c r="K106" s="159" t="s">
        <v>30</v>
      </c>
      <c r="L106" s="159" t="s">
        <v>30</v>
      </c>
      <c r="M106" s="159" t="s">
        <v>30</v>
      </c>
      <c r="N106" s="159" t="s">
        <v>30</v>
      </c>
      <c r="O106" s="159" t="s">
        <v>30</v>
      </c>
      <c r="P106" s="159" t="s">
        <v>30</v>
      </c>
      <c r="Q106" s="159" t="s">
        <v>30</v>
      </c>
      <c r="R106" s="159" t="s">
        <v>30</v>
      </c>
      <c r="S106" s="159" t="s">
        <v>30</v>
      </c>
      <c r="T106" s="159" t="s">
        <v>30</v>
      </c>
      <c r="U106" s="159">
        <v>70</v>
      </c>
      <c r="V106" s="159">
        <v>66</v>
      </c>
      <c r="W106" s="159">
        <v>68</v>
      </c>
      <c r="X106" s="431" t="s">
        <v>30</v>
      </c>
    </row>
    <row r="107" spans="1:88" ht="13" customHeight="1">
      <c r="A107" s="146"/>
      <c r="B107" s="26"/>
      <c r="C107" s="15" t="str">
        <f>VLOOKUP(85,Textbausteine_401[],Hilfsgrössen!$D$2,FALSE)</f>
        <v>Situazione lavorativa</v>
      </c>
      <c r="D107" s="9" t="str">
        <f>VLOOKUP(14,Textbausteine_401[],Hilfsgrössen!$D$2,FALSE)</f>
        <v>Indice</v>
      </c>
      <c r="E107" s="473" t="s">
        <v>147</v>
      </c>
      <c r="F107" s="11">
        <v>401</v>
      </c>
      <c r="G107" s="49"/>
      <c r="H107" s="159" t="s">
        <v>30</v>
      </c>
      <c r="I107" s="159" t="s">
        <v>30</v>
      </c>
      <c r="J107" s="159" t="s">
        <v>30</v>
      </c>
      <c r="K107" s="159" t="s">
        <v>30</v>
      </c>
      <c r="L107" s="159" t="s">
        <v>30</v>
      </c>
      <c r="M107" s="159" t="s">
        <v>30</v>
      </c>
      <c r="N107" s="159" t="s">
        <v>30</v>
      </c>
      <c r="O107" s="159" t="s">
        <v>30</v>
      </c>
      <c r="P107" s="159" t="s">
        <v>30</v>
      </c>
      <c r="Q107" s="159" t="s">
        <v>30</v>
      </c>
      <c r="R107" s="159" t="s">
        <v>30</v>
      </c>
      <c r="S107" s="159" t="s">
        <v>30</v>
      </c>
      <c r="T107" s="159" t="s">
        <v>30</v>
      </c>
      <c r="U107" s="159">
        <v>73</v>
      </c>
      <c r="V107" s="159">
        <v>72</v>
      </c>
      <c r="W107" s="159">
        <v>73</v>
      </c>
      <c r="X107" s="431" t="s">
        <v>30</v>
      </c>
    </row>
    <row r="108" spans="1:88" ht="13" customHeight="1">
      <c r="G108" s="49"/>
      <c r="T108" s="106"/>
      <c r="U108" s="106"/>
      <c r="V108" s="106"/>
      <c r="W108" s="106"/>
      <c r="X108" s="106"/>
    </row>
    <row r="109" spans="1:88" ht="12.5" customHeight="1">
      <c r="A109" s="80"/>
      <c r="B109" s="26" t="str">
        <f>VLOOKUP(151,Textbausteine_401[],Hilfsgrössen!$D$2,FALSE)</f>
        <v>1) Poiché il sondaggio del personale è stato completamente rielaborato nel 2009, non è possibile confrontare i risultati con quelli ottenuti negli anni precedenti.</v>
      </c>
      <c r="C109" s="67"/>
      <c r="E109" s="11"/>
      <c r="F109" s="11"/>
      <c r="G109" s="49"/>
      <c r="H109" s="172"/>
      <c r="I109" s="172"/>
      <c r="J109" s="172"/>
      <c r="K109" s="172"/>
      <c r="L109" s="172"/>
      <c r="M109" s="172"/>
      <c r="N109" s="159"/>
      <c r="O109" s="159"/>
      <c r="P109" s="159"/>
      <c r="Q109" s="159"/>
      <c r="R109" s="159"/>
      <c r="S109" s="159"/>
      <c r="T109" s="160"/>
      <c r="U109" s="160"/>
      <c r="V109" s="160"/>
      <c r="W109" s="160"/>
      <c r="X109" s="160"/>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row>
    <row r="110" spans="1:88" ht="12.5" customHeight="1">
      <c r="A110" s="80"/>
      <c r="B110" s="26" t="str">
        <f>VLOOKUP(152,Textbausteine_401[],Hilfsgrössen!$D$2,FALSE)</f>
        <v>2) Questo aspetto è stato rilevato per la prima volta in occasione del sondaggio del personale 2006.</v>
      </c>
      <c r="C110" s="15"/>
      <c r="D110" s="9"/>
      <c r="E110" s="44"/>
      <c r="F110" s="44"/>
      <c r="G110" s="49"/>
      <c r="H110" s="159"/>
      <c r="I110" s="159"/>
      <c r="J110" s="159"/>
      <c r="K110" s="159"/>
      <c r="L110" s="159"/>
      <c r="M110" s="159"/>
      <c r="N110" s="20"/>
      <c r="O110" s="20"/>
      <c r="Q110" s="160"/>
      <c r="R110" s="159"/>
      <c r="S110" s="159"/>
      <c r="T110" s="160"/>
      <c r="U110" s="160"/>
      <c r="V110" s="160"/>
      <c r="W110" s="160"/>
      <c r="X110" s="160"/>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row>
    <row r="111" spans="1:88" ht="13" customHeight="1">
      <c r="B111" s="26" t="str">
        <f>VLOOKUP(153,Textbausteine_401[],Hilfsgrössen!$D$2,FALSE)</f>
        <v>3) Poiché l'unità del gruppo Swiss Post Solutions esiste solo dal 1o ottobre 2007, non è possibile indicare nessun valore per gli anni precedenti.</v>
      </c>
      <c r="T111" s="106"/>
      <c r="U111" s="106"/>
      <c r="V111" s="106"/>
      <c r="W111" s="106"/>
      <c r="X111" s="106"/>
    </row>
    <row r="112" spans="1:88" ht="13" customHeight="1">
      <c r="B112" s="26" t="str">
        <f>VLOOKUP(154,Textbausteine_401[],Hilfsgrössen!$D$2,FALSE)</f>
        <v>4) Nel 2020 il sondaggio del personale è stato rielaborato. Di conseguenza a partire dal 2020 i risultati non sono più confrontabili con quelli degli anni precedenti.</v>
      </c>
      <c r="T112" s="106"/>
      <c r="U112" s="106"/>
      <c r="V112" s="106"/>
      <c r="W112" s="106"/>
      <c r="X112" s="106"/>
    </row>
    <row r="113" spans="2:24" ht="13" customHeight="1">
      <c r="B113" s="26" t="str">
        <f>VLOOKUP(155,Textbausteine_401[],Hilfsgrössen!$D$2,FALSE)</f>
        <v>5) Valori non più rilevati con la rielaborazione del sondaggio del personale nel 2020.</v>
      </c>
      <c r="T113" s="106"/>
      <c r="U113" s="106"/>
      <c r="V113" s="106"/>
      <c r="W113" s="106"/>
      <c r="X113" s="106"/>
    </row>
    <row r="114" spans="2:24" ht="13" customHeight="1">
      <c r="T114" s="106"/>
      <c r="U114" s="106"/>
      <c r="V114" s="106"/>
      <c r="W114" s="106"/>
      <c r="X114" s="106"/>
    </row>
    <row r="115" spans="2:24" ht="13" customHeight="1">
      <c r="G115" s="48"/>
      <c r="T115" s="106"/>
      <c r="U115" s="106"/>
      <c r="V115" s="106"/>
      <c r="W115" s="106"/>
      <c r="X115" s="106"/>
    </row>
    <row r="116" spans="2:24" ht="13" customHeight="1">
      <c r="G116" s="48"/>
      <c r="T116" s="106"/>
      <c r="U116" s="106"/>
      <c r="V116" s="106"/>
      <c r="W116" s="106"/>
      <c r="X116" s="106"/>
    </row>
    <row r="117" spans="2:24" ht="13" customHeight="1">
      <c r="G117" s="49"/>
      <c r="T117" s="106"/>
      <c r="U117" s="106"/>
      <c r="V117" s="106"/>
      <c r="W117" s="106"/>
      <c r="X117" s="106"/>
    </row>
    <row r="118" spans="2:24" ht="13" customHeight="1">
      <c r="G118" s="46"/>
      <c r="T118" s="106"/>
      <c r="U118" s="106"/>
      <c r="V118" s="106"/>
      <c r="W118" s="106"/>
      <c r="X118" s="106"/>
    </row>
    <row r="119" spans="2:24" ht="13" customHeight="1">
      <c r="G119" s="49"/>
    </row>
    <row r="120" spans="2:24" ht="13" customHeight="1">
      <c r="G120" s="49"/>
    </row>
    <row r="121" spans="2:24" ht="13" customHeight="1">
      <c r="G121" s="49"/>
    </row>
    <row r="122" spans="2:24" ht="13" customHeight="1">
      <c r="G122" s="49"/>
    </row>
    <row r="123" spans="2:24" ht="13" customHeight="1">
      <c r="G123" s="54"/>
      <c r="H123" s="157"/>
      <c r="I123" s="157"/>
      <c r="J123" s="157"/>
      <c r="K123" s="157"/>
      <c r="L123" s="157"/>
      <c r="M123" s="157"/>
    </row>
    <row r="124" spans="2:24" ht="13" customHeight="1">
      <c r="G124" s="54"/>
      <c r="H124" s="157"/>
      <c r="I124" s="157"/>
      <c r="J124" s="157"/>
      <c r="K124" s="157"/>
      <c r="L124" s="157"/>
      <c r="M124" s="157"/>
    </row>
    <row r="125" spans="2:24" ht="13" customHeight="1">
      <c r="G125" s="54"/>
      <c r="T125" s="118"/>
      <c r="U125" s="118"/>
      <c r="V125" s="118"/>
      <c r="W125" s="118"/>
      <c r="X125" s="118"/>
    </row>
    <row r="126" spans="2:24" ht="13" customHeight="1">
      <c r="H126" s="116"/>
      <c r="I126" s="116"/>
      <c r="J126" s="116"/>
      <c r="K126" s="116"/>
      <c r="L126" s="116"/>
      <c r="M126" s="116"/>
      <c r="T126" s="118"/>
      <c r="U126" s="118"/>
      <c r="V126" s="118"/>
      <c r="W126" s="118"/>
      <c r="X126" s="118"/>
    </row>
    <row r="130" spans="20:24" ht="13" customHeight="1">
      <c r="T130" s="139"/>
      <c r="U130" s="139"/>
      <c r="V130" s="139"/>
      <c r="W130" s="139"/>
      <c r="X130" s="139"/>
    </row>
    <row r="131" spans="20:24" ht="13" customHeight="1">
      <c r="T131" s="139"/>
      <c r="U131" s="139"/>
      <c r="V131" s="139"/>
      <c r="W131" s="139"/>
      <c r="X131" s="139"/>
    </row>
    <row r="132" spans="20:24" ht="13" customHeight="1">
      <c r="T132" s="139"/>
      <c r="U132" s="139"/>
      <c r="V132" s="139"/>
      <c r="W132" s="139"/>
      <c r="X132" s="139"/>
    </row>
    <row r="133" spans="20:24" ht="13" customHeight="1">
      <c r="T133" s="139"/>
      <c r="U133" s="139"/>
      <c r="V133" s="139"/>
      <c r="W133" s="139"/>
      <c r="X133" s="139"/>
    </row>
    <row r="134" spans="20:24" ht="13" customHeight="1">
      <c r="T134" s="139"/>
      <c r="U134" s="139"/>
      <c r="V134" s="139"/>
      <c r="W134" s="139"/>
      <c r="X134" s="139"/>
    </row>
    <row r="135" spans="20:24" ht="13" customHeight="1">
      <c r="T135" s="139"/>
      <c r="U135" s="139"/>
      <c r="V135" s="139"/>
      <c r="W135" s="139"/>
      <c r="X135" s="139"/>
    </row>
    <row r="136" spans="20:24" ht="13" customHeight="1">
      <c r="T136" s="139"/>
      <c r="U136" s="139"/>
      <c r="V136" s="139"/>
      <c r="W136" s="139"/>
      <c r="X136" s="139"/>
    </row>
    <row r="137" spans="20:24" ht="13" customHeight="1">
      <c r="T137" s="139"/>
      <c r="U137" s="139"/>
      <c r="V137" s="139"/>
      <c r="W137" s="139"/>
      <c r="X137" s="139"/>
    </row>
    <row r="145" spans="8:13" ht="13" customHeight="1">
      <c r="H145" s="157"/>
      <c r="I145" s="157"/>
      <c r="J145" s="157"/>
      <c r="K145" s="157"/>
      <c r="L145" s="157"/>
      <c r="M145" s="157"/>
    </row>
    <row r="146" spans="8:13" ht="13" customHeight="1">
      <c r="H146" s="158"/>
      <c r="I146" s="158"/>
      <c r="J146" s="158"/>
      <c r="K146" s="158"/>
      <c r="L146" s="158"/>
      <c r="M146" s="158"/>
    </row>
  </sheetData>
  <sheetProtection algorithmName="SHA-512" hashValue="9qPEBY3CRAjvQ3gXcy53Djz5EEE0yqP71Dkf2n/pvodIdr+55ChHBg1eWXyl5IgRx/RLXBQY3gGfFnJQsEEm4w==" saltValue="yWWBsmI05M1hoxS5jo8BHQ==" spinCount="100000" sheet="1" objects="1" scenarios="1"/>
  <mergeCells count="6">
    <mergeCell ref="D2:E2"/>
    <mergeCell ref="B63:C64"/>
    <mergeCell ref="B2:C2"/>
    <mergeCell ref="B3:C3"/>
    <mergeCell ref="B12:C13"/>
    <mergeCell ref="B53:C54"/>
  </mergeCells>
  <conditionalFormatting sqref="H12:U19 H25:U27 Y24:CD24 H21:U23 Y20:CD20 H29:U30 H28:T28 H43:U43 Y42:CD42 H34:U41 Y33:CD33 H32:U32 Y31:CD31 H46:U67 Y44:CD45 H72:U73 Y68:CD71 H78:U79 Y74:CD77 H84:U85 Y80:CD83 H108:U10000 Y104:CD107 H102:U103 Y98:CD101 H96:U97 Y92:CD95 H90:U91 H86:J89 Y86:CD89 X90:CD91 X96:CD97 X102:CD103 X108:CD10000 X84:CD85 X78:CD79 X72:CD73 X46:CD67 X32:CD32 X34:CD41 X43:CD43 X21:CD23 X12:CD19 X25:CD30">
    <cfRule type="expression" dxfId="24" priority="13">
      <formula>AND($D12&lt;&gt;"",H$12&lt;&gt;"",H12="")</formula>
    </cfRule>
    <cfRule type="expression" dxfId="23" priority="14">
      <formula>AND($A12="",ABS(H12)=0)</formula>
    </cfRule>
    <cfRule type="expression" dxfId="22" priority="15">
      <formula>AND($A12="",ABS(H12)&lt;10)</formula>
    </cfRule>
    <cfRule type="expression" dxfId="21" priority="16">
      <formula>AND($A12="",ABS(H12)&lt;100)</formula>
    </cfRule>
    <cfRule type="expression" dxfId="20" priority="17">
      <formula>AND($A12="",ABS(H12)&gt;=100)</formula>
    </cfRule>
  </conditionalFormatting>
  <conditionalFormatting sqref="V12:W19 V25:W27 V21:W23 V29:W30 V43:W43 V34:W41 V32:W32 V46:W67 V72:W73 V78:W79 V84:W85 V108:W10000 V102:W103 V96:W97 V90:W91">
    <cfRule type="expression" dxfId="19" priority="1">
      <formula>AND($D12&lt;&gt;"",V$12&lt;&gt;"",V12="")</formula>
    </cfRule>
    <cfRule type="expression" dxfId="18" priority="2">
      <formula>AND($A12="",ABS(V12)=0)</formula>
    </cfRule>
    <cfRule type="expression" dxfId="17" priority="3">
      <formula>AND($A12="",ABS(V12)&lt;10)</formula>
    </cfRule>
    <cfRule type="expression" dxfId="16" priority="4">
      <formula>AND($A12="",ABS(V12)&lt;100)</formula>
    </cfRule>
    <cfRule type="expression" dxfId="15" priority="5">
      <formula>AND($A12="",ABS(V12)&gt;=100)</formula>
    </cfRule>
  </conditionalFormatting>
  <dataValidations count="2">
    <dataValidation type="list" allowBlank="1" showInputMessage="1" showErrorMessage="1" sqref="G2" xr:uid="{00000000-0002-0000-0700-000000000000}">
      <formula1>Sprache</formula1>
    </dataValidation>
    <dataValidation allowBlank="1" showInputMessage="1" showErrorMessage="1" sqref="F2" xr:uid="{00000000-0002-0000-0700-000001000000}"/>
  </dataValidations>
  <hyperlinks>
    <hyperlink ref="A12" location="GRI_401" display="Ó" xr:uid="{00000000-0004-0000-0700-000000000000}"/>
    <hyperlink ref="A53" location="GRI_401" display="Ó" xr:uid="{00000000-0004-0000-0700-000001000000}"/>
    <hyperlink ref="C7" location="GRI_401_1" display="GRI_401_1" xr:uid="{00000000-0004-0000-0700-000002000000}"/>
    <hyperlink ref="C8" location="GRI_401_3" display="GRI_401_3" xr:uid="{00000000-0004-0000-0700-000003000000}"/>
    <hyperlink ref="D2" location="Home" display="Home" xr:uid="{00000000-0004-0000-0700-000004000000}"/>
    <hyperlink ref="A63" location="GRI_401" display="Ó" xr:uid="{00000000-0004-0000-0700-000005000000}"/>
    <hyperlink ref="C9" location="GRI_401_a" display="Personalumfrage" xr:uid="{00000000-0004-0000-0700-000006000000}"/>
  </hyperlinks>
  <pageMargins left="0.7" right="0.7" top="0.78740157499999996" bottom="0.78740157499999996" header="0.3" footer="0.3"/>
  <pageSetup paperSize="9" orientation="portrait" r:id="rId1"/>
  <ignoredErrors>
    <ignoredError sqref="E44 E16:E2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tabColor rgb="FF9E2A2F"/>
  </sheetPr>
  <dimension ref="A2:CJ146"/>
  <sheetViews>
    <sheetView showGridLines="0" showRowColHeaders="0" zoomScale="90" zoomScaleNormal="90" workbookViewId="0">
      <pane xSplit="7" topLeftCell="X1" activePane="topRight" state="frozen"/>
      <selection activeCell="B3" sqref="B3:C3"/>
      <selection pane="topRight" activeCell="B44" sqref="B44"/>
    </sheetView>
  </sheetViews>
  <sheetFormatPr baseColWidth="10" defaultColWidth="10.796875" defaultRowHeight="13" customHeight="1"/>
  <cols>
    <col min="1" max="1" width="2.3984375" style="90" customWidth="1"/>
    <col min="2" max="2" width="2.3984375" style="1" customWidth="1"/>
    <col min="3" max="3" width="66.19921875" style="9" customWidth="1"/>
    <col min="4" max="4" width="30.796875" style="1" customWidth="1"/>
    <col min="5" max="5" width="9.3984375" style="37" customWidth="1"/>
    <col min="6" max="6" width="14.19921875" style="37" customWidth="1"/>
    <col min="7" max="7" width="2.3984375" style="47" customWidth="1"/>
    <col min="8" max="13" width="12" style="37" customWidth="1"/>
    <col min="14" max="19" width="11.796875" style="106" customWidth="1"/>
    <col min="20" max="24" width="11.796875" style="20" customWidth="1"/>
    <col min="25" max="88" width="11.796875" style="11" customWidth="1"/>
    <col min="89" max="16384" width="10.796875" style="1"/>
  </cols>
  <sheetData>
    <row r="2" spans="1:88" s="152" customFormat="1" ht="26" customHeight="1">
      <c r="A2" s="87"/>
      <c r="B2" s="500" t="str">
        <f>UPPER(RIGHT(Inhaltsverzeichnis!$C$29,LEN(Inhaltsverzeichnis!$C$29)-FIND(" – ",Inhaltsverzeichnis!$C$29,1)-2))</f>
        <v>SALUTE E SICUREZZA SUL POSTO DI LAVORO</v>
      </c>
      <c r="C2" s="500"/>
      <c r="D2" s="489" t="str">
        <f>VLOOKUP(35,Textbausteine_Menu[],Hilfsgrössen!$D$2,FALSE)</f>
        <v>torna alla tabella dei contenuti</v>
      </c>
      <c r="E2" s="490"/>
      <c r="F2" s="144" t="s">
        <v>0</v>
      </c>
      <c r="G2" s="168"/>
      <c r="H2" s="91"/>
      <c r="I2" s="91"/>
      <c r="J2" s="91"/>
      <c r="K2" s="91"/>
      <c r="L2" s="91"/>
      <c r="M2" s="91"/>
      <c r="N2" s="135"/>
      <c r="O2" s="135"/>
      <c r="P2" s="135"/>
      <c r="Q2" s="135"/>
      <c r="R2" s="135"/>
      <c r="S2" s="135"/>
      <c r="T2" s="115"/>
      <c r="U2" s="115"/>
      <c r="V2" s="115"/>
      <c r="W2" s="115"/>
      <c r="X2" s="115"/>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row>
    <row r="3" spans="1:88" s="153" customFormat="1" ht="26" customHeight="1">
      <c r="A3" s="88"/>
      <c r="B3" s="494" t="str">
        <f>UPPER("GRI "&amp;LEFT(Inhaltsverzeichnis!$C$29,3))</f>
        <v>GRI 403</v>
      </c>
      <c r="C3" s="494"/>
      <c r="D3" s="481"/>
      <c r="E3" s="38"/>
      <c r="F3" s="38"/>
      <c r="G3" s="45"/>
      <c r="H3" s="38"/>
      <c r="I3" s="38"/>
      <c r="J3" s="38"/>
      <c r="K3" s="38"/>
      <c r="L3" s="38"/>
      <c r="M3" s="38"/>
      <c r="N3" s="135"/>
      <c r="O3" s="135"/>
      <c r="P3" s="135"/>
      <c r="Q3" s="135"/>
      <c r="R3" s="135"/>
      <c r="S3" s="135"/>
      <c r="T3" s="115"/>
      <c r="U3" s="115"/>
      <c r="V3" s="115"/>
      <c r="W3" s="115"/>
      <c r="X3" s="115"/>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row>
    <row r="6" spans="1:88" s="31" customFormat="1" ht="13" customHeight="1">
      <c r="A6" s="89"/>
      <c r="B6" s="31" t="str">
        <f>VLOOKUP(31,Textbausteine_Menu[],Hilfsgrössen!$D$2,FALSE)</f>
        <v>Divulgazioni</v>
      </c>
      <c r="C6" s="6"/>
      <c r="E6" s="39"/>
      <c r="F6" s="39"/>
      <c r="G6" s="46"/>
      <c r="H6" s="39"/>
      <c r="I6" s="39"/>
      <c r="J6" s="39"/>
      <c r="K6" s="39"/>
      <c r="L6" s="39"/>
      <c r="M6" s="39"/>
      <c r="N6" s="106"/>
      <c r="O6" s="106"/>
      <c r="P6" s="106"/>
      <c r="Q6" s="106"/>
      <c r="R6" s="106"/>
      <c r="S6" s="106"/>
      <c r="T6" s="20"/>
      <c r="U6" s="20"/>
      <c r="V6" s="20"/>
      <c r="W6" s="20"/>
      <c r="X6" s="20"/>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13" customHeight="1">
      <c r="B7" s="2"/>
      <c r="C7" s="147" t="str">
        <f>VLOOKUP(1,Textbausteine_403[],Hilfsgrössen!$D$2,FALSE)</f>
        <v>Gestione della salute</v>
      </c>
      <c r="D7" s="4"/>
    </row>
    <row r="8" spans="1:88" ht="13" customHeight="1">
      <c r="B8" s="2"/>
    </row>
    <row r="9" spans="1:88" ht="13" customHeight="1">
      <c r="B9" s="2"/>
    </row>
    <row r="10" spans="1:88" s="31" customFormat="1" ht="13" customHeight="1">
      <c r="A10" s="56" t="s">
        <v>27</v>
      </c>
      <c r="B10" s="488" t="str">
        <f>$C$7</f>
        <v>Gestione della salute</v>
      </c>
      <c r="C10" s="488"/>
      <c r="D10" s="6" t="str">
        <f>VLOOKUP(32,Textbausteine_Menu[],Hilfsgrössen!$D$2,FALSE)</f>
        <v>Unità</v>
      </c>
      <c r="E10" s="39" t="str">
        <f>VLOOKUP(33,Textbausteine_Menu[],Hilfsgrössen!$D$2,FALSE)</f>
        <v>Note</v>
      </c>
      <c r="F10" s="39" t="str">
        <f>VLOOKUP(34,Textbausteine_Menu[],Hilfsgrössen!$D$2,FALSE)</f>
        <v>GRI</v>
      </c>
      <c r="G10" s="47"/>
      <c r="H10" s="112">
        <v>2004</v>
      </c>
      <c r="I10" s="112">
        <v>2005</v>
      </c>
      <c r="J10" s="112">
        <v>2006</v>
      </c>
      <c r="K10" s="112">
        <v>2007</v>
      </c>
      <c r="L10" s="112">
        <v>2008</v>
      </c>
      <c r="M10" s="112">
        <v>2009</v>
      </c>
      <c r="N10" s="116">
        <v>2010</v>
      </c>
      <c r="O10" s="116">
        <v>2011</v>
      </c>
      <c r="P10" s="116">
        <v>2012</v>
      </c>
      <c r="Q10" s="116">
        <v>2013</v>
      </c>
      <c r="R10" s="116">
        <v>2014</v>
      </c>
      <c r="S10" s="116">
        <v>2015</v>
      </c>
      <c r="T10" s="116">
        <v>2016</v>
      </c>
      <c r="U10" s="116">
        <v>2017</v>
      </c>
      <c r="V10" s="116">
        <v>2018</v>
      </c>
      <c r="W10" s="116">
        <v>2019</v>
      </c>
      <c r="X10" s="242">
        <v>2020</v>
      </c>
      <c r="Y10" s="7"/>
      <c r="Z10" s="7"/>
      <c r="AA10" s="7"/>
      <c r="AB10" s="7"/>
      <c r="AC10" s="7"/>
      <c r="AD10" s="7"/>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s="31" customFormat="1" ht="13" customHeight="1">
      <c r="A11" s="89"/>
      <c r="B11" s="488"/>
      <c r="C11" s="488"/>
      <c r="D11" s="6"/>
      <c r="E11" s="40"/>
      <c r="F11" s="40"/>
      <c r="G11" s="47"/>
      <c r="H11" s="113"/>
      <c r="I11" s="113"/>
      <c r="J11" s="113"/>
      <c r="K11" s="113"/>
      <c r="L11" s="113"/>
      <c r="M11" s="113"/>
      <c r="N11" s="142"/>
      <c r="O11" s="142"/>
      <c r="P11" s="142"/>
      <c r="Q11" s="142"/>
      <c r="R11" s="142"/>
      <c r="S11" s="142"/>
      <c r="T11" s="118"/>
      <c r="U11" s="118"/>
      <c r="V11" s="118"/>
      <c r="W11" s="118"/>
      <c r="X11" s="243"/>
      <c r="Y11" s="128"/>
      <c r="Z11" s="121"/>
      <c r="AA11" s="121"/>
      <c r="AB11" s="121"/>
      <c r="AC11" s="121"/>
      <c r="AD11" s="121"/>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row>
    <row r="12" spans="1:88" ht="13" customHeight="1">
      <c r="B12" s="8"/>
      <c r="D12" s="9"/>
      <c r="E12" s="40"/>
      <c r="F12" s="40"/>
      <c r="G12" s="48"/>
      <c r="X12" s="244"/>
      <c r="Y12" s="12"/>
      <c r="Z12" s="13"/>
      <c r="AA12" s="13"/>
      <c r="AB12" s="13"/>
      <c r="AC12" s="13"/>
      <c r="AD12" s="13"/>
    </row>
    <row r="13" spans="1:88" ht="13" customHeight="1">
      <c r="B13" s="8" t="str">
        <f>VLOOKUP(37,Textbausteine_Menu[],Hilfsgrössen!$D$2,FALSE)</f>
        <v>Gruppo Svizzera</v>
      </c>
      <c r="C13" s="8"/>
      <c r="D13" s="66"/>
      <c r="E13" s="12"/>
      <c r="F13" s="11"/>
      <c r="G13" s="48"/>
      <c r="X13" s="244"/>
    </row>
    <row r="14" spans="1:88" ht="13" customHeight="1">
      <c r="C14" s="8" t="str">
        <f>VLOOKUP(31,Textbausteine_403[],Hilfsgrössen!$D$2,FALSE)</f>
        <v>Infortuni</v>
      </c>
      <c r="D14" s="233"/>
      <c r="E14" s="11"/>
      <c r="F14" s="11"/>
      <c r="G14" s="49"/>
      <c r="H14" s="114"/>
      <c r="I14" s="114"/>
      <c r="J14" s="114"/>
      <c r="K14" s="114"/>
      <c r="L14" s="114"/>
      <c r="M14" s="114"/>
      <c r="N14" s="20"/>
      <c r="O14" s="20"/>
      <c r="R14" s="136"/>
      <c r="S14" s="136"/>
      <c r="X14" s="244"/>
      <c r="Y14" s="14"/>
      <c r="Z14" s="17"/>
      <c r="AA14" s="17"/>
      <c r="AB14" s="17"/>
      <c r="AC14" s="17"/>
      <c r="AD14" s="17"/>
    </row>
    <row r="15" spans="1:88" ht="13" customHeight="1">
      <c r="C15" s="19" t="str">
        <f>VLOOKUP(32,Textbausteine_403[],Hilfsgrössen!$D$2,FALSE)</f>
        <v>Infortuni professionali</v>
      </c>
      <c r="D15" s="66" t="str">
        <f>VLOOKUP(11,Textbausteine_403[],Hilfsgrössen!$D$2,FALSE)</f>
        <v>numero ogni 100 unità di personale</v>
      </c>
      <c r="E15" s="11" t="s">
        <v>84</v>
      </c>
      <c r="F15" s="11" t="s">
        <v>149</v>
      </c>
      <c r="G15" s="49"/>
      <c r="H15" s="432">
        <v>6.4</v>
      </c>
      <c r="I15" s="432">
        <v>6.12</v>
      </c>
      <c r="J15" s="432">
        <v>5.93</v>
      </c>
      <c r="K15" s="432">
        <v>5.48</v>
      </c>
      <c r="L15" s="433">
        <v>6.28</v>
      </c>
      <c r="M15" s="433">
        <v>6.49</v>
      </c>
      <c r="N15" s="351">
        <v>7.49</v>
      </c>
      <c r="O15" s="351">
        <v>6.92</v>
      </c>
      <c r="P15" s="348">
        <v>7.23</v>
      </c>
      <c r="Q15" s="348">
        <v>6.61</v>
      </c>
      <c r="R15" s="434">
        <v>5.92</v>
      </c>
      <c r="S15" s="434">
        <v>6.06</v>
      </c>
      <c r="T15" s="351">
        <v>5.91</v>
      </c>
      <c r="U15" s="351">
        <v>6.4690065933095084</v>
      </c>
      <c r="V15" s="351">
        <v>6.03</v>
      </c>
      <c r="W15" s="351">
        <v>6.4</v>
      </c>
      <c r="X15" s="435">
        <v>6.1336121898858202</v>
      </c>
      <c r="Y15" s="14"/>
      <c r="Z15" s="17"/>
      <c r="AA15" s="17"/>
      <c r="AB15" s="17"/>
      <c r="AC15" s="17"/>
      <c r="AD15" s="17"/>
    </row>
    <row r="16" spans="1:88" ht="13" customHeight="1">
      <c r="C16" s="217" t="str">
        <f>VLOOKUP(33,Textbausteine_403[],Hilfsgrössen!$D$2,FALSE)</f>
        <v>infortuni professionali PostMail</v>
      </c>
      <c r="D16" s="66" t="str">
        <f>VLOOKUP(11,Textbausteine_403[],Hilfsgrössen!$D$2,FALSE)</f>
        <v>numero ogni 100 unità di personale</v>
      </c>
      <c r="E16" s="11" t="s">
        <v>84</v>
      </c>
      <c r="F16" s="11" t="s">
        <v>149</v>
      </c>
      <c r="G16" s="49"/>
      <c r="H16" s="432">
        <v>7.2</v>
      </c>
      <c r="I16" s="432">
        <v>7.14</v>
      </c>
      <c r="J16" s="432">
        <v>6.94</v>
      </c>
      <c r="K16" s="432">
        <v>6.48</v>
      </c>
      <c r="L16" s="433">
        <v>7.96</v>
      </c>
      <c r="M16" s="433">
        <v>8.77</v>
      </c>
      <c r="N16" s="351">
        <v>11.04</v>
      </c>
      <c r="O16" s="351">
        <v>9.4</v>
      </c>
      <c r="P16" s="348">
        <v>10.54</v>
      </c>
      <c r="Q16" s="348">
        <v>9.66</v>
      </c>
      <c r="R16" s="434">
        <v>8.15</v>
      </c>
      <c r="S16" s="434">
        <v>8.42</v>
      </c>
      <c r="T16" s="349">
        <v>8.17</v>
      </c>
      <c r="U16" s="349">
        <v>8.7123982237787647</v>
      </c>
      <c r="V16" s="349">
        <v>8.27</v>
      </c>
      <c r="W16" s="349">
        <v>9.43</v>
      </c>
      <c r="X16" s="436">
        <v>7.5094578732060704</v>
      </c>
      <c r="Y16" s="14"/>
      <c r="Z16" s="14"/>
      <c r="AA16" s="14"/>
      <c r="AB16" s="14"/>
      <c r="AC16" s="14"/>
    </row>
    <row r="17" spans="3:30" ht="13" customHeight="1">
      <c r="C17" s="217" t="str">
        <f>VLOOKUP(34,Textbausteine_403[],Hilfsgrössen!$D$2,FALSE)</f>
        <v xml:space="preserve">infortuni professionali PostLogistics </v>
      </c>
      <c r="D17" s="66" t="str">
        <f>VLOOKUP(11,Textbausteine_403[],Hilfsgrössen!$D$2,FALSE)</f>
        <v>numero ogni 100 unità di personale</v>
      </c>
      <c r="E17" s="11" t="s">
        <v>84</v>
      </c>
      <c r="F17" s="11" t="s">
        <v>149</v>
      </c>
      <c r="G17" s="49"/>
      <c r="H17" s="432">
        <v>11.38</v>
      </c>
      <c r="I17" s="432">
        <v>10.73</v>
      </c>
      <c r="J17" s="432">
        <v>10.18</v>
      </c>
      <c r="K17" s="432">
        <v>9.9600000000000009</v>
      </c>
      <c r="L17" s="433">
        <v>11.02</v>
      </c>
      <c r="M17" s="433">
        <v>11.01</v>
      </c>
      <c r="N17" s="351">
        <v>11.69</v>
      </c>
      <c r="O17" s="351">
        <v>11.71</v>
      </c>
      <c r="P17" s="348">
        <v>10.79</v>
      </c>
      <c r="Q17" s="348">
        <v>9.91</v>
      </c>
      <c r="R17" s="434">
        <v>10.29</v>
      </c>
      <c r="S17" s="434">
        <v>10.3</v>
      </c>
      <c r="T17" s="349">
        <v>10.41</v>
      </c>
      <c r="U17" s="349">
        <v>11.389516143432617</v>
      </c>
      <c r="V17" s="349">
        <v>11.42</v>
      </c>
      <c r="W17" s="349">
        <v>10.32</v>
      </c>
      <c r="X17" s="436">
        <v>12.3669250049056</v>
      </c>
      <c r="Y17" s="14"/>
      <c r="Z17" s="17"/>
      <c r="AA17" s="17"/>
      <c r="AB17" s="17"/>
      <c r="AC17" s="17"/>
      <c r="AD17" s="17"/>
    </row>
    <row r="18" spans="3:30" ht="13" customHeight="1">
      <c r="C18" s="217" t="str">
        <f>VLOOKUP(35,Textbausteine_403[],Hilfsgrössen!$D$2,FALSE)</f>
        <v>infortuni professionali RetePostale</v>
      </c>
      <c r="D18" s="66" t="str">
        <f>VLOOKUP(11,Textbausteine_403[],Hilfsgrössen!$D$2,FALSE)</f>
        <v>numero ogni 100 unità di personale</v>
      </c>
      <c r="E18" s="11" t="s">
        <v>83</v>
      </c>
      <c r="F18" s="11" t="s">
        <v>149</v>
      </c>
      <c r="G18" s="49"/>
      <c r="H18" s="432">
        <v>5.2</v>
      </c>
      <c r="I18" s="432">
        <v>5.04</v>
      </c>
      <c r="J18" s="432">
        <v>5.09</v>
      </c>
      <c r="K18" s="432">
        <v>4.5999999999999996</v>
      </c>
      <c r="L18" s="433">
        <v>2.57</v>
      </c>
      <c r="M18" s="433">
        <v>2.38</v>
      </c>
      <c r="N18" s="351">
        <v>2.15</v>
      </c>
      <c r="O18" s="351">
        <v>2.77</v>
      </c>
      <c r="P18" s="439">
        <v>2.19</v>
      </c>
      <c r="Q18" s="348">
        <v>2.0299999999999998</v>
      </c>
      <c r="R18" s="434">
        <v>2.17</v>
      </c>
      <c r="S18" s="434">
        <v>2.35</v>
      </c>
      <c r="T18" s="351">
        <v>2.4300000000000002</v>
      </c>
      <c r="U18" s="351">
        <v>2.5757038850614218</v>
      </c>
      <c r="V18" s="351">
        <v>2.48</v>
      </c>
      <c r="W18" s="351">
        <v>2.23</v>
      </c>
      <c r="X18" s="435">
        <v>2.2244388485460802</v>
      </c>
      <c r="Y18" s="14"/>
      <c r="Z18" s="17"/>
      <c r="AA18" s="17"/>
      <c r="AB18" s="17"/>
      <c r="AC18" s="17"/>
    </row>
    <row r="19" spans="3:30" ht="13" customHeight="1">
      <c r="C19" s="217" t="str">
        <f>VLOOKUP(36,Textbausteine_403[],Hilfsgrössen!$D$2,FALSE)</f>
        <v>infortuni professionali PostFinance</v>
      </c>
      <c r="D19" s="66" t="str">
        <f>VLOOKUP(11,Textbausteine_403[],Hilfsgrössen!$D$2,FALSE)</f>
        <v>numero ogni 100 unità di personale</v>
      </c>
      <c r="E19" s="11" t="s">
        <v>83</v>
      </c>
      <c r="F19" s="11" t="s">
        <v>149</v>
      </c>
      <c r="G19" s="49"/>
      <c r="H19" s="432">
        <v>1.29</v>
      </c>
      <c r="I19" s="432">
        <v>1.38</v>
      </c>
      <c r="J19" s="432">
        <v>0.83</v>
      </c>
      <c r="K19" s="432">
        <v>0.7</v>
      </c>
      <c r="L19" s="433">
        <v>0.87</v>
      </c>
      <c r="M19" s="433">
        <v>0.85</v>
      </c>
      <c r="N19" s="351">
        <v>0.77</v>
      </c>
      <c r="O19" s="351">
        <v>0.88</v>
      </c>
      <c r="P19" s="348">
        <v>0.92</v>
      </c>
      <c r="Q19" s="348">
        <v>0.64</v>
      </c>
      <c r="R19" s="434">
        <v>0.43</v>
      </c>
      <c r="S19" s="434">
        <v>1.0900000000000001</v>
      </c>
      <c r="T19" s="348">
        <v>0.83</v>
      </c>
      <c r="U19" s="348">
        <v>0.80588269422798275</v>
      </c>
      <c r="V19" s="348">
        <v>0.6</v>
      </c>
      <c r="W19" s="348">
        <v>0.49</v>
      </c>
      <c r="X19" s="438">
        <v>0.55215350603672497</v>
      </c>
      <c r="Y19" s="14"/>
      <c r="Z19" s="17"/>
      <c r="AA19" s="17"/>
      <c r="AB19" s="17"/>
      <c r="AC19" s="17"/>
      <c r="AD19" s="17"/>
    </row>
    <row r="20" spans="3:30" ht="13" customHeight="1">
      <c r="C20" s="217" t="str">
        <f>VLOOKUP(37,Textbausteine_403[],Hilfsgrössen!$D$2,FALSE)</f>
        <v>infortuni professionali AutoPostale</v>
      </c>
      <c r="D20" s="66" t="str">
        <f>VLOOKUP(11,Textbausteine_403[],Hilfsgrössen!$D$2,FALSE)</f>
        <v>numero ogni 100 unità di personale</v>
      </c>
      <c r="E20" s="11" t="s">
        <v>84</v>
      </c>
      <c r="F20" s="11" t="s">
        <v>149</v>
      </c>
      <c r="G20" s="49"/>
      <c r="H20" s="432">
        <v>3.57</v>
      </c>
      <c r="I20" s="432">
        <v>3.37</v>
      </c>
      <c r="J20" s="432">
        <v>4.5599999999999996</v>
      </c>
      <c r="K20" s="432">
        <v>2.99</v>
      </c>
      <c r="L20" s="433">
        <v>3.83</v>
      </c>
      <c r="M20" s="433">
        <v>4.4400000000000004</v>
      </c>
      <c r="N20" s="351">
        <v>4.71</v>
      </c>
      <c r="O20" s="351">
        <v>4.6100000000000003</v>
      </c>
      <c r="P20" s="348">
        <v>4.24</v>
      </c>
      <c r="Q20" s="348">
        <v>4.04</v>
      </c>
      <c r="R20" s="348">
        <v>3.27</v>
      </c>
      <c r="S20" s="434">
        <v>3.08</v>
      </c>
      <c r="T20" s="348">
        <v>3.14</v>
      </c>
      <c r="U20" s="348">
        <v>4.0565263093629964</v>
      </c>
      <c r="V20" s="348">
        <v>2.33</v>
      </c>
      <c r="W20" s="348">
        <v>3.47</v>
      </c>
      <c r="X20" s="438">
        <v>3.2845319334113099</v>
      </c>
      <c r="Y20" s="13"/>
      <c r="AD20" s="17"/>
    </row>
    <row r="21" spans="3:30" ht="13" customHeight="1">
      <c r="C21" s="217" t="str">
        <f>VLOOKUP(38,Textbausteine_403[],Hilfsgrössen!$D$2,FALSE)</f>
        <v>infortuni professionali Swiss Post International</v>
      </c>
      <c r="D21" s="66" t="str">
        <f>VLOOKUP(11,Textbausteine_403[],Hilfsgrössen!$D$2,FALSE)</f>
        <v>numero ogni 100 unità di personale</v>
      </c>
      <c r="E21" s="11" t="s">
        <v>129</v>
      </c>
      <c r="F21" s="11" t="s">
        <v>149</v>
      </c>
      <c r="G21" s="49"/>
      <c r="H21" s="432">
        <v>4.33</v>
      </c>
      <c r="I21" s="432">
        <v>4.16</v>
      </c>
      <c r="J21" s="432">
        <v>3.63</v>
      </c>
      <c r="K21" s="432">
        <v>4.67</v>
      </c>
      <c r="L21" s="440">
        <v>5.19</v>
      </c>
      <c r="M21" s="440">
        <v>6.8</v>
      </c>
      <c r="N21" s="348">
        <v>6.12</v>
      </c>
      <c r="O21" s="348">
        <v>4.45</v>
      </c>
      <c r="P21" s="348" t="s">
        <v>30</v>
      </c>
      <c r="Q21" s="348" t="s">
        <v>30</v>
      </c>
      <c r="R21" s="348" t="s">
        <v>30</v>
      </c>
      <c r="S21" s="348" t="s">
        <v>30</v>
      </c>
      <c r="T21" s="348" t="s">
        <v>30</v>
      </c>
      <c r="U21" s="348" t="s">
        <v>30</v>
      </c>
      <c r="V21" s="348" t="s">
        <v>30</v>
      </c>
      <c r="W21" s="348" t="s">
        <v>30</v>
      </c>
      <c r="X21" s="438" t="s">
        <v>30</v>
      </c>
    </row>
    <row r="22" spans="3:30" ht="13" customHeight="1">
      <c r="C22" s="217" t="str">
        <f>VLOOKUP(39,Textbausteine_403[],Hilfsgrössen!$D$2,FALSE)</f>
        <v>infortuni professionali Swiss Post Solutions</v>
      </c>
      <c r="D22" s="66" t="str">
        <f>VLOOKUP(11,Textbausteine_403[],Hilfsgrössen!$D$2,FALSE)</f>
        <v>numero ogni 100 unità di personale</v>
      </c>
      <c r="E22" s="11" t="s">
        <v>150</v>
      </c>
      <c r="F22" s="11" t="s">
        <v>149</v>
      </c>
      <c r="G22" s="49"/>
      <c r="H22" s="440" t="s">
        <v>30</v>
      </c>
      <c r="I22" s="440" t="s">
        <v>30</v>
      </c>
      <c r="J22" s="440" t="s">
        <v>30</v>
      </c>
      <c r="K22" s="440" t="s">
        <v>30</v>
      </c>
      <c r="L22" s="440">
        <v>2.0699999999999998</v>
      </c>
      <c r="M22" s="440">
        <v>3.2</v>
      </c>
      <c r="N22" s="348">
        <v>3.37</v>
      </c>
      <c r="O22" s="348">
        <v>2.31</v>
      </c>
      <c r="P22" s="348">
        <v>2.06</v>
      </c>
      <c r="Q22" s="348">
        <v>3.03</v>
      </c>
      <c r="R22" s="348">
        <v>2.15</v>
      </c>
      <c r="S22" s="348">
        <v>2.4500000000000002</v>
      </c>
      <c r="T22" s="348">
        <v>2.4700000000000002</v>
      </c>
      <c r="U22" s="348">
        <v>2.8916925967326179</v>
      </c>
      <c r="V22" s="348">
        <v>2.1800000000000002</v>
      </c>
      <c r="W22" s="348">
        <v>1.96</v>
      </c>
      <c r="X22" s="438">
        <v>3.2544547519053202</v>
      </c>
    </row>
    <row r="23" spans="3:30" ht="13" customHeight="1">
      <c r="C23" s="217" t="str">
        <f>VLOOKUP(40,Textbausteine_403[],Hilfsgrössen!$D$2,FALSE)</f>
        <v>infortuni professionali mortali</v>
      </c>
      <c r="D23" s="18" t="str">
        <f>VLOOKUP(12,Textbausteine_403[],Hilfsgrössen!$D$2,FALSE)</f>
        <v xml:space="preserve">Numero   </v>
      </c>
      <c r="E23" s="11">
        <v>2</v>
      </c>
      <c r="F23" s="11" t="s">
        <v>149</v>
      </c>
      <c r="G23" s="49"/>
      <c r="H23" s="237" t="s">
        <v>30</v>
      </c>
      <c r="I23" s="437" t="s">
        <v>30</v>
      </c>
      <c r="J23" s="437" t="s">
        <v>30</v>
      </c>
      <c r="K23" s="240">
        <v>0</v>
      </c>
      <c r="L23" s="241">
        <v>0</v>
      </c>
      <c r="M23" s="241">
        <v>0</v>
      </c>
      <c r="N23" s="17">
        <v>1</v>
      </c>
      <c r="O23" s="17">
        <v>1</v>
      </c>
      <c r="P23" s="17">
        <v>0</v>
      </c>
      <c r="Q23" s="17">
        <v>0</v>
      </c>
      <c r="R23" s="17">
        <v>0</v>
      </c>
      <c r="S23" s="17">
        <v>0</v>
      </c>
      <c r="T23" s="17">
        <v>0</v>
      </c>
      <c r="U23" s="17">
        <v>1</v>
      </c>
      <c r="V23" s="17">
        <v>0</v>
      </c>
      <c r="W23" s="17">
        <v>0</v>
      </c>
      <c r="X23" s="361">
        <v>2</v>
      </c>
    </row>
    <row r="24" spans="3:30" ht="13" customHeight="1">
      <c r="C24" s="19" t="str">
        <f>VLOOKUP(41,Textbausteine_403[],Hilfsgrössen!$D$2,FALSE)</f>
        <v xml:space="preserve">Infortuni non professionali   </v>
      </c>
      <c r="D24" s="66" t="str">
        <f>VLOOKUP(11,Textbausteine_403[],Hilfsgrössen!$D$2,FALSE)</f>
        <v>numero ogni 100 unità di personale</v>
      </c>
      <c r="E24" s="11" t="s">
        <v>84</v>
      </c>
      <c r="F24" s="11" t="s">
        <v>149</v>
      </c>
      <c r="G24" s="49"/>
      <c r="H24" s="432">
        <v>16.25</v>
      </c>
      <c r="I24" s="432">
        <v>15.09</v>
      </c>
      <c r="J24" s="432">
        <v>15.97</v>
      </c>
      <c r="K24" s="432">
        <v>14.75</v>
      </c>
      <c r="L24" s="433">
        <v>15.61</v>
      </c>
      <c r="M24" s="433">
        <v>15.26</v>
      </c>
      <c r="N24" s="348">
        <v>16.239999999999998</v>
      </c>
      <c r="O24" s="348">
        <v>16.739999999999998</v>
      </c>
      <c r="P24" s="348">
        <v>16.010000000000002</v>
      </c>
      <c r="Q24" s="348">
        <v>15.74</v>
      </c>
      <c r="R24" s="348">
        <v>15.53</v>
      </c>
      <c r="S24" s="348">
        <v>15.99</v>
      </c>
      <c r="T24" s="348">
        <v>15.55</v>
      </c>
      <c r="U24" s="348">
        <v>16.126584462111929</v>
      </c>
      <c r="V24" s="348">
        <v>15.95</v>
      </c>
      <c r="W24" s="348">
        <v>15.41</v>
      </c>
      <c r="X24" s="438">
        <v>14.322108625573501</v>
      </c>
    </row>
    <row r="25" spans="3:30" ht="13" customHeight="1">
      <c r="C25" s="66"/>
      <c r="D25" s="233"/>
      <c r="E25" s="11"/>
      <c r="F25" s="11"/>
      <c r="G25" s="49"/>
      <c r="H25" s="68"/>
      <c r="I25" s="68"/>
      <c r="J25" s="68"/>
      <c r="K25" s="68"/>
      <c r="L25" s="68"/>
      <c r="M25" s="68"/>
      <c r="T25" s="106"/>
      <c r="U25" s="106"/>
      <c r="V25" s="106"/>
      <c r="W25" s="106"/>
      <c r="X25" s="245"/>
    </row>
    <row r="26" spans="3:30" ht="13" customHeight="1">
      <c r="C26" s="8" t="str">
        <f>VLOOKUP(42,Textbausteine_403[],Hilfsgrössen!$D$2,FALSE)</f>
        <v>Costi legati agli infortuni</v>
      </c>
      <c r="D26" s="233"/>
      <c r="E26" s="11"/>
      <c r="F26" s="11"/>
      <c r="G26" s="49"/>
      <c r="H26" s="68"/>
      <c r="I26" s="68"/>
      <c r="J26" s="68"/>
      <c r="K26" s="68"/>
      <c r="L26" s="68"/>
      <c r="M26" s="68"/>
      <c r="T26" s="106"/>
      <c r="U26" s="106"/>
      <c r="V26" s="106"/>
      <c r="W26" s="106"/>
      <c r="X26" s="245"/>
    </row>
    <row r="27" spans="3:30" ht="13" customHeight="1">
      <c r="C27" s="15" t="str">
        <f>VLOOKUP(43,Textbausteine_403[],Hilfsgrössen!$D$2,FALSE)</f>
        <v>Infortuni professionali</v>
      </c>
      <c r="D27" s="66" t="str">
        <f>VLOOKUP(13,Textbausteine_403[],Hilfsgrössen!$D$2,FALSE)</f>
        <v>mln di CHF</v>
      </c>
      <c r="E27" s="11" t="s">
        <v>151</v>
      </c>
      <c r="F27" s="11" t="s">
        <v>149</v>
      </c>
      <c r="G27" s="49"/>
      <c r="H27" s="238">
        <v>47.375999999999998</v>
      </c>
      <c r="I27" s="238">
        <v>43.762161599999999</v>
      </c>
      <c r="J27" s="238">
        <v>41.414052599999991</v>
      </c>
      <c r="K27" s="235">
        <v>37.4</v>
      </c>
      <c r="L27" s="239">
        <v>42.8</v>
      </c>
      <c r="M27" s="176">
        <v>44.2</v>
      </c>
      <c r="N27" s="106">
        <v>51.1</v>
      </c>
      <c r="O27" s="106">
        <v>47</v>
      </c>
      <c r="P27" s="106">
        <v>49.4</v>
      </c>
      <c r="Q27" s="106">
        <v>45.47</v>
      </c>
      <c r="R27" s="106">
        <v>39.4</v>
      </c>
      <c r="S27" s="106">
        <v>38.340000000000003</v>
      </c>
      <c r="T27" s="106">
        <v>16.7</v>
      </c>
      <c r="U27" s="106">
        <v>17.8</v>
      </c>
      <c r="V27" s="106">
        <v>16.14</v>
      </c>
      <c r="W27" s="106">
        <v>16.600000000000001</v>
      </c>
      <c r="X27" s="245">
        <v>15.907044792718063</v>
      </c>
    </row>
    <row r="28" spans="3:30" ht="13" customHeight="1">
      <c r="C28" s="15" t="str">
        <f>VLOOKUP(44,Textbausteine_403[],Hilfsgrössen!$D$2,FALSE)</f>
        <v>Infortuni non professionali</v>
      </c>
      <c r="D28" s="66" t="str">
        <f>VLOOKUP(13,Textbausteine_403[],Hilfsgrössen!$D$2,FALSE)</f>
        <v>mln di CHF</v>
      </c>
      <c r="E28" s="11" t="s">
        <v>151</v>
      </c>
      <c r="F28" s="11" t="s">
        <v>149</v>
      </c>
      <c r="G28" s="49"/>
      <c r="H28" s="238">
        <v>47.375999999999998</v>
      </c>
      <c r="I28" s="238">
        <v>43.762161599999999</v>
      </c>
      <c r="J28" s="238">
        <v>41.414052599999991</v>
      </c>
      <c r="K28" s="238">
        <v>37.4</v>
      </c>
      <c r="L28" s="239">
        <v>37.299999999999997</v>
      </c>
      <c r="M28" s="176">
        <v>36.4</v>
      </c>
      <c r="N28" s="106">
        <v>38.700000000000003</v>
      </c>
      <c r="O28" s="106">
        <v>39.6</v>
      </c>
      <c r="P28" s="106">
        <v>38.299999999999997</v>
      </c>
      <c r="Q28" s="106">
        <v>37.29</v>
      </c>
      <c r="R28" s="106">
        <v>36.200000000000003</v>
      </c>
      <c r="S28" s="106">
        <v>35.424900000000001</v>
      </c>
      <c r="T28" s="106">
        <v>40</v>
      </c>
      <c r="U28" s="106">
        <v>40.4</v>
      </c>
      <c r="V28" s="106">
        <v>38.869999999999997</v>
      </c>
      <c r="W28" s="106">
        <v>36.5</v>
      </c>
      <c r="X28" s="245">
        <v>33.809901068110229</v>
      </c>
    </row>
    <row r="29" spans="3:30" ht="13" customHeight="1">
      <c r="C29" s="15" t="str">
        <f>VLOOKUP(45,Textbausteine_403[],Hilfsgrössen!$D$2,FALSE)</f>
        <v>Infortuni professionali e non professionali</v>
      </c>
      <c r="D29" s="66" t="str">
        <f>VLOOKUP(13,Textbausteine_403[],Hilfsgrössen!$D$2,FALSE)</f>
        <v>mln di CHF</v>
      </c>
      <c r="E29" s="11" t="s">
        <v>151</v>
      </c>
      <c r="F29" s="11" t="s">
        <v>149</v>
      </c>
      <c r="G29" s="49"/>
      <c r="H29" s="238">
        <v>94.751999999999995</v>
      </c>
      <c r="I29" s="238">
        <v>87.524323199999998</v>
      </c>
      <c r="J29" s="238">
        <v>82.828105199999982</v>
      </c>
      <c r="K29" s="238">
        <v>74.8</v>
      </c>
      <c r="L29" s="239">
        <v>80.099999999999994</v>
      </c>
      <c r="M29" s="239">
        <v>80.599999999999994</v>
      </c>
      <c r="N29" s="106">
        <v>89.800000000000011</v>
      </c>
      <c r="O29" s="106">
        <v>86.6</v>
      </c>
      <c r="P29" s="106">
        <v>87.699999999999989</v>
      </c>
      <c r="Q29" s="106">
        <v>82.759999999999991</v>
      </c>
      <c r="R29" s="106">
        <v>75.599999999999994</v>
      </c>
      <c r="S29" s="106">
        <v>73.764900000000011</v>
      </c>
      <c r="T29" s="106">
        <v>56.7</v>
      </c>
      <c r="U29" s="106">
        <v>58.2</v>
      </c>
      <c r="V29" s="106">
        <v>55.01</v>
      </c>
      <c r="W29" s="106">
        <v>53.1</v>
      </c>
      <c r="X29" s="245">
        <v>49.716945860828289</v>
      </c>
    </row>
    <row r="30" spans="3:30" ht="13" customHeight="1">
      <c r="C30" s="66"/>
      <c r="D30" s="233"/>
      <c r="E30" s="11"/>
      <c r="F30" s="13"/>
      <c r="G30" s="49"/>
      <c r="H30" s="68"/>
      <c r="I30" s="68"/>
      <c r="J30" s="68"/>
      <c r="K30" s="68"/>
      <c r="L30" s="68"/>
      <c r="M30" s="68"/>
      <c r="T30" s="106"/>
      <c r="U30" s="106"/>
      <c r="V30" s="106"/>
      <c r="W30" s="106"/>
      <c r="X30" s="245"/>
    </row>
    <row r="31" spans="3:30" ht="13" customHeight="1">
      <c r="C31" s="8" t="str">
        <f>VLOOKUP(46,Textbausteine_403[],Hilfsgrössen!$D$2,FALSE)</f>
        <v>Giorni di assenza dovuti a malattie e infortuni</v>
      </c>
      <c r="D31" s="233"/>
      <c r="E31" s="11"/>
      <c r="F31" s="11"/>
      <c r="G31" s="50"/>
      <c r="H31" s="70"/>
      <c r="I31" s="70"/>
      <c r="J31" s="70"/>
      <c r="K31" s="70"/>
      <c r="L31" s="70"/>
      <c r="M31" s="70"/>
      <c r="T31" s="106"/>
      <c r="U31" s="106"/>
      <c r="V31" s="106"/>
      <c r="W31" s="106"/>
      <c r="X31" s="245"/>
    </row>
    <row r="32" spans="3:30" ht="13" customHeight="1">
      <c r="C32" s="76" t="str">
        <f>VLOOKUP(47,Textbausteine_403[],Hilfsgrössen!$D$2,FALSE)</f>
        <v>Giorni di assenza per ragioni mediche</v>
      </c>
      <c r="D32" s="66" t="str">
        <f>VLOOKUP(14,Textbausteine_403[],Hilfsgrössen!$D$2,FALSE)</f>
        <v>Giorni di assenza per persona</v>
      </c>
      <c r="E32" s="11" t="s">
        <v>152</v>
      </c>
      <c r="F32" s="11" t="s">
        <v>149</v>
      </c>
      <c r="G32" s="49"/>
      <c r="H32" s="234">
        <v>12.46</v>
      </c>
      <c r="I32" s="234">
        <v>11.9</v>
      </c>
      <c r="J32" s="234">
        <v>11.41</v>
      </c>
      <c r="K32" s="234">
        <v>10.95</v>
      </c>
      <c r="L32" s="236">
        <v>10.69</v>
      </c>
      <c r="M32" s="236">
        <v>10.36</v>
      </c>
      <c r="N32" s="441">
        <v>10.54</v>
      </c>
      <c r="O32" s="441">
        <v>10.83</v>
      </c>
      <c r="P32" s="441">
        <v>11.01</v>
      </c>
      <c r="Q32" s="441">
        <v>11.59</v>
      </c>
      <c r="R32" s="441">
        <v>11.82</v>
      </c>
      <c r="S32" s="441">
        <v>12.36</v>
      </c>
      <c r="T32" s="441">
        <v>12.53</v>
      </c>
      <c r="U32" s="441">
        <v>12.85</v>
      </c>
      <c r="V32" s="441">
        <v>13.18</v>
      </c>
      <c r="W32" s="441">
        <v>13.26</v>
      </c>
      <c r="X32" s="442">
        <v>13.3440856684387</v>
      </c>
    </row>
    <row r="33" spans="2:24" ht="13" customHeight="1">
      <c r="C33" s="217" t="str">
        <f>VLOOKUP(48,Textbausteine_403[],Hilfsgrössen!$D$2,FALSE)</f>
        <v>Assenza breve</v>
      </c>
      <c r="D33" s="66" t="str">
        <f>VLOOKUP(14,Textbausteine_403[],Hilfsgrössen!$D$2,FALSE)</f>
        <v>Giorni di assenza per persona</v>
      </c>
      <c r="E33" s="11" t="s">
        <v>152</v>
      </c>
      <c r="F33" s="11" t="s">
        <v>149</v>
      </c>
      <c r="G33" s="49"/>
      <c r="H33" s="234">
        <v>1.27</v>
      </c>
      <c r="I33" s="234">
        <v>1.38</v>
      </c>
      <c r="J33" s="234">
        <v>1.34</v>
      </c>
      <c r="K33" s="234">
        <v>1.46</v>
      </c>
      <c r="L33" s="236">
        <v>1.54</v>
      </c>
      <c r="M33" s="236">
        <v>1.69</v>
      </c>
      <c r="N33" s="441">
        <v>1.54</v>
      </c>
      <c r="O33" s="441">
        <v>1.58</v>
      </c>
      <c r="P33" s="441">
        <v>1.58</v>
      </c>
      <c r="Q33" s="441">
        <v>1.7027223666216518</v>
      </c>
      <c r="R33" s="441">
        <v>1.56</v>
      </c>
      <c r="S33" s="441">
        <v>1.7</v>
      </c>
      <c r="T33" s="441">
        <v>1.7</v>
      </c>
      <c r="U33" s="441">
        <v>1.66</v>
      </c>
      <c r="V33" s="441">
        <v>1.74</v>
      </c>
      <c r="W33" s="441">
        <v>1.8</v>
      </c>
      <c r="X33" s="442">
        <v>1.4077147417077001</v>
      </c>
    </row>
    <row r="34" spans="2:24" ht="13" customHeight="1">
      <c r="C34" s="217" t="str">
        <f>VLOOKUP(49,Textbausteine_403[],Hilfsgrössen!$D$2,FALSE)</f>
        <v>Malattia</v>
      </c>
      <c r="D34" s="66" t="str">
        <f>VLOOKUP(14,Textbausteine_403[],Hilfsgrössen!$D$2,FALSE)</f>
        <v>Giorni di assenza per persona</v>
      </c>
      <c r="E34" s="11" t="s">
        <v>152</v>
      </c>
      <c r="F34" s="13" t="s">
        <v>149</v>
      </c>
      <c r="G34" s="49"/>
      <c r="H34" s="234">
        <v>8.23</v>
      </c>
      <c r="I34" s="234">
        <v>7.71</v>
      </c>
      <c r="J34" s="234">
        <v>7.34</v>
      </c>
      <c r="K34" s="234">
        <v>7.03</v>
      </c>
      <c r="L34" s="236">
        <v>6.87</v>
      </c>
      <c r="M34" s="236">
        <v>6.31</v>
      </c>
      <c r="N34" s="441">
        <v>6.56</v>
      </c>
      <c r="O34" s="441">
        <v>6.87</v>
      </c>
      <c r="P34" s="441">
        <v>7.02</v>
      </c>
      <c r="Q34" s="441">
        <v>7.3864796161702015</v>
      </c>
      <c r="R34" s="441">
        <v>7.88</v>
      </c>
      <c r="S34" s="441">
        <v>8.1</v>
      </c>
      <c r="T34" s="441">
        <v>8.3699999999999992</v>
      </c>
      <c r="U34" s="441">
        <v>8.75</v>
      </c>
      <c r="V34" s="441">
        <v>8.9</v>
      </c>
      <c r="W34" s="441">
        <v>8.94</v>
      </c>
      <c r="X34" s="442">
        <v>9.3546874219152407</v>
      </c>
    </row>
    <row r="35" spans="2:24" ht="13" customHeight="1">
      <c r="C35" s="217" t="str">
        <f>VLOOKUP(50,Textbausteine_403[],Hilfsgrössen!$D$2,FALSE)</f>
        <v>Infortunio professionale</v>
      </c>
      <c r="D35" s="66" t="str">
        <f>VLOOKUP(14,Textbausteine_403[],Hilfsgrössen!$D$2,FALSE)</f>
        <v>Giorni di assenza per persona</v>
      </c>
      <c r="E35" s="11" t="s">
        <v>152</v>
      </c>
      <c r="F35" s="13" t="s">
        <v>149</v>
      </c>
      <c r="G35" s="50"/>
      <c r="H35" s="234">
        <v>0.89</v>
      </c>
      <c r="I35" s="234">
        <v>0.85</v>
      </c>
      <c r="J35" s="234">
        <v>0.86</v>
      </c>
      <c r="K35" s="234">
        <v>0.69</v>
      </c>
      <c r="L35" s="236">
        <v>0.71</v>
      </c>
      <c r="M35" s="236">
        <v>0.78</v>
      </c>
      <c r="N35" s="441">
        <v>0.89</v>
      </c>
      <c r="O35" s="441">
        <v>0.8</v>
      </c>
      <c r="P35" s="441">
        <v>0.82</v>
      </c>
      <c r="Q35" s="441">
        <v>0.80571355007129164</v>
      </c>
      <c r="R35" s="441">
        <v>0.66</v>
      </c>
      <c r="S35" s="441">
        <v>0.8</v>
      </c>
      <c r="T35" s="441">
        <v>0.82</v>
      </c>
      <c r="U35" s="441">
        <v>0.84</v>
      </c>
      <c r="V35" s="441">
        <v>0.86</v>
      </c>
      <c r="W35" s="441">
        <v>0.85</v>
      </c>
      <c r="X35" s="442">
        <v>0.94783599418187003</v>
      </c>
    </row>
    <row r="36" spans="2:24" ht="13" customHeight="1">
      <c r="C36" s="217" t="str">
        <f>VLOOKUP(51,Textbausteine_403[],Hilfsgrössen!$D$2,FALSE)</f>
        <v>Infortunio non professionale</v>
      </c>
      <c r="D36" s="66" t="str">
        <f>VLOOKUP(14,Textbausteine_403[],Hilfsgrössen!$D$2,FALSE)</f>
        <v>Giorni di assenza per persona</v>
      </c>
      <c r="E36" s="11" t="s">
        <v>152</v>
      </c>
      <c r="F36" s="11" t="s">
        <v>149</v>
      </c>
      <c r="G36" s="50"/>
      <c r="H36" s="234">
        <v>2.0699999999999998</v>
      </c>
      <c r="I36" s="234">
        <v>1.96</v>
      </c>
      <c r="J36" s="234">
        <v>1.87</v>
      </c>
      <c r="K36" s="235">
        <v>1.77</v>
      </c>
      <c r="L36" s="176">
        <v>1.57</v>
      </c>
      <c r="M36" s="176">
        <v>1.58</v>
      </c>
      <c r="N36" s="106">
        <v>1.55</v>
      </c>
      <c r="O36" s="106">
        <v>1.6</v>
      </c>
      <c r="P36" s="106">
        <v>1.6</v>
      </c>
      <c r="Q36" s="106">
        <v>1.6920094658812532</v>
      </c>
      <c r="R36" s="106">
        <v>1.71</v>
      </c>
      <c r="S36" s="106">
        <v>1.75</v>
      </c>
      <c r="T36" s="106">
        <v>1.65</v>
      </c>
      <c r="U36" s="106">
        <v>1.6</v>
      </c>
      <c r="V36" s="106">
        <v>1.68</v>
      </c>
      <c r="W36" s="106">
        <v>1.67</v>
      </c>
      <c r="X36" s="245">
        <v>1.6338475106338699</v>
      </c>
    </row>
    <row r="37" spans="2:24" ht="13" customHeight="1">
      <c r="C37" s="76" t="str">
        <f>VLOOKUP(52,Textbausteine_403[],Hilfsgrössen!$D$2,FALSE)</f>
        <v>Giorni di assenza</v>
      </c>
      <c r="D37" s="66" t="str">
        <f>VLOOKUP(15,Textbausteine_403[],Hilfsgrössen!$D$2,FALSE)</f>
        <v>Giorni all'anno</v>
      </c>
      <c r="E37" s="11" t="s">
        <v>152</v>
      </c>
      <c r="F37" s="11" t="s">
        <v>149</v>
      </c>
      <c r="G37" s="49"/>
      <c r="H37" s="240">
        <v>480097</v>
      </c>
      <c r="I37" s="240">
        <v>439975</v>
      </c>
      <c r="J37" s="240">
        <v>411575</v>
      </c>
      <c r="K37" s="240">
        <v>380052</v>
      </c>
      <c r="L37" s="241">
        <v>373709</v>
      </c>
      <c r="M37" s="241">
        <v>361782</v>
      </c>
      <c r="N37" s="106">
        <v>365273</v>
      </c>
      <c r="O37" s="106">
        <v>376546</v>
      </c>
      <c r="P37" s="106">
        <v>379940</v>
      </c>
      <c r="Q37" s="106">
        <v>391090.99119047617</v>
      </c>
      <c r="R37" s="106">
        <v>394906</v>
      </c>
      <c r="S37" s="106">
        <v>409737</v>
      </c>
      <c r="T37" s="106">
        <v>417145</v>
      </c>
      <c r="U37" s="106">
        <v>416269</v>
      </c>
      <c r="V37" s="106">
        <v>415111</v>
      </c>
      <c r="W37" s="106">
        <v>412579</v>
      </c>
      <c r="X37" s="245">
        <v>414296.22857142898</v>
      </c>
    </row>
    <row r="38" spans="2:24" ht="13" customHeight="1">
      <c r="C38" s="217" t="str">
        <f>VLOOKUP(53,Textbausteine_403[],Hilfsgrössen!$D$2,FALSE)</f>
        <v>Costi salariali dovuti alle assenze</v>
      </c>
      <c r="D38" s="66" t="str">
        <f>VLOOKUP(13,Textbausteine_403[],Hilfsgrössen!$D$2,FALSE)</f>
        <v>mln di CHF</v>
      </c>
      <c r="E38" s="11" t="s">
        <v>152</v>
      </c>
      <c r="F38" s="13" t="s">
        <v>149</v>
      </c>
      <c r="G38" s="49"/>
      <c r="H38" s="235">
        <v>129.69999999999999</v>
      </c>
      <c r="I38" s="235">
        <v>126.3</v>
      </c>
      <c r="J38" s="235">
        <v>121.4</v>
      </c>
      <c r="K38" s="238">
        <v>115</v>
      </c>
      <c r="L38" s="176">
        <v>118.5</v>
      </c>
      <c r="M38" s="176">
        <v>117.6</v>
      </c>
      <c r="N38" s="106">
        <v>121.3</v>
      </c>
      <c r="O38" s="106">
        <v>124.2</v>
      </c>
      <c r="P38" s="106">
        <v>127.3</v>
      </c>
      <c r="Q38" s="106">
        <v>132.27313689290401</v>
      </c>
      <c r="R38" s="106">
        <v>134</v>
      </c>
      <c r="S38" s="106">
        <v>139.30000000000001</v>
      </c>
      <c r="T38" s="106">
        <v>138.30000000000001</v>
      </c>
      <c r="U38" s="106">
        <v>139.4</v>
      </c>
      <c r="V38" s="106">
        <v>139.4</v>
      </c>
      <c r="W38" s="106">
        <v>138</v>
      </c>
      <c r="X38" s="245">
        <v>141</v>
      </c>
    </row>
    <row r="39" spans="2:24" ht="13" customHeight="1">
      <c r="C39" s="66"/>
      <c r="D39" s="233"/>
      <c r="E39" s="13"/>
      <c r="F39" s="13"/>
      <c r="G39" s="50"/>
      <c r="H39" s="68"/>
      <c r="I39" s="68"/>
      <c r="J39" s="68"/>
      <c r="K39" s="68"/>
      <c r="L39" s="68"/>
      <c r="M39" s="68"/>
      <c r="T39" s="106"/>
      <c r="U39" s="106"/>
      <c r="V39" s="106"/>
      <c r="W39" s="106"/>
      <c r="X39" s="245"/>
    </row>
    <row r="40" spans="2:24" ht="13" customHeight="1">
      <c r="C40" s="225" t="str">
        <f>VLOOKUP(54,Textbausteine_403[],Hilfsgrössen!$D$2,FALSE)</f>
        <v>Rappresentanti nella commissione del personale per il controllo della sicurezza sul lavoro e protezione della salute</v>
      </c>
      <c r="D40" s="66"/>
      <c r="E40" s="13"/>
      <c r="F40" s="11"/>
      <c r="G40" s="50"/>
      <c r="H40" s="68"/>
      <c r="I40" s="68"/>
      <c r="J40" s="68"/>
      <c r="K40" s="68"/>
      <c r="L40" s="68"/>
      <c r="M40" s="68"/>
      <c r="T40" s="106"/>
      <c r="U40" s="106"/>
      <c r="V40" s="106"/>
      <c r="W40" s="106"/>
      <c r="X40" s="245"/>
    </row>
    <row r="41" spans="2:24" ht="13" customHeight="1">
      <c r="C41" s="19" t="str">
        <f>VLOOKUP(55,Textbausteine_403[],Hilfsgrössen!$D$2,FALSE)</f>
        <v>Rappresentanti nella commissione del personale</v>
      </c>
      <c r="D41" s="18" t="str">
        <f>VLOOKUP(11,Textbausteine_403[],Hilfsgrössen!$D$2,FALSE)</f>
        <v>numero ogni 100 unità di personale</v>
      </c>
      <c r="E41" s="13" t="s">
        <v>153</v>
      </c>
      <c r="F41" s="11" t="s">
        <v>154</v>
      </c>
      <c r="G41" s="49"/>
      <c r="H41" s="68" t="s">
        <v>30</v>
      </c>
      <c r="I41" s="68" t="s">
        <v>30</v>
      </c>
      <c r="J41" s="68" t="s">
        <v>30</v>
      </c>
      <c r="K41" s="68" t="s">
        <v>30</v>
      </c>
      <c r="L41" s="68" t="s">
        <v>30</v>
      </c>
      <c r="M41" s="68" t="s">
        <v>30</v>
      </c>
      <c r="N41" s="68" t="s">
        <v>30</v>
      </c>
      <c r="O41" s="68" t="s">
        <v>30</v>
      </c>
      <c r="P41" s="106">
        <v>0.23</v>
      </c>
      <c r="Q41" s="106">
        <v>0.24</v>
      </c>
      <c r="R41" s="106">
        <v>0.24</v>
      </c>
      <c r="S41" s="106">
        <v>0.24</v>
      </c>
      <c r="T41" s="106" t="s">
        <v>30</v>
      </c>
      <c r="U41" s="106" t="s">
        <v>30</v>
      </c>
      <c r="V41" s="106" t="s">
        <v>30</v>
      </c>
      <c r="W41" s="106" t="s">
        <v>30</v>
      </c>
      <c r="X41" s="245" t="s">
        <v>30</v>
      </c>
    </row>
    <row r="42" spans="2:24" ht="13" customHeight="1">
      <c r="E42" s="13"/>
      <c r="F42" s="11"/>
      <c r="G42" s="49"/>
      <c r="H42" s="68"/>
      <c r="I42" s="68"/>
      <c r="J42" s="68"/>
      <c r="K42" s="68"/>
      <c r="L42" s="68"/>
      <c r="M42" s="68"/>
      <c r="T42" s="106"/>
      <c r="U42" s="106"/>
      <c r="V42" s="106"/>
      <c r="W42" s="106"/>
      <c r="X42" s="106"/>
    </row>
    <row r="43" spans="2:24" ht="13" customHeight="1">
      <c r="B43" s="26" t="str">
        <f>VLOOKUP(131,Textbausteine_403[],Hilfsgrössen!$D$2,FALSE)</f>
        <v>1) Un'unità di personale corrisponde a un impiego a tempo pieno.</v>
      </c>
      <c r="E43" s="13"/>
      <c r="F43" s="11"/>
      <c r="G43" s="49"/>
      <c r="H43" s="68"/>
      <c r="I43" s="68"/>
      <c r="J43" s="68"/>
      <c r="K43" s="68"/>
      <c r="L43" s="68"/>
      <c r="M43" s="68"/>
      <c r="T43" s="106"/>
      <c r="U43" s="106"/>
      <c r="V43" s="106"/>
      <c r="W43" s="106"/>
      <c r="X43" s="106"/>
    </row>
    <row r="44" spans="2:24" ht="13" customHeight="1">
      <c r="B44" s="26" t="str">
        <f>VLOOKUP(132,Textbausteine_403[],Hilfsgrössen!$D$2,FALSE)</f>
        <v>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v>
      </c>
      <c r="E44" s="11"/>
      <c r="F44" s="11"/>
      <c r="G44" s="49"/>
      <c r="H44" s="68"/>
      <c r="I44" s="68"/>
      <c r="J44" s="68"/>
      <c r="K44" s="68"/>
      <c r="L44" s="68"/>
      <c r="M44" s="68"/>
      <c r="T44" s="106"/>
      <c r="U44" s="106"/>
      <c r="V44" s="106"/>
      <c r="W44" s="106"/>
      <c r="X44" s="106"/>
    </row>
    <row r="45" spans="2:24" ht="13" customHeight="1">
      <c r="B45" s="26" t="str">
        <f>VLOOKUP(133,Textbausteine_403[],Hilfsgrössen!$D$2,FALSE)</f>
        <v>3) Escluso il personale in formazione</v>
      </c>
      <c r="E45" s="11"/>
      <c r="F45" s="13"/>
      <c r="G45" s="49"/>
      <c r="H45" s="68"/>
      <c r="I45" s="68"/>
      <c r="J45" s="68"/>
      <c r="K45" s="68"/>
      <c r="L45" s="68"/>
      <c r="M45" s="68"/>
      <c r="T45" s="106"/>
      <c r="U45" s="106"/>
      <c r="V45" s="106"/>
      <c r="W45" s="106"/>
      <c r="X45" s="106"/>
    </row>
    <row r="46" spans="2:24" ht="13" customHeight="1">
      <c r="B46" s="26" t="str">
        <f>VLOOKUP(134,Textbausteine_403[],Hilfsgrössen!$D$2,FALSE)</f>
        <v>4) Dall'anno 2012 Swiss Post International non è più un segmento a sé stante. Dal 1o gennaio 2012 i valori sono stati trasferiti alle unità PostMail e PostLogistics.</v>
      </c>
      <c r="E46" s="11"/>
      <c r="F46" s="11"/>
      <c r="G46" s="50"/>
      <c r="H46" s="68"/>
      <c r="I46" s="68"/>
      <c r="J46" s="68"/>
      <c r="K46" s="68"/>
      <c r="L46" s="68"/>
      <c r="M46" s="68"/>
      <c r="T46" s="106"/>
      <c r="U46" s="106"/>
      <c r="V46" s="106"/>
      <c r="W46" s="106"/>
      <c r="X46" s="106"/>
    </row>
    <row r="47" spans="2:24" ht="13" customHeight="1">
      <c r="B47" s="26" t="str">
        <f>VLOOKUP(135,Textbausteine_403[],Hilfsgrössen!$D$2,FALSE)</f>
        <v>5) Poiché l'unità del gruppo Swiss Post Solutions esiste solo dal 1o ottobre 2007, non è possibile indicare nessun valore per gli anni precedenti.</v>
      </c>
      <c r="E47" s="11"/>
      <c r="F47" s="11"/>
      <c r="G47" s="49"/>
      <c r="H47" s="68"/>
      <c r="I47" s="68"/>
      <c r="J47" s="68"/>
      <c r="K47" s="68"/>
      <c r="L47" s="68"/>
      <c r="M47" s="68"/>
      <c r="T47" s="106"/>
      <c r="U47" s="106"/>
      <c r="V47" s="106"/>
      <c r="W47" s="106"/>
      <c r="X47" s="106"/>
    </row>
    <row r="48" spans="2:24" ht="13" customHeight="1">
      <c r="B48" s="26" t="str">
        <f>VLOOKUP(136,Textbausteine_403[],Hilfsgrössen!$D$2,FALSE)</f>
        <v>6) Le spese sono calcolate sulla base dei costi medi per caso. Numero degli infortuni professionali e degli infortuni minori moltiplicato per i costi medi degli infortuni secondo i calcoli della SUVA.</v>
      </c>
      <c r="E48" s="11"/>
      <c r="F48" s="13"/>
      <c r="G48" s="49"/>
      <c r="H48" s="68"/>
      <c r="I48" s="68"/>
      <c r="J48" s="68"/>
      <c r="K48" s="68"/>
      <c r="L48" s="68"/>
      <c r="M48" s="68"/>
      <c r="T48" s="106"/>
      <c r="U48" s="106"/>
      <c r="V48" s="106"/>
      <c r="W48" s="106"/>
      <c r="X48" s="106"/>
    </row>
    <row r="49" spans="2:24" ht="13" customHeight="1">
      <c r="B49" s="26" t="str">
        <f>VLOOKUP(137,Textbausteine_403[],Hilfsgrössen!$D$2,FALSE)</f>
        <v>7)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v>
      </c>
      <c r="E49" s="11"/>
      <c r="F49" s="11"/>
      <c r="G49" s="50"/>
      <c r="H49" s="68"/>
      <c r="I49" s="68"/>
      <c r="J49" s="68"/>
      <c r="K49" s="68"/>
      <c r="L49" s="68"/>
      <c r="M49" s="68"/>
      <c r="T49" s="106"/>
      <c r="U49" s="106"/>
      <c r="V49" s="106"/>
      <c r="W49" s="106"/>
      <c r="X49" s="106"/>
    </row>
    <row r="50" spans="2:24" ht="13" customHeight="1">
      <c r="B50" s="26" t="str">
        <f>VLOOKUP(138,Textbausteine_403[],Hilfsgrössen!$D$2,FALSE)</f>
        <v>8) La commissione del personale è stata soppressa a decorrere dal 1o gennaio 2016.</v>
      </c>
      <c r="E50" s="11"/>
      <c r="F50" s="11"/>
      <c r="G50" s="49"/>
      <c r="H50" s="68"/>
      <c r="I50" s="68"/>
      <c r="J50" s="68"/>
      <c r="K50" s="68"/>
      <c r="L50" s="68"/>
      <c r="M50" s="68"/>
      <c r="T50" s="106"/>
      <c r="U50" s="106"/>
      <c r="V50" s="106"/>
      <c r="W50" s="106"/>
      <c r="X50" s="106"/>
    </row>
    <row r="51" spans="2:24" ht="13" customHeight="1">
      <c r="B51" s="26"/>
      <c r="E51" s="11"/>
      <c r="F51" s="11"/>
      <c r="G51" s="49"/>
      <c r="T51" s="106"/>
      <c r="U51" s="106"/>
      <c r="V51" s="106"/>
      <c r="W51" s="106"/>
      <c r="X51" s="106"/>
    </row>
    <row r="52" spans="2:24" ht="13" customHeight="1">
      <c r="E52" s="11"/>
      <c r="F52" s="11"/>
      <c r="G52" s="49"/>
      <c r="H52" s="112"/>
      <c r="I52" s="112"/>
      <c r="J52" s="112"/>
      <c r="K52" s="112"/>
      <c r="L52" s="112"/>
      <c r="M52" s="112"/>
      <c r="T52" s="106"/>
      <c r="U52" s="106"/>
      <c r="V52" s="106"/>
      <c r="W52" s="106"/>
      <c r="X52" s="106"/>
    </row>
    <row r="53" spans="2:24" ht="13" customHeight="1">
      <c r="E53" s="11"/>
      <c r="F53" s="11"/>
      <c r="G53" s="49"/>
      <c r="H53" s="68"/>
      <c r="I53" s="68"/>
      <c r="J53" s="68"/>
      <c r="K53" s="68"/>
      <c r="L53" s="68"/>
      <c r="M53" s="68"/>
      <c r="T53" s="106"/>
      <c r="U53" s="106"/>
      <c r="V53" s="106"/>
      <c r="W53" s="106"/>
      <c r="X53" s="106"/>
    </row>
    <row r="54" spans="2:24" ht="13" customHeight="1">
      <c r="E54" s="11"/>
      <c r="F54" s="11"/>
      <c r="G54" s="49"/>
      <c r="H54" s="68"/>
      <c r="I54" s="68"/>
      <c r="J54" s="68"/>
      <c r="K54" s="68"/>
      <c r="L54" s="68"/>
      <c r="M54" s="68"/>
      <c r="T54" s="106"/>
      <c r="U54" s="106"/>
      <c r="V54" s="106"/>
      <c r="W54" s="106"/>
      <c r="X54" s="106"/>
    </row>
    <row r="55" spans="2:24" ht="13" customHeight="1">
      <c r="E55" s="11"/>
      <c r="F55" s="11"/>
      <c r="G55" s="49"/>
      <c r="H55" s="68"/>
      <c r="I55" s="68"/>
      <c r="J55" s="68"/>
      <c r="K55" s="68"/>
      <c r="L55" s="68"/>
      <c r="M55" s="68"/>
      <c r="T55" s="106"/>
      <c r="U55" s="106"/>
      <c r="V55" s="106"/>
      <c r="W55" s="106"/>
      <c r="X55" s="106"/>
    </row>
    <row r="56" spans="2:24" ht="13" customHeight="1">
      <c r="E56" s="11"/>
      <c r="F56" s="11"/>
      <c r="G56" s="49"/>
      <c r="H56" s="68"/>
      <c r="I56" s="68"/>
      <c r="J56" s="68"/>
      <c r="K56" s="68"/>
      <c r="L56" s="68"/>
      <c r="M56" s="68"/>
      <c r="T56" s="106"/>
      <c r="U56" s="106"/>
      <c r="V56" s="106"/>
      <c r="W56" s="106"/>
      <c r="X56" s="106"/>
    </row>
    <row r="57" spans="2:24" ht="13" customHeight="1">
      <c r="E57" s="11"/>
      <c r="F57" s="11"/>
      <c r="G57" s="49"/>
      <c r="H57" s="68"/>
      <c r="I57" s="68"/>
      <c r="J57" s="68"/>
      <c r="K57" s="68"/>
      <c r="L57" s="68"/>
      <c r="M57" s="68"/>
      <c r="T57" s="106"/>
      <c r="U57" s="106"/>
      <c r="V57" s="106"/>
      <c r="W57" s="106"/>
      <c r="X57" s="106"/>
    </row>
    <row r="58" spans="2:24" ht="13" customHeight="1">
      <c r="E58" s="13"/>
      <c r="F58" s="11"/>
      <c r="G58" s="49"/>
      <c r="H58" s="68"/>
      <c r="I58" s="68"/>
      <c r="J58" s="68"/>
      <c r="K58" s="68"/>
      <c r="L58" s="68"/>
      <c r="M58" s="68"/>
      <c r="T58" s="106"/>
      <c r="U58" s="106"/>
      <c r="V58" s="106"/>
      <c r="W58" s="106"/>
      <c r="X58" s="106"/>
    </row>
    <row r="59" spans="2:24" ht="13" customHeight="1">
      <c r="E59" s="13"/>
      <c r="F59" s="11"/>
      <c r="G59" s="49"/>
      <c r="H59" s="68"/>
      <c r="I59" s="68"/>
      <c r="J59" s="68"/>
      <c r="K59" s="68"/>
      <c r="L59" s="68"/>
      <c r="M59" s="68"/>
      <c r="T59" s="106"/>
      <c r="U59" s="106"/>
      <c r="V59" s="106"/>
      <c r="W59" s="106"/>
      <c r="X59" s="106"/>
    </row>
    <row r="60" spans="2:24" ht="13" customHeight="1">
      <c r="E60" s="13"/>
      <c r="F60" s="11"/>
      <c r="G60" s="49"/>
      <c r="H60" s="68"/>
      <c r="I60" s="68"/>
      <c r="J60" s="68"/>
      <c r="K60" s="68"/>
      <c r="L60" s="68"/>
      <c r="M60" s="68"/>
      <c r="T60" s="106"/>
      <c r="U60" s="106"/>
      <c r="V60" s="106"/>
      <c r="W60" s="106"/>
      <c r="X60" s="106"/>
    </row>
    <row r="61" spans="2:24" ht="13" customHeight="1">
      <c r="E61" s="11"/>
      <c r="F61" s="11"/>
      <c r="G61" s="49"/>
      <c r="H61" s="68"/>
      <c r="I61" s="68"/>
      <c r="J61" s="68"/>
      <c r="K61" s="68"/>
      <c r="L61" s="68"/>
      <c r="M61" s="68"/>
      <c r="T61" s="106"/>
      <c r="U61" s="106"/>
      <c r="V61" s="106"/>
      <c r="W61" s="106"/>
      <c r="X61" s="106"/>
    </row>
    <row r="62" spans="2:24" ht="13" customHeight="1">
      <c r="E62" s="11"/>
      <c r="F62" s="11"/>
      <c r="G62" s="49"/>
      <c r="H62" s="68"/>
      <c r="I62" s="68"/>
      <c r="J62" s="68"/>
      <c r="K62" s="68"/>
      <c r="L62" s="68"/>
      <c r="M62" s="68"/>
      <c r="T62" s="106"/>
      <c r="U62" s="106"/>
      <c r="V62" s="106"/>
      <c r="W62" s="106"/>
      <c r="X62" s="106"/>
    </row>
    <row r="63" spans="2:24" ht="13" customHeight="1">
      <c r="E63" s="41"/>
      <c r="F63" s="41"/>
      <c r="G63" s="49"/>
      <c r="H63" s="68"/>
      <c r="I63" s="68"/>
      <c r="J63" s="68"/>
      <c r="K63" s="68"/>
      <c r="L63" s="68"/>
      <c r="M63" s="68"/>
      <c r="T63" s="106"/>
      <c r="U63" s="106"/>
      <c r="V63" s="106"/>
      <c r="W63" s="106"/>
      <c r="X63" s="106"/>
    </row>
    <row r="64" spans="2:24" ht="13" customHeight="1">
      <c r="E64" s="41"/>
      <c r="F64" s="41"/>
      <c r="G64" s="51"/>
      <c r="H64" s="68"/>
      <c r="I64" s="68"/>
      <c r="J64" s="68"/>
      <c r="K64" s="68"/>
      <c r="L64" s="68"/>
      <c r="M64" s="68"/>
      <c r="T64" s="106"/>
      <c r="U64" s="106"/>
      <c r="V64" s="106"/>
      <c r="W64" s="106"/>
      <c r="X64" s="106"/>
    </row>
    <row r="65" spans="5:24" ht="13" customHeight="1">
      <c r="E65" s="41"/>
      <c r="F65" s="41"/>
      <c r="G65" s="51"/>
      <c r="H65" s="68"/>
      <c r="I65" s="68"/>
      <c r="J65" s="68"/>
      <c r="K65" s="68"/>
      <c r="L65" s="68"/>
      <c r="M65" s="68"/>
      <c r="T65" s="106"/>
      <c r="U65" s="106"/>
      <c r="V65" s="106"/>
      <c r="W65" s="106"/>
      <c r="X65" s="106"/>
    </row>
    <row r="66" spans="5:24" ht="13" customHeight="1">
      <c r="E66" s="42"/>
      <c r="F66" s="42"/>
      <c r="G66" s="51"/>
      <c r="H66" s="68"/>
      <c r="I66" s="68"/>
      <c r="J66" s="68"/>
      <c r="K66" s="68"/>
      <c r="L66" s="68"/>
      <c r="M66" s="68"/>
    </row>
    <row r="67" spans="5:24" ht="13" customHeight="1">
      <c r="E67" s="42"/>
      <c r="F67" s="42"/>
      <c r="G67" s="52"/>
      <c r="H67" s="68"/>
      <c r="I67" s="68"/>
      <c r="J67" s="68"/>
      <c r="K67" s="68"/>
      <c r="L67" s="68"/>
      <c r="M67" s="68"/>
    </row>
    <row r="68" spans="5:24" ht="13" customHeight="1">
      <c r="E68" s="43"/>
      <c r="F68" s="43"/>
      <c r="G68" s="52"/>
      <c r="H68" s="68"/>
      <c r="I68" s="68"/>
      <c r="J68" s="68"/>
      <c r="K68" s="68"/>
      <c r="L68" s="68"/>
      <c r="M68" s="68"/>
    </row>
    <row r="69" spans="5:24" ht="13" customHeight="1">
      <c r="G69" s="53"/>
      <c r="H69" s="68"/>
      <c r="I69" s="68"/>
      <c r="J69" s="68"/>
      <c r="K69" s="68"/>
      <c r="L69" s="68"/>
      <c r="M69" s="68"/>
    </row>
    <row r="72" spans="5:24" ht="13" customHeight="1">
      <c r="E72" s="40"/>
      <c r="F72" s="40"/>
    </row>
    <row r="73" spans="5:24" ht="13" customHeight="1">
      <c r="E73" s="40"/>
      <c r="F73" s="40"/>
      <c r="G73" s="48"/>
    </row>
    <row r="74" spans="5:24" ht="13" customHeight="1">
      <c r="E74" s="13"/>
      <c r="F74" s="11"/>
      <c r="G74" s="48"/>
      <c r="T74" s="118"/>
      <c r="U74" s="118"/>
      <c r="V74" s="118"/>
      <c r="W74" s="118"/>
      <c r="X74" s="118"/>
    </row>
    <row r="75" spans="5:24" ht="13" customHeight="1">
      <c r="E75" s="39"/>
      <c r="F75" s="39"/>
      <c r="G75" s="49"/>
      <c r="H75" s="70"/>
      <c r="I75" s="70"/>
      <c r="J75" s="70"/>
      <c r="K75" s="70"/>
      <c r="L75" s="70"/>
      <c r="M75" s="70"/>
      <c r="T75" s="118"/>
      <c r="U75" s="118"/>
      <c r="V75" s="118"/>
      <c r="W75" s="118"/>
      <c r="X75" s="118"/>
    </row>
    <row r="76" spans="5:24" ht="13" customHeight="1">
      <c r="E76" s="13"/>
      <c r="F76" s="11"/>
      <c r="G76" s="46"/>
      <c r="H76" s="70"/>
      <c r="I76" s="70"/>
      <c r="J76" s="70"/>
      <c r="K76" s="70"/>
      <c r="L76" s="70"/>
      <c r="M76" s="70"/>
    </row>
    <row r="77" spans="5:24" ht="13" customHeight="1">
      <c r="E77" s="13"/>
      <c r="F77" s="11"/>
      <c r="H77" s="70"/>
      <c r="I77" s="70"/>
      <c r="J77" s="70"/>
      <c r="K77" s="70"/>
      <c r="L77" s="70"/>
      <c r="M77" s="70"/>
      <c r="T77" s="106"/>
      <c r="U77" s="106"/>
      <c r="V77" s="106"/>
      <c r="W77" s="106"/>
      <c r="X77" s="106"/>
    </row>
    <row r="78" spans="5:24" ht="13" customHeight="1">
      <c r="E78" s="13"/>
      <c r="F78" s="11"/>
      <c r="H78" s="112"/>
      <c r="I78" s="112"/>
      <c r="J78" s="112"/>
      <c r="K78" s="112"/>
      <c r="L78" s="112"/>
      <c r="M78" s="112"/>
      <c r="T78" s="106"/>
      <c r="U78" s="106"/>
      <c r="V78" s="106"/>
      <c r="W78" s="106"/>
      <c r="X78" s="106"/>
    </row>
    <row r="79" spans="5:24" ht="13" customHeight="1">
      <c r="E79" s="13"/>
      <c r="F79" s="11"/>
      <c r="H79" s="113"/>
      <c r="I79" s="113"/>
      <c r="J79" s="113"/>
      <c r="K79" s="113"/>
      <c r="L79" s="113"/>
      <c r="M79" s="113"/>
      <c r="T79" s="106"/>
      <c r="U79" s="106"/>
      <c r="V79" s="106"/>
      <c r="W79" s="106"/>
      <c r="X79" s="106"/>
    </row>
    <row r="80" spans="5:24" ht="13" customHeight="1">
      <c r="E80" s="44"/>
      <c r="F80" s="44"/>
      <c r="T80" s="106"/>
      <c r="U80" s="106"/>
      <c r="V80" s="106"/>
      <c r="W80" s="106"/>
      <c r="X80" s="106"/>
    </row>
    <row r="81" spans="5:24" ht="13" customHeight="1">
      <c r="E81" s="44"/>
      <c r="F81" s="44"/>
      <c r="T81" s="106"/>
      <c r="U81" s="106"/>
      <c r="V81" s="106"/>
      <c r="W81" s="106"/>
      <c r="X81" s="106"/>
    </row>
    <row r="82" spans="5:24" ht="13" customHeight="1">
      <c r="E82" s="44"/>
      <c r="F82" s="44"/>
      <c r="H82" s="114"/>
      <c r="I82" s="114"/>
      <c r="J82" s="114"/>
      <c r="K82" s="114"/>
      <c r="L82" s="114"/>
      <c r="M82" s="114"/>
      <c r="T82" s="106"/>
      <c r="U82" s="106"/>
      <c r="V82" s="106"/>
      <c r="W82" s="106"/>
      <c r="X82" s="106"/>
    </row>
    <row r="83" spans="5:24" ht="13" customHeight="1">
      <c r="H83" s="114"/>
      <c r="I83" s="114"/>
      <c r="J83" s="114"/>
      <c r="K83" s="114"/>
      <c r="L83" s="114"/>
      <c r="M83" s="114"/>
      <c r="T83" s="106"/>
      <c r="U83" s="106"/>
      <c r="V83" s="106"/>
      <c r="W83" s="106"/>
      <c r="X83" s="106"/>
    </row>
    <row r="84" spans="5:24" ht="13" customHeight="1">
      <c r="H84" s="114"/>
      <c r="I84" s="114"/>
      <c r="J84" s="114"/>
      <c r="K84" s="114"/>
      <c r="L84" s="114"/>
      <c r="M84" s="114"/>
      <c r="T84" s="106"/>
      <c r="U84" s="106"/>
      <c r="V84" s="106"/>
      <c r="W84" s="106"/>
      <c r="X84" s="106"/>
    </row>
    <row r="85" spans="5:24" ht="13" customHeight="1">
      <c r="H85" s="114"/>
      <c r="I85" s="114"/>
      <c r="J85" s="114"/>
      <c r="K85" s="114"/>
      <c r="L85" s="114"/>
      <c r="M85" s="114"/>
      <c r="T85" s="118"/>
      <c r="U85" s="118"/>
      <c r="V85" s="118"/>
      <c r="W85" s="118"/>
      <c r="X85" s="118"/>
    </row>
    <row r="86" spans="5:24" ht="13" customHeight="1">
      <c r="H86" s="70"/>
      <c r="I86" s="70"/>
      <c r="J86" s="70"/>
      <c r="K86" s="70"/>
      <c r="L86" s="70"/>
      <c r="M86" s="70"/>
      <c r="T86" s="118"/>
      <c r="U86" s="118"/>
      <c r="V86" s="118"/>
      <c r="W86" s="118"/>
      <c r="X86" s="118"/>
    </row>
    <row r="87" spans="5:24" ht="13" customHeight="1">
      <c r="H87" s="70"/>
      <c r="I87" s="70"/>
      <c r="J87" s="70"/>
      <c r="K87" s="70"/>
      <c r="L87" s="70"/>
      <c r="M87" s="70"/>
    </row>
    <row r="88" spans="5:24" ht="13" customHeight="1">
      <c r="H88" s="70"/>
      <c r="I88" s="70"/>
      <c r="J88" s="70"/>
      <c r="K88" s="70"/>
      <c r="L88" s="70"/>
      <c r="M88" s="70"/>
    </row>
    <row r="89" spans="5:24" ht="13" customHeight="1">
      <c r="H89" s="112"/>
      <c r="I89" s="112"/>
      <c r="J89" s="112"/>
      <c r="K89" s="112"/>
      <c r="L89" s="112"/>
      <c r="M89" s="112"/>
    </row>
    <row r="90" spans="5:24" ht="13" customHeight="1">
      <c r="H90" s="112"/>
      <c r="I90" s="112"/>
      <c r="J90" s="112"/>
      <c r="K90" s="112"/>
      <c r="L90" s="112"/>
      <c r="M90" s="112"/>
      <c r="T90" s="106"/>
      <c r="U90" s="106"/>
      <c r="V90" s="106"/>
      <c r="W90" s="106"/>
      <c r="X90" s="106"/>
    </row>
    <row r="91" spans="5:24" ht="13" customHeight="1">
      <c r="T91" s="106"/>
      <c r="U91" s="106"/>
      <c r="V91" s="106"/>
      <c r="W91" s="106"/>
      <c r="X91" s="106"/>
    </row>
    <row r="92" spans="5:24" ht="13" customHeight="1">
      <c r="T92" s="106"/>
      <c r="U92" s="106"/>
      <c r="V92" s="106"/>
      <c r="W92" s="106"/>
      <c r="X92" s="106"/>
    </row>
    <row r="93" spans="5:24" ht="13" customHeight="1">
      <c r="T93" s="106"/>
      <c r="U93" s="106"/>
      <c r="V93" s="106"/>
      <c r="W93" s="106"/>
      <c r="X93" s="106"/>
    </row>
    <row r="94" spans="5:24" ht="13" customHeight="1">
      <c r="H94" s="114"/>
      <c r="I94" s="114"/>
      <c r="J94" s="114"/>
      <c r="K94" s="114"/>
      <c r="L94" s="114"/>
      <c r="M94" s="114"/>
      <c r="T94" s="106"/>
      <c r="U94" s="106"/>
      <c r="V94" s="106"/>
      <c r="W94" s="106"/>
      <c r="X94" s="106"/>
    </row>
    <row r="95" spans="5:24" ht="13" customHeight="1">
      <c r="H95" s="114"/>
      <c r="I95" s="114"/>
      <c r="J95" s="114"/>
      <c r="K95" s="114"/>
      <c r="L95" s="114"/>
      <c r="M95" s="114"/>
      <c r="T95" s="106"/>
      <c r="U95" s="106"/>
      <c r="V95" s="106"/>
      <c r="W95" s="106"/>
      <c r="X95" s="106"/>
    </row>
    <row r="96" spans="5:24" ht="13" customHeight="1">
      <c r="H96" s="114"/>
      <c r="I96" s="114"/>
      <c r="J96" s="114"/>
      <c r="K96" s="114"/>
      <c r="L96" s="114"/>
      <c r="M96" s="114"/>
      <c r="T96" s="106"/>
      <c r="U96" s="106"/>
      <c r="V96" s="106"/>
      <c r="W96" s="106"/>
      <c r="X96" s="106"/>
    </row>
    <row r="97" spans="7:24" ht="13" customHeight="1">
      <c r="H97" s="114"/>
      <c r="I97" s="114"/>
      <c r="J97" s="114"/>
      <c r="K97" s="114"/>
      <c r="L97" s="114"/>
      <c r="M97" s="114"/>
      <c r="T97" s="106"/>
      <c r="U97" s="106"/>
      <c r="V97" s="106"/>
      <c r="W97" s="106"/>
      <c r="X97" s="106"/>
    </row>
    <row r="98" spans="7:24" ht="13" customHeight="1">
      <c r="H98" s="114"/>
      <c r="I98" s="114"/>
      <c r="J98" s="114"/>
      <c r="K98" s="114"/>
      <c r="L98" s="114"/>
      <c r="M98" s="114"/>
      <c r="T98" s="106"/>
      <c r="U98" s="106"/>
      <c r="V98" s="106"/>
      <c r="W98" s="106"/>
      <c r="X98" s="106"/>
    </row>
    <row r="99" spans="7:24" ht="13" customHeight="1">
      <c r="G99" s="49"/>
      <c r="H99" s="114"/>
      <c r="I99" s="114"/>
      <c r="J99" s="114"/>
      <c r="K99" s="114"/>
      <c r="L99" s="114"/>
      <c r="M99" s="114"/>
      <c r="T99" s="106"/>
      <c r="U99" s="106"/>
      <c r="V99" s="106"/>
      <c r="W99" s="106"/>
      <c r="X99" s="106"/>
    </row>
    <row r="100" spans="7:24" ht="13" customHeight="1">
      <c r="G100" s="49"/>
      <c r="H100" s="114"/>
      <c r="I100" s="114"/>
      <c r="J100" s="114"/>
      <c r="K100" s="114"/>
      <c r="L100" s="114"/>
      <c r="M100" s="114"/>
      <c r="T100" s="106"/>
      <c r="U100" s="106"/>
      <c r="V100" s="106"/>
      <c r="W100" s="106"/>
      <c r="X100" s="106"/>
    </row>
    <row r="101" spans="7:24" ht="13" customHeight="1">
      <c r="G101" s="49"/>
      <c r="H101" s="114"/>
      <c r="I101" s="114"/>
      <c r="J101" s="114"/>
      <c r="K101" s="114"/>
      <c r="L101" s="114"/>
      <c r="M101" s="114"/>
      <c r="T101" s="106"/>
      <c r="U101" s="106"/>
      <c r="V101" s="106"/>
      <c r="W101" s="106"/>
      <c r="X101" s="106"/>
    </row>
    <row r="102" spans="7:24" ht="13" customHeight="1">
      <c r="G102" s="49"/>
      <c r="H102" s="114"/>
      <c r="I102" s="114"/>
      <c r="J102" s="114"/>
      <c r="K102" s="114"/>
      <c r="L102" s="114"/>
      <c r="M102" s="114"/>
      <c r="T102" s="106"/>
      <c r="U102" s="106"/>
      <c r="V102" s="106"/>
      <c r="W102" s="106"/>
      <c r="X102" s="106"/>
    </row>
    <row r="103" spans="7:24" ht="13" customHeight="1">
      <c r="G103" s="49"/>
      <c r="H103" s="114"/>
      <c r="I103" s="114"/>
      <c r="J103" s="114"/>
      <c r="K103" s="114"/>
      <c r="L103" s="114"/>
      <c r="M103" s="114"/>
      <c r="T103" s="106"/>
      <c r="U103" s="106"/>
      <c r="V103" s="106"/>
      <c r="W103" s="106"/>
      <c r="X103" s="106"/>
    </row>
    <row r="104" spans="7:24" ht="13" customHeight="1">
      <c r="G104" s="49"/>
      <c r="H104" s="114"/>
      <c r="I104" s="114"/>
      <c r="J104" s="114"/>
      <c r="K104" s="114"/>
      <c r="L104" s="114"/>
      <c r="M104" s="114"/>
      <c r="T104" s="106"/>
      <c r="U104" s="106"/>
      <c r="V104" s="106"/>
      <c r="W104" s="106"/>
      <c r="X104" s="106"/>
    </row>
    <row r="105" spans="7:24" ht="13" customHeight="1">
      <c r="G105" s="49"/>
      <c r="H105" s="114"/>
      <c r="I105" s="114"/>
      <c r="J105" s="114"/>
      <c r="K105" s="114"/>
      <c r="L105" s="114"/>
      <c r="M105" s="114"/>
      <c r="T105" s="106"/>
      <c r="U105" s="106"/>
      <c r="V105" s="106"/>
      <c r="W105" s="106"/>
      <c r="X105" s="106"/>
    </row>
    <row r="106" spans="7:24" ht="13" customHeight="1">
      <c r="H106" s="114"/>
      <c r="I106" s="114"/>
      <c r="J106" s="114"/>
      <c r="K106" s="114"/>
      <c r="L106" s="114"/>
      <c r="M106" s="114"/>
      <c r="T106" s="106"/>
      <c r="U106" s="106"/>
      <c r="V106" s="106"/>
      <c r="W106" s="106"/>
      <c r="X106" s="106"/>
    </row>
    <row r="107" spans="7:24" ht="13" customHeight="1">
      <c r="H107" s="114"/>
      <c r="I107" s="114"/>
      <c r="J107" s="114"/>
      <c r="K107" s="114"/>
      <c r="L107" s="114"/>
      <c r="M107" s="114"/>
      <c r="T107" s="106"/>
      <c r="U107" s="106"/>
      <c r="V107" s="106"/>
      <c r="W107" s="106"/>
      <c r="X107" s="106"/>
    </row>
    <row r="108" spans="7:24" ht="13" customHeight="1">
      <c r="H108" s="114"/>
      <c r="I108" s="114"/>
      <c r="J108" s="114"/>
      <c r="K108" s="114"/>
      <c r="L108" s="114"/>
      <c r="M108" s="114"/>
    </row>
    <row r="109" spans="7:24" ht="13" customHeight="1">
      <c r="H109" s="114"/>
      <c r="I109" s="114"/>
      <c r="J109" s="114"/>
      <c r="K109" s="114"/>
      <c r="L109" s="114"/>
      <c r="M109" s="114"/>
    </row>
    <row r="110" spans="7:24" ht="13" customHeight="1">
      <c r="H110" s="114"/>
      <c r="I110" s="114"/>
      <c r="J110" s="114"/>
      <c r="K110" s="114"/>
      <c r="L110" s="114"/>
      <c r="M110" s="114"/>
    </row>
    <row r="111" spans="7:24" ht="13" customHeight="1">
      <c r="G111" s="48"/>
      <c r="H111" s="114"/>
      <c r="I111" s="114"/>
      <c r="J111" s="114"/>
      <c r="K111" s="114"/>
      <c r="L111" s="114"/>
      <c r="M111" s="114"/>
    </row>
    <row r="112" spans="7:24" ht="13" customHeight="1">
      <c r="G112" s="48"/>
    </row>
    <row r="113" spans="7:24" ht="13" customHeight="1">
      <c r="G113" s="49"/>
    </row>
    <row r="114" spans="7:24" ht="13" customHeight="1">
      <c r="G114" s="46"/>
      <c r="T114" s="118"/>
      <c r="U114" s="118"/>
      <c r="V114" s="118"/>
      <c r="W114" s="118"/>
      <c r="X114" s="118"/>
    </row>
    <row r="115" spans="7:24" ht="13" customHeight="1">
      <c r="G115" s="49"/>
      <c r="T115" s="118"/>
      <c r="U115" s="118"/>
      <c r="V115" s="118"/>
      <c r="W115" s="118"/>
      <c r="X115" s="118"/>
    </row>
    <row r="116" spans="7:24" ht="13" customHeight="1">
      <c r="G116" s="49"/>
    </row>
    <row r="117" spans="7:24" ht="13" customHeight="1">
      <c r="G117" s="49"/>
    </row>
    <row r="118" spans="7:24" ht="13" customHeight="1">
      <c r="G118" s="49"/>
      <c r="H118" s="112"/>
      <c r="I118" s="112"/>
      <c r="J118" s="112"/>
      <c r="K118" s="112"/>
      <c r="L118" s="112"/>
      <c r="M118" s="112"/>
    </row>
    <row r="119" spans="7:24" ht="13" customHeight="1">
      <c r="G119" s="54"/>
      <c r="H119" s="112"/>
      <c r="I119" s="112"/>
      <c r="J119" s="112"/>
      <c r="K119" s="112"/>
      <c r="L119" s="112"/>
      <c r="M119" s="112"/>
      <c r="T119" s="139"/>
      <c r="U119" s="139"/>
      <c r="V119" s="139"/>
      <c r="W119" s="139"/>
      <c r="X119" s="139"/>
    </row>
    <row r="120" spans="7:24" ht="13" customHeight="1">
      <c r="G120" s="54"/>
      <c r="T120" s="139"/>
      <c r="U120" s="139"/>
      <c r="V120" s="139"/>
      <c r="W120" s="139"/>
      <c r="X120" s="139"/>
    </row>
    <row r="121" spans="7:24" ht="13" customHeight="1">
      <c r="G121" s="54"/>
      <c r="H121" s="7"/>
      <c r="I121" s="7"/>
      <c r="J121" s="7"/>
      <c r="K121" s="7"/>
      <c r="L121" s="7"/>
      <c r="M121" s="7"/>
      <c r="T121" s="139"/>
      <c r="U121" s="139"/>
      <c r="V121" s="139"/>
      <c r="W121" s="139"/>
      <c r="X121" s="139"/>
    </row>
    <row r="122" spans="7:24" ht="13" customHeight="1">
      <c r="T122" s="139"/>
      <c r="U122" s="139"/>
      <c r="V122" s="139"/>
      <c r="W122" s="139"/>
      <c r="X122" s="139"/>
    </row>
    <row r="123" spans="7:24" ht="13" customHeight="1">
      <c r="T123" s="139"/>
      <c r="U123" s="139"/>
      <c r="V123" s="139"/>
      <c r="W123" s="139"/>
      <c r="X123" s="139"/>
    </row>
    <row r="124" spans="7:24" ht="13" customHeight="1">
      <c r="T124" s="139"/>
      <c r="U124" s="139"/>
      <c r="V124" s="139"/>
      <c r="W124" s="139"/>
      <c r="X124" s="139"/>
    </row>
    <row r="125" spans="7:24" ht="13" customHeight="1">
      <c r="T125" s="139"/>
      <c r="U125" s="139"/>
      <c r="V125" s="139"/>
      <c r="W125" s="139"/>
      <c r="X125" s="139"/>
    </row>
    <row r="126" spans="7:24" ht="13" customHeight="1">
      <c r="T126" s="139"/>
      <c r="U126" s="139"/>
      <c r="V126" s="139"/>
      <c r="W126" s="139"/>
      <c r="X126" s="139"/>
    </row>
    <row r="140" spans="8:13" ht="13" customHeight="1">
      <c r="H140" s="112"/>
      <c r="I140" s="112"/>
      <c r="J140" s="112"/>
      <c r="K140" s="112"/>
      <c r="L140" s="112"/>
      <c r="M140" s="112"/>
    </row>
    <row r="141" spans="8:13" ht="13" customHeight="1">
      <c r="H141" s="113"/>
      <c r="I141" s="113"/>
      <c r="J141" s="113"/>
      <c r="K141" s="113"/>
      <c r="L141" s="113"/>
      <c r="M141" s="113"/>
    </row>
    <row r="144" spans="8:13" ht="13" customHeight="1">
      <c r="H144" s="114"/>
      <c r="I144" s="114"/>
      <c r="J144" s="114"/>
      <c r="K144" s="114"/>
      <c r="L144" s="114"/>
      <c r="M144" s="114"/>
    </row>
    <row r="145" spans="8:13" ht="13" customHeight="1">
      <c r="H145" s="114"/>
      <c r="I145" s="114"/>
      <c r="J145" s="114"/>
      <c r="K145" s="114"/>
      <c r="L145" s="114"/>
      <c r="M145" s="114"/>
    </row>
    <row r="146" spans="8:13" ht="13" customHeight="1">
      <c r="H146" s="114"/>
      <c r="I146" s="114"/>
      <c r="J146" s="114"/>
      <c r="K146" s="114"/>
      <c r="L146" s="114"/>
      <c r="M146" s="114"/>
    </row>
  </sheetData>
  <sheetProtection algorithmName="SHA-512" hashValue="gGv3sjZklJ2eptiqYkMjZrM/98nTymLu5JD1rm+I/kd+y7g2cvXtVFvQxY1R2PR+7rtpMX7BIuxN04K3ptWGJw==" saltValue="XPq4zpGi+tDnLaFOY0dUpg==" spinCount="100000" sheet="1" objects="1" scenarios="1"/>
  <mergeCells count="4">
    <mergeCell ref="B2:C2"/>
    <mergeCell ref="B3:C3"/>
    <mergeCell ref="B10:C11"/>
    <mergeCell ref="D2:E2"/>
  </mergeCells>
  <conditionalFormatting sqref="H10:CD14 H25:CD31 H23 Y15:CD24 H36:CD10000 Y32:CD35">
    <cfRule type="expression" dxfId="14" priority="6">
      <formula>AND($D10&lt;&gt;"",H$10&lt;&gt;"",H10="")</formula>
    </cfRule>
    <cfRule type="expression" dxfId="13" priority="7">
      <formula>AND($A10="",ABS(H10)=0)</formula>
    </cfRule>
    <cfRule type="expression" dxfId="12" priority="8">
      <formula>AND($A10="",ABS(H10)&lt;10)</formula>
    </cfRule>
    <cfRule type="expression" dxfId="11" priority="9">
      <formula>AND($A10="",ABS(H10)&lt;100)</formula>
    </cfRule>
    <cfRule type="expression" dxfId="10" priority="11">
      <formula>AND($A10="",ABS(H10)&gt;=100)</formula>
    </cfRule>
  </conditionalFormatting>
  <dataValidations count="2">
    <dataValidation type="list" allowBlank="1" showInputMessage="1" showErrorMessage="1" sqref="G2" xr:uid="{00000000-0002-0000-0800-000000000000}">
      <formula1>Sprache</formula1>
    </dataValidation>
    <dataValidation allowBlank="1" showInputMessage="1" showErrorMessage="1" sqref="F2" xr:uid="{00000000-0002-0000-0800-000001000000}"/>
  </dataValidations>
  <hyperlinks>
    <hyperlink ref="A10" location="GRI_403" display="Ó" xr:uid="{00000000-0004-0000-0800-000000000000}"/>
    <hyperlink ref="C7" location="GRI_403_2a" display="GRI_403_2a" xr:uid="{00000000-0004-0000-0800-000001000000}"/>
    <hyperlink ref="D2" location="Home" display="Home" xr:uid="{00000000-0004-0000-0800-000002000000}"/>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1185480-5d99-49c8-ac08-5b2d9481a24f">SPO1566-640659238-91882</_dlc_DocId>
    <_dlc_DocIdUrl xmlns="71185480-5d99-49c8-ac08-5b2d9481a24f">
      <Url>https://postchag.sharepoint.com/sites/corpdev/_layouts/15/DocIdRedir.aspx?ID=SPO1566-640659238-91882</Url>
      <Description>SPO1566-640659238-91882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B0D1BFC79D9EF4781D9E402C9FC5796" ma:contentTypeVersion="13" ma:contentTypeDescription="Ein neues Dokument erstellen." ma:contentTypeScope="" ma:versionID="d2f21d8946df8e52c76a91e284afcd98">
  <xsd:schema xmlns:xsd="http://www.w3.org/2001/XMLSchema" xmlns:xs="http://www.w3.org/2001/XMLSchema" xmlns:p="http://schemas.microsoft.com/office/2006/metadata/properties" xmlns:ns2="71185480-5d99-49c8-ac08-5b2d9481a24f" xmlns:ns3="e5237527-2ab6-4e81-b4e2-87959196660d" targetNamespace="http://schemas.microsoft.com/office/2006/metadata/properties" ma:root="true" ma:fieldsID="3bd5396730d02320c65883ab43c04f84" ns2:_="" ns3:_="">
    <xsd:import namespace="71185480-5d99-49c8-ac08-5b2d9481a24f"/>
    <xsd:import namespace="e5237527-2ab6-4e81-b4e2-87959196660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85480-5d99-49c8-ac08-5b2d9481a24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237527-2ab6-4e81-b4e2-87959196660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D1A4D-908C-4C8D-A93C-A7079C88D51F}">
  <ds:schemaRefs>
    <ds:schemaRef ds:uri="http://schemas.microsoft.com/office/2006/metadata/properties"/>
    <ds:schemaRef ds:uri="http://schemas.microsoft.com/office/infopath/2007/PartnerControls"/>
    <ds:schemaRef ds:uri="71185480-5d99-49c8-ac08-5b2d9481a24f"/>
  </ds:schemaRefs>
</ds:datastoreItem>
</file>

<file path=customXml/itemProps2.xml><?xml version="1.0" encoding="utf-8"?>
<ds:datastoreItem xmlns:ds="http://schemas.openxmlformats.org/officeDocument/2006/customXml" ds:itemID="{2BA8755F-6111-45E9-B806-9F1E2F344E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85480-5d99-49c8-ac08-5b2d9481a24f"/>
    <ds:schemaRef ds:uri="e5237527-2ab6-4e81-b4e2-8795919666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B95D1B-50C0-463F-A373-F92323A2E324}">
  <ds:schemaRefs>
    <ds:schemaRef ds:uri="http://schemas.microsoft.com/sharepoint/events"/>
  </ds:schemaRefs>
</ds:datastoreItem>
</file>

<file path=customXml/itemProps4.xml><?xml version="1.0" encoding="utf-8"?>
<ds:datastoreItem xmlns:ds="http://schemas.openxmlformats.org/officeDocument/2006/customXml" ds:itemID="{7295994D-B878-4CF6-9F32-27805F488E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13</vt:i4>
      </vt:variant>
      <vt:variant>
        <vt:lpstr>Benannte Bereiche</vt:lpstr>
      </vt:variant>
      <vt:variant>
        <vt:i4>55</vt:i4>
      </vt:variant>
    </vt:vector>
  </HeadingPairs>
  <TitlesOfParts>
    <vt:vector size="68" baseType="lpstr">
      <vt:lpstr>Inhaltsverzeichnis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Sprache</vt:lpstr>
    </vt:vector>
  </TitlesOfParts>
  <Manager/>
  <Company>POST CH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Saner Dominik, K CR2</dc:creator>
  <cp:keywords/>
  <dc:description/>
  <cp:lastModifiedBy>Microsoft Office User</cp:lastModifiedBy>
  <cp:revision/>
  <dcterms:created xsi:type="dcterms:W3CDTF">2017-09-13T11:36:15Z</dcterms:created>
  <dcterms:modified xsi:type="dcterms:W3CDTF">2021-03-08T16:42:01Z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y fmtid="{D5CDD505-2E9C-101B-9397-08002B2CF9AE}" pid="4" name="ContentTypeId">
    <vt:lpwstr>0x010100DB0D1BFC79D9EF4781D9E402C9FC5796</vt:lpwstr>
  </property>
  <property fmtid="{D5CDD505-2E9C-101B-9397-08002B2CF9AE}" pid="5" name="_dlc_DocIdItemGuid">
    <vt:lpwstr>be00f00c-a60a-43b2-87cc-365a63c23121</vt:lpwstr>
  </property>
</Properties>
</file>