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DieseArbeitsmappe"/>
  <mc:AlternateContent xmlns:mc="http://schemas.openxmlformats.org/markup-compatibility/2006">
    <mc:Choice Requires="x15">
      <x15ac:absPath xmlns:x15ac="http://schemas.microsoft.com/office/spreadsheetml/2010/11/ac" url="C:\Users\perrenpa\Desktop\"/>
    </mc:Choice>
  </mc:AlternateContent>
  <xr:revisionPtr revIDLastSave="0" documentId="8_{3B19FD33-5D7D-4926-8EDF-765178A4B9D1}" xr6:coauthVersionLast="47" xr6:coauthVersionMax="47" xr10:uidLastSave="{00000000-0000-0000-0000-000000000000}"/>
  <workbookProtection workbookAlgorithmName="SHA-512" workbookHashValue="mT4++ds5CqWlzLmjehgyEoht0u//QBIBrECAml0Zd+B9XdJUipc37xDaL+J5AoeJNkcyWLinchQ15jAtlXWQsA==" workbookSaltValue="sZSrxU9Z6Zbw+/0gHAICbg==" workbookSpinCount="100000" lockStructure="1"/>
  <bookViews>
    <workbookView xWindow="-120" yWindow="-120" windowWidth="29040" windowHeight="15840" tabRatio="754" xr2:uid="{00000000-000D-0000-FFFF-FFFF00000000}"/>
  </bookViews>
  <sheets>
    <sheet name="Inhaltsverzeichnis" sheetId="2" r:id="rId1"/>
    <sheet name="102" sheetId="13" r:id="rId2"/>
    <sheet name="201" sheetId="1" r:id="rId3"/>
    <sheet name="202" sheetId="3" r:id="rId4"/>
    <sheet name="203" sheetId="4" r:id="rId5"/>
    <sheet name="302" sheetId="10" r:id="rId6"/>
    <sheet name="305" sheetId="11" r:id="rId7"/>
    <sheet name="401" sheetId="12" r:id="rId8"/>
    <sheet name="403" sheetId="14" r:id="rId9"/>
    <sheet name="404" sheetId="16" r:id="rId10"/>
    <sheet name="405" sheetId="15" r:id="rId11"/>
    <sheet name="Hilfsgrössen" sheetId="5" state="hidden" r:id="rId12"/>
    <sheet name="Textbausteine" sheetId="6" state="hidden" r:id="rId13"/>
  </sheets>
  <definedNames>
    <definedName name="_xlnm._FilterDatabase" localSheetId="0" hidden="1">Inhaltsverzeichnis!$E$6:$F$40</definedName>
    <definedName name="GRI_102">'102'!$B$3</definedName>
    <definedName name="GRI_102_43a">'102'!$B$335</definedName>
    <definedName name="GRI_102_6a">'102'!$B$20</definedName>
    <definedName name="GRI_102_7a">'102'!$B$46</definedName>
    <definedName name="GRI_102_7b">'102'!$B$58</definedName>
    <definedName name="GRI_102_7c">'102'!$B$73</definedName>
    <definedName name="GRI_102_7d">'102'!$B$189</definedName>
    <definedName name="GRI_102_7e">'102'!$B$335</definedName>
    <definedName name="GRI_102_8a">'102'!$B$210</definedName>
    <definedName name="GRI_102_8b">'102'!$B$248</definedName>
    <definedName name="GRI_102_8c">'102'!$B$262</definedName>
    <definedName name="GRI_102_8d">'102'!$B$292</definedName>
    <definedName name="GRI_102_9a">'102'!$B$323</definedName>
    <definedName name="GRI_201">'201'!$B$3</definedName>
    <definedName name="GRI_201_1a">'201'!$B$12</definedName>
    <definedName name="GRI_201_1b">'201'!$B$74</definedName>
    <definedName name="GRI_201_3">'201'!$B$111</definedName>
    <definedName name="GRI_202">'202'!$B$3</definedName>
    <definedName name="GRI_202_1">'202'!$B$10</definedName>
    <definedName name="GRI_203">'203'!$B$3</definedName>
    <definedName name="GRI_203_2">'203'!$B$16</definedName>
    <definedName name="GRI_203_2b">'203'!$B$39</definedName>
    <definedName name="GRI_203_2c">'203'!$B$58</definedName>
    <definedName name="GRI_203_2d">'203'!$B$139</definedName>
    <definedName name="GRI_203_2e">'203'!$B$216</definedName>
    <definedName name="GRI_203_2f">'203'!$B$231</definedName>
    <definedName name="GRI_203_2g">'203'!$B$243</definedName>
    <definedName name="GRI_302">'302'!$B$3</definedName>
    <definedName name="GRI_302_1">'302'!$B$11</definedName>
    <definedName name="GRI_302_2">'302'!$B$64</definedName>
    <definedName name="GRI_305">'305'!$B$3</definedName>
    <definedName name="GRI_305_1">'305'!$B$14</definedName>
    <definedName name="GRI_305_2">'305'!$B$73</definedName>
    <definedName name="GRI_305_3">'305'!$B$84</definedName>
    <definedName name="GRI_305_4">'305'!$B$93</definedName>
    <definedName name="GRI_305_6_7">'305'!$B$106</definedName>
    <definedName name="GRI_401">'401'!$B$3</definedName>
    <definedName name="GRI_401_1">'401'!$B$12</definedName>
    <definedName name="GRI_401_3">'401'!$B$53</definedName>
    <definedName name="GRI_401_a">'401'!$B$63</definedName>
    <definedName name="GRI_401a">'401'!$B$63</definedName>
    <definedName name="GRI_403">'403'!$B$3</definedName>
    <definedName name="GRI_403_2a">'403'!$B$10</definedName>
    <definedName name="GRI_404">'404'!$B$3</definedName>
    <definedName name="GRI_404_2a">'404'!$B$12</definedName>
    <definedName name="GRI_404_2b">'404'!$B$45</definedName>
    <definedName name="GRI_404_2c">'404'!$B$57:$C$58</definedName>
    <definedName name="GRI_405">'405'!$B$3</definedName>
    <definedName name="GRI_405_1">'405'!$B$13</definedName>
    <definedName name="GRI_405_1a">'405'!$B$13</definedName>
    <definedName name="GRI_405_1b">'405'!$B$29</definedName>
    <definedName name="GRI_405_1c">'405'!$B$44</definedName>
    <definedName name="GRI_405_1d">'405'!$B$64</definedName>
    <definedName name="Home">Inhaltsverzeichnis!$B$2</definedName>
    <definedName name="Passwort" hidden="1">"KCR2"</definedName>
    <definedName name="Sprache">Sprachen[Sprache]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0" i="4" l="1"/>
  <c r="AC90" i="1" l="1"/>
  <c r="AC96" i="1" l="1"/>
  <c r="AC97" i="1"/>
  <c r="AC98" i="1"/>
  <c r="AC95" i="1"/>
  <c r="AC94" i="1"/>
  <c r="AA95" i="1" l="1"/>
  <c r="AA96" i="1"/>
  <c r="AA97" i="1"/>
  <c r="AA98" i="1"/>
  <c r="AA94" i="1"/>
  <c r="AA93" i="1"/>
  <c r="AA92" i="1"/>
  <c r="AA91" i="1"/>
  <c r="AA90" i="1"/>
  <c r="AB18" i="1" l="1"/>
  <c r="AC18" i="1"/>
  <c r="AC93" i="1" l="1"/>
  <c r="AC92" i="1"/>
  <c r="AC91" i="1"/>
  <c r="AA20" i="1" l="1"/>
  <c r="R52" i="10" l="1"/>
  <c r="Q52" i="10"/>
  <c r="R46" i="10"/>
  <c r="Q46" i="10"/>
  <c r="R31" i="10"/>
  <c r="Q31" i="10"/>
  <c r="R16" i="10"/>
  <c r="Q16" i="10"/>
  <c r="R55" i="11" l="1"/>
  <c r="Q55" i="11"/>
  <c r="R51" i="11"/>
  <c r="R50" i="11" s="1"/>
  <c r="Q51" i="11"/>
  <c r="Q50" i="11" s="1"/>
  <c r="R48" i="11"/>
  <c r="Q48" i="11"/>
  <c r="R43" i="11"/>
  <c r="Q43" i="11"/>
  <c r="R39" i="11"/>
  <c r="Q39" i="11"/>
  <c r="R26" i="11"/>
  <c r="R24" i="11" s="1"/>
  <c r="Q26" i="11"/>
  <c r="Q24" i="11" s="1"/>
  <c r="R20" i="11"/>
  <c r="Q20" i="11"/>
  <c r="S55" i="11"/>
  <c r="S50" i="11"/>
  <c r="S48" i="11"/>
  <c r="S43" i="11"/>
  <c r="S39" i="11"/>
  <c r="S26" i="11"/>
  <c r="S24" i="11" s="1"/>
  <c r="S20" i="11"/>
  <c r="S52" i="10"/>
  <c r="S46" i="10"/>
  <c r="S31" i="10"/>
  <c r="S16" i="10"/>
  <c r="Q37" i="11" l="1"/>
  <c r="R37" i="11"/>
  <c r="R19" i="11"/>
  <c r="S37" i="11"/>
  <c r="Q19" i="11"/>
  <c r="S19" i="11"/>
  <c r="Y198" i="13"/>
  <c r="M347" i="6" l="1"/>
  <c r="M344" i="6" l="1"/>
  <c r="M276" i="6" l="1"/>
  <c r="M277" i="6"/>
  <c r="M278" i="6"/>
  <c r="M279" i="6"/>
  <c r="M280" i="6"/>
  <c r="M281" i="6"/>
  <c r="M282" i="6"/>
  <c r="M283" i="6"/>
  <c r="M284" i="6"/>
  <c r="M285" i="6"/>
  <c r="M286" i="6"/>
  <c r="M287" i="6"/>
  <c r="M296" i="6" l="1"/>
  <c r="M297" i="6"/>
  <c r="M298" i="6"/>
  <c r="M299" i="6"/>
  <c r="M300" i="6"/>
  <c r="M301" i="6"/>
  <c r="M302" i="6"/>
  <c r="M303" i="6"/>
  <c r="M304" i="6"/>
  <c r="M305" i="6"/>
  <c r="M274" i="6" l="1"/>
  <c r="M275" i="6"/>
  <c r="M270" i="6" l="1"/>
  <c r="M268" i="6" l="1"/>
  <c r="M269" i="6"/>
  <c r="U127" i="4" l="1"/>
  <c r="U124" i="4"/>
  <c r="H55" i="11" l="1"/>
  <c r="X81" i="1" l="1"/>
  <c r="S160" i="6" l="1"/>
  <c r="X89" i="1" l="1"/>
  <c r="X90" i="1"/>
  <c r="M343" i="6" l="1"/>
  <c r="X98" i="1" l="1"/>
  <c r="X97" i="1"/>
  <c r="X96" i="1"/>
  <c r="X95" i="1"/>
  <c r="X94" i="1"/>
  <c r="X93" i="1"/>
  <c r="X92" i="1"/>
  <c r="X91" i="1"/>
  <c r="O55" i="11"/>
  <c r="O52" i="11"/>
  <c r="O51" i="11"/>
  <c r="O50" i="11" s="1"/>
  <c r="O48" i="11"/>
  <c r="O43" i="11"/>
  <c r="O39" i="11"/>
  <c r="O26" i="11"/>
  <c r="O24" i="11" s="1"/>
  <c r="O20" i="11"/>
  <c r="O55" i="10"/>
  <c r="O46" i="10"/>
  <c r="O17" i="10"/>
  <c r="O53" i="10" s="1"/>
  <c r="O52" i="10" l="1"/>
  <c r="O16" i="10"/>
  <c r="O38" i="11"/>
  <c r="N17" i="10"/>
  <c r="M17" i="10"/>
  <c r="L17" i="10"/>
  <c r="K17" i="10"/>
  <c r="J17" i="10" l="1"/>
  <c r="J16" i="10" s="1"/>
  <c r="I17" i="10"/>
  <c r="U98" i="1" l="1"/>
  <c r="U97" i="1"/>
  <c r="U96" i="1"/>
  <c r="U95" i="1"/>
  <c r="U94" i="1"/>
  <c r="U93" i="1"/>
  <c r="U92" i="1"/>
  <c r="U91" i="1"/>
  <c r="U90" i="1"/>
  <c r="U89" i="1"/>
  <c r="N55" i="11" l="1"/>
  <c r="M55" i="11"/>
  <c r="L55" i="11"/>
  <c r="K55" i="11"/>
  <c r="J55" i="11"/>
  <c r="I55" i="11"/>
  <c r="N52" i="11"/>
  <c r="M52" i="11"/>
  <c r="L52" i="11"/>
  <c r="K52" i="11"/>
  <c r="J52" i="11"/>
  <c r="I52" i="11"/>
  <c r="H52" i="11"/>
  <c r="N51" i="11"/>
  <c r="N50" i="11" s="1"/>
  <c r="M51" i="11"/>
  <c r="M50" i="11" s="1"/>
  <c r="L51" i="11"/>
  <c r="L50" i="11" s="1"/>
  <c r="K51" i="11"/>
  <c r="K50" i="11" s="1"/>
  <c r="J51" i="11"/>
  <c r="J50" i="11" s="1"/>
  <c r="I51" i="11"/>
  <c r="I50" i="11" s="1"/>
  <c r="H51" i="11"/>
  <c r="H50" i="11" s="1"/>
  <c r="N48" i="11"/>
  <c r="M48" i="11"/>
  <c r="L48" i="11"/>
  <c r="K48" i="11"/>
  <c r="J48" i="11"/>
  <c r="I48" i="11"/>
  <c r="H48" i="11"/>
  <c r="N43" i="11"/>
  <c r="M43" i="11"/>
  <c r="L43" i="11"/>
  <c r="K43" i="11"/>
  <c r="J43" i="11"/>
  <c r="I43" i="11"/>
  <c r="H43" i="11"/>
  <c r="N39" i="11"/>
  <c r="M39" i="11"/>
  <c r="L39" i="11"/>
  <c r="K39" i="11"/>
  <c r="J39" i="11"/>
  <c r="I39" i="11"/>
  <c r="H39" i="11"/>
  <c r="N55" i="10"/>
  <c r="M55" i="10"/>
  <c r="L55" i="10"/>
  <c r="K55" i="10"/>
  <c r="J55" i="10"/>
  <c r="I55" i="10"/>
  <c r="H55" i="10"/>
  <c r="N53" i="10"/>
  <c r="M53" i="10"/>
  <c r="L53" i="10"/>
  <c r="K53" i="10"/>
  <c r="J53" i="10"/>
  <c r="I53" i="10"/>
  <c r="H17" i="10"/>
  <c r="H53" i="10" s="1"/>
  <c r="N16" i="10"/>
  <c r="M16" i="10"/>
  <c r="L16" i="10"/>
  <c r="K16" i="10"/>
  <c r="I16" i="10"/>
  <c r="H52" i="10" l="1"/>
  <c r="M52" i="10"/>
  <c r="I52" i="10"/>
  <c r="J52" i="10"/>
  <c r="N52" i="10"/>
  <c r="K38" i="11"/>
  <c r="K52" i="10"/>
  <c r="L52" i="10"/>
  <c r="H16" i="10"/>
  <c r="L38" i="11"/>
  <c r="M38" i="11"/>
  <c r="N38" i="11"/>
  <c r="H38" i="11"/>
  <c r="I38" i="11"/>
  <c r="J38" i="11"/>
  <c r="T28" i="4"/>
  <c r="T29" i="4"/>
  <c r="AE247" i="6" l="1"/>
  <c r="AE248" i="6"/>
  <c r="AE249" i="6"/>
  <c r="AE250" i="6"/>
  <c r="AE251" i="6"/>
  <c r="AE252" i="6"/>
  <c r="AE253" i="6"/>
  <c r="AE254" i="6"/>
  <c r="AE240" i="6"/>
  <c r="AE241" i="6"/>
  <c r="AE242" i="6"/>
  <c r="AE243" i="6"/>
  <c r="AE244" i="6"/>
  <c r="AE245" i="6"/>
  <c r="AE246" i="6"/>
  <c r="AE152" i="6" l="1"/>
  <c r="AE153" i="6"/>
  <c r="AE154" i="6"/>
  <c r="AE155" i="6"/>
  <c r="AE156" i="6"/>
  <c r="AE157" i="6"/>
  <c r="AE158" i="6"/>
  <c r="AE159" i="6"/>
  <c r="AE160" i="6"/>
  <c r="AE161" i="6"/>
  <c r="AE162" i="6"/>
  <c r="AE163" i="6"/>
  <c r="AE164" i="6"/>
  <c r="AE165" i="6"/>
  <c r="AE166" i="6"/>
  <c r="AE167" i="6"/>
  <c r="AE168" i="6"/>
  <c r="AE169" i="6"/>
  <c r="AE170" i="6"/>
  <c r="AE171" i="6"/>
  <c r="AE172" i="6"/>
  <c r="AE173" i="6"/>
  <c r="AE174" i="6"/>
  <c r="AE175" i="6"/>
  <c r="AE176" i="6"/>
  <c r="AE177" i="6"/>
  <c r="AE178" i="6"/>
  <c r="AE179" i="6"/>
  <c r="AE180" i="6"/>
  <c r="AE181" i="6"/>
  <c r="AE182" i="6"/>
  <c r="AE183" i="6"/>
  <c r="AE184" i="6"/>
  <c r="AE185" i="6"/>
  <c r="AE186" i="6"/>
  <c r="AE187" i="6"/>
  <c r="AE188" i="6"/>
  <c r="AE189" i="6"/>
  <c r="AE190" i="6"/>
  <c r="AE191" i="6"/>
  <c r="AE192" i="6"/>
  <c r="AE193" i="6"/>
  <c r="AE194" i="6"/>
  <c r="AE195" i="6"/>
  <c r="AE196" i="6"/>
  <c r="AE197" i="6"/>
  <c r="AE198" i="6"/>
  <c r="AE199" i="6"/>
  <c r="AE200" i="6"/>
  <c r="AE201" i="6"/>
  <c r="AE202" i="6"/>
  <c r="AE203" i="6"/>
  <c r="AE204" i="6"/>
  <c r="AE205" i="6"/>
  <c r="AE206" i="6"/>
  <c r="AE207" i="6"/>
  <c r="AE208" i="6"/>
  <c r="AE209" i="6"/>
  <c r="AE210" i="6"/>
  <c r="AE211" i="6"/>
  <c r="AE212" i="6"/>
  <c r="AE213" i="6"/>
  <c r="AE214" i="6"/>
  <c r="AE215" i="6"/>
  <c r="AE216" i="6"/>
  <c r="AE217" i="6"/>
  <c r="AE218" i="6"/>
  <c r="AE219" i="6"/>
  <c r="AE220" i="6"/>
  <c r="AE221" i="6"/>
  <c r="AE222" i="6"/>
  <c r="AE223" i="6"/>
  <c r="AE224" i="6"/>
  <c r="AE225" i="6"/>
  <c r="AE226" i="6"/>
  <c r="AE227" i="6"/>
  <c r="AE228" i="6"/>
  <c r="AE229" i="6"/>
  <c r="AE230" i="6"/>
  <c r="AE231" i="6"/>
  <c r="AE232" i="6"/>
  <c r="AE233" i="6"/>
  <c r="AE234" i="6"/>
  <c r="AE235" i="6"/>
  <c r="AE236" i="6"/>
  <c r="AE237" i="6"/>
  <c r="AE238" i="6"/>
  <c r="AE239" i="6"/>
  <c r="M341" i="6" l="1"/>
  <c r="M342" i="6"/>
  <c r="M345" i="6"/>
  <c r="M335" i="6"/>
  <c r="M336" i="6"/>
  <c r="M337" i="6"/>
  <c r="M338" i="6"/>
  <c r="M339" i="6"/>
  <c r="M340" i="6"/>
  <c r="M322" i="6"/>
  <c r="M323" i="6"/>
  <c r="M324" i="6"/>
  <c r="M325" i="6"/>
  <c r="M326" i="6"/>
  <c r="M327" i="6"/>
  <c r="M328" i="6"/>
  <c r="M329" i="6"/>
  <c r="M330" i="6"/>
  <c r="M331" i="6"/>
  <c r="M332" i="6"/>
  <c r="M333" i="6"/>
  <c r="M334" i="6"/>
  <c r="M308" i="6"/>
  <c r="M309" i="6"/>
  <c r="M310" i="6"/>
  <c r="M311" i="6"/>
  <c r="M312" i="6"/>
  <c r="M313" i="6"/>
  <c r="M314" i="6"/>
  <c r="M315" i="6"/>
  <c r="M316" i="6"/>
  <c r="M317" i="6"/>
  <c r="M318" i="6"/>
  <c r="M319" i="6"/>
  <c r="M320" i="6"/>
  <c r="M321" i="6"/>
  <c r="M259" i="6"/>
  <c r="M260" i="6"/>
  <c r="M261" i="6"/>
  <c r="M262" i="6"/>
  <c r="M263" i="6"/>
  <c r="M264" i="6"/>
  <c r="M265" i="6"/>
  <c r="M266" i="6"/>
  <c r="M267" i="6"/>
  <c r="M271" i="6"/>
  <c r="M272" i="6"/>
  <c r="M273" i="6"/>
  <c r="M288" i="6"/>
  <c r="M289" i="6"/>
  <c r="M290" i="6"/>
  <c r="M291" i="6"/>
  <c r="M292" i="6"/>
  <c r="M293" i="6"/>
  <c r="M294" i="6"/>
  <c r="M295" i="6"/>
  <c r="M306" i="6"/>
  <c r="M307" i="6"/>
  <c r="M227" i="6" l="1"/>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A54" i="6"/>
  <c r="A55" i="6"/>
  <c r="A56" i="6"/>
  <c r="A57" i="6"/>
  <c r="A58" i="6"/>
  <c r="A59" i="6"/>
  <c r="A60" i="6"/>
  <c r="A61" i="6"/>
  <c r="A62" i="6"/>
  <c r="A63" i="6"/>
  <c r="A64" i="6"/>
  <c r="A65" i="6"/>
  <c r="A66" i="6"/>
  <c r="A67"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BI151" i="6" l="1"/>
  <c r="BI150" i="6"/>
  <c r="BI149" i="6"/>
  <c r="BI148" i="6"/>
  <c r="BI147" i="6"/>
  <c r="BI146" i="6"/>
  <c r="BI145" i="6"/>
  <c r="BI144" i="6"/>
  <c r="BI143" i="6"/>
  <c r="BI142" i="6"/>
  <c r="BI141" i="6"/>
  <c r="BI140" i="6"/>
  <c r="BI139" i="6"/>
  <c r="BI138" i="6"/>
  <c r="BI137" i="6"/>
  <c r="BI136" i="6"/>
  <c r="BI135" i="6"/>
  <c r="BI134" i="6"/>
  <c r="BI133" i="6"/>
  <c r="BI132" i="6"/>
  <c r="BI131" i="6"/>
  <c r="BI130" i="6"/>
  <c r="BI129" i="6"/>
  <c r="BI128" i="6"/>
  <c r="BI127" i="6"/>
  <c r="BI126" i="6"/>
  <c r="BI125" i="6"/>
  <c r="BI124" i="6"/>
  <c r="BI123" i="6"/>
  <c r="BI122" i="6"/>
  <c r="BI121" i="6"/>
  <c r="BI120" i="6"/>
  <c r="BI119" i="6"/>
  <c r="BI118" i="6"/>
  <c r="BI117" i="6"/>
  <c r="BI116" i="6"/>
  <c r="BI115" i="6"/>
  <c r="BI114" i="6"/>
  <c r="BI113" i="6"/>
  <c r="BI112" i="6"/>
  <c r="BI111" i="6"/>
  <c r="BI110" i="6"/>
  <c r="BI109" i="6"/>
  <c r="BI108" i="6"/>
  <c r="BI107" i="6"/>
  <c r="BI106" i="6"/>
  <c r="BI105" i="6"/>
  <c r="BI104" i="6"/>
  <c r="BI103" i="6"/>
  <c r="BI102" i="6"/>
  <c r="BI101" i="6"/>
  <c r="BI100" i="6"/>
  <c r="BI99" i="6"/>
  <c r="BI98" i="6"/>
  <c r="BI97" i="6"/>
  <c r="BI96" i="6"/>
  <c r="BI95" i="6"/>
  <c r="BI94" i="6"/>
  <c r="BI93" i="6"/>
  <c r="BI92" i="6"/>
  <c r="BI91" i="6"/>
  <c r="BI90" i="6"/>
  <c r="BI89" i="6"/>
  <c r="BI88" i="6"/>
  <c r="BI87" i="6"/>
  <c r="BI86" i="6"/>
  <c r="BI85" i="6"/>
  <c r="BI84" i="6"/>
  <c r="BI83" i="6"/>
  <c r="BI82" i="6"/>
  <c r="BI81" i="6"/>
  <c r="BI80" i="6"/>
  <c r="BI79" i="6"/>
  <c r="BI78"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I45" i="6"/>
  <c r="BI44" i="6"/>
  <c r="BI43" i="6"/>
  <c r="BI42" i="6"/>
  <c r="BI41" i="6"/>
  <c r="BI40" i="6"/>
  <c r="BI39" i="6"/>
  <c r="BI38" i="6"/>
  <c r="BI37" i="6"/>
  <c r="BI36" i="6"/>
  <c r="BI35" i="6"/>
  <c r="BI34" i="6"/>
  <c r="BI33" i="6"/>
  <c r="BI32" i="6"/>
  <c r="BI31" i="6"/>
  <c r="BI30" i="6"/>
  <c r="BI29" i="6"/>
  <c r="BI28" i="6"/>
  <c r="BI27" i="6"/>
  <c r="BI26" i="6"/>
  <c r="BI25" i="6"/>
  <c r="BI24" i="6"/>
  <c r="BI23" i="6"/>
  <c r="BI22" i="6"/>
  <c r="BI21" i="6"/>
  <c r="BI20" i="6"/>
  <c r="BI19" i="6"/>
  <c r="BI18" i="6"/>
  <c r="BI17" i="6"/>
  <c r="BI16" i="6"/>
  <c r="BI15" i="6"/>
  <c r="BI14" i="6"/>
  <c r="BI13" i="6"/>
  <c r="BI12" i="6"/>
  <c r="BI11" i="6"/>
  <c r="BI10" i="6"/>
  <c r="BI9" i="6"/>
  <c r="BI8" i="6"/>
  <c r="BI7" i="6"/>
  <c r="BI6" i="6"/>
  <c r="BI5" i="6"/>
  <c r="BI4" i="6"/>
  <c r="BI3" i="6"/>
  <c r="BI2" i="6"/>
  <c r="AW152" i="6"/>
  <c r="AW153" i="6"/>
  <c r="AW154" i="6"/>
  <c r="AW155" i="6"/>
  <c r="AW156" i="6"/>
  <c r="BC72" i="6"/>
  <c r="AW140" i="6"/>
  <c r="AW141" i="6"/>
  <c r="AW142" i="6"/>
  <c r="AW143" i="6"/>
  <c r="AW144" i="6"/>
  <c r="AW145" i="6"/>
  <c r="AW146" i="6"/>
  <c r="AW147" i="6"/>
  <c r="AW148" i="6"/>
  <c r="AW149" i="6"/>
  <c r="AW150" i="6"/>
  <c r="AQ140" i="6"/>
  <c r="AQ141" i="6"/>
  <c r="AQ142" i="6"/>
  <c r="AQ143" i="6"/>
  <c r="AQ144" i="6"/>
  <c r="AQ145" i="6"/>
  <c r="AQ146" i="6"/>
  <c r="AQ147" i="6"/>
  <c r="AQ148" i="6"/>
  <c r="AQ149" i="6"/>
  <c r="AQ150" i="6"/>
  <c r="AK142" i="6"/>
  <c r="AK143" i="6"/>
  <c r="AK144" i="6"/>
  <c r="AK145" i="6"/>
  <c r="AK146" i="6"/>
  <c r="AK147" i="6"/>
  <c r="AK148" i="6"/>
  <c r="AK149" i="6"/>
  <c r="AK150" i="6"/>
  <c r="AK151" i="6"/>
  <c r="T127" i="4" l="1"/>
  <c r="S127" i="4"/>
  <c r="R127" i="4"/>
  <c r="Q127" i="4"/>
  <c r="P127" i="4"/>
  <c r="O127" i="4"/>
  <c r="N127" i="4"/>
  <c r="M127" i="4"/>
  <c r="L127" i="4"/>
  <c r="K127" i="4"/>
  <c r="J127" i="4"/>
  <c r="I127" i="4"/>
  <c r="H127" i="4"/>
  <c r="T124" i="4"/>
  <c r="S124" i="4"/>
  <c r="R124" i="4"/>
  <c r="Q124" i="4"/>
  <c r="P124" i="4"/>
  <c r="O124" i="4"/>
  <c r="N124" i="4"/>
  <c r="M124" i="4"/>
  <c r="L124" i="4"/>
  <c r="K124" i="4"/>
  <c r="J124" i="4"/>
  <c r="I124" i="4"/>
  <c r="H124" i="4"/>
  <c r="R29" i="4" l="1"/>
  <c r="Q29" i="4"/>
  <c r="P29" i="4"/>
  <c r="O29" i="4"/>
  <c r="N29" i="4"/>
  <c r="M29" i="4"/>
  <c r="L29" i="4"/>
  <c r="K29" i="4"/>
  <c r="J29" i="4"/>
  <c r="I29" i="4"/>
  <c r="H29" i="4"/>
  <c r="T33" i="4"/>
  <c r="S33" i="4"/>
  <c r="R33" i="4"/>
  <c r="Q33" i="4"/>
  <c r="P33" i="4"/>
  <c r="O33" i="4"/>
  <c r="N33" i="4"/>
  <c r="M33" i="4"/>
  <c r="L33" i="4"/>
  <c r="K33" i="4"/>
  <c r="J33" i="4"/>
  <c r="I33" i="4"/>
  <c r="H33" i="4"/>
  <c r="T32" i="4"/>
  <c r="S32" i="4"/>
  <c r="R32" i="4"/>
  <c r="Q32" i="4"/>
  <c r="P32" i="4"/>
  <c r="O32" i="4"/>
  <c r="N32" i="4"/>
  <c r="M32" i="4"/>
  <c r="L32" i="4"/>
  <c r="K32" i="4"/>
  <c r="J32" i="4"/>
  <c r="I32" i="4"/>
  <c r="H32" i="4"/>
  <c r="T31" i="4"/>
  <c r="S31" i="4"/>
  <c r="R31" i="4"/>
  <c r="Q31" i="4"/>
  <c r="P31" i="4"/>
  <c r="O31" i="4"/>
  <c r="N31" i="4"/>
  <c r="M31" i="4"/>
  <c r="L31" i="4"/>
  <c r="K31" i="4"/>
  <c r="J31" i="4"/>
  <c r="I31" i="4"/>
  <c r="H31" i="4"/>
  <c r="T30" i="4"/>
  <c r="S30" i="4"/>
  <c r="R30" i="4"/>
  <c r="Q30" i="4"/>
  <c r="P30" i="4"/>
  <c r="O30" i="4"/>
  <c r="N30" i="4"/>
  <c r="M30" i="4"/>
  <c r="L30" i="4"/>
  <c r="K30" i="4"/>
  <c r="J30" i="4"/>
  <c r="I30" i="4"/>
  <c r="H30" i="4"/>
  <c r="S29" i="4"/>
  <c r="S28" i="4"/>
  <c r="R28" i="4"/>
  <c r="Q28" i="4"/>
  <c r="P28" i="4"/>
  <c r="O28" i="4"/>
  <c r="N28" i="4"/>
  <c r="M28" i="4"/>
  <c r="L28" i="4"/>
  <c r="K28" i="4"/>
  <c r="J28" i="4"/>
  <c r="I28" i="4"/>
  <c r="H28" i="4"/>
  <c r="S98" i="1"/>
  <c r="S97" i="1"/>
  <c r="S96" i="1"/>
  <c r="S95" i="1"/>
  <c r="S94" i="1"/>
  <c r="S93" i="1"/>
  <c r="S92" i="1"/>
  <c r="S91" i="1"/>
  <c r="S90" i="1"/>
  <c r="S89" i="1"/>
  <c r="V94" i="1" l="1"/>
  <c r="P26" i="1"/>
  <c r="R24" i="1"/>
  <c r="P24" i="1"/>
  <c r="D2" i="5"/>
  <c r="B42" i="16" l="1"/>
  <c r="B41" i="16"/>
  <c r="B39" i="16"/>
  <c r="B54" i="16"/>
  <c r="B40" i="16"/>
  <c r="B38" i="16"/>
  <c r="D30" i="2"/>
  <c r="C61" i="16"/>
  <c r="C62" i="16"/>
  <c r="C9" i="16"/>
  <c r="B57" i="16" s="1"/>
  <c r="D63" i="16"/>
  <c r="C63" i="16"/>
  <c r="D62" i="16"/>
  <c r="D61" i="16"/>
  <c r="C8" i="16"/>
  <c r="B35" i="16"/>
  <c r="C49" i="16"/>
  <c r="B53" i="16"/>
  <c r="C51" i="16"/>
  <c r="B37" i="16"/>
  <c r="C50" i="16"/>
  <c r="B36" i="16"/>
  <c r="C7" i="16"/>
  <c r="D50" i="16"/>
  <c r="D29" i="16"/>
  <c r="D25" i="16"/>
  <c r="D21" i="16"/>
  <c r="D17" i="16"/>
  <c r="C32" i="16"/>
  <c r="C28" i="16"/>
  <c r="C23" i="16"/>
  <c r="C19" i="16"/>
  <c r="D26" i="16"/>
  <c r="D22" i="16"/>
  <c r="C29" i="16"/>
  <c r="C16" i="16"/>
  <c r="D49" i="16"/>
  <c r="D28" i="16"/>
  <c r="D24" i="16"/>
  <c r="D20" i="16"/>
  <c r="D16" i="16"/>
  <c r="C31" i="16"/>
  <c r="C27" i="16"/>
  <c r="C22" i="16"/>
  <c r="C18" i="16"/>
  <c r="D32" i="16"/>
  <c r="C33" i="16"/>
  <c r="C20" i="16"/>
  <c r="D31" i="16"/>
  <c r="D27" i="16"/>
  <c r="D23" i="16"/>
  <c r="D19" i="16"/>
  <c r="D33" i="16"/>
  <c r="C25" i="16"/>
  <c r="C26" i="16"/>
  <c r="C21" i="16"/>
  <c r="C17" i="16"/>
  <c r="D51" i="16"/>
  <c r="D18" i="16"/>
  <c r="C24" i="16"/>
  <c r="B45" i="16" l="1"/>
  <c r="B12" i="16"/>
  <c r="V98" i="1" l="1"/>
  <c r="V97" i="1"/>
  <c r="V96" i="1"/>
  <c r="V95" i="1"/>
  <c r="V93" i="1"/>
  <c r="V92" i="1"/>
  <c r="V91" i="1"/>
  <c r="V90" i="1"/>
  <c r="V89" i="1"/>
  <c r="S153" i="6"/>
  <c r="S154" i="6"/>
  <c r="S155" i="6"/>
  <c r="S156" i="6"/>
  <c r="S157" i="6"/>
  <c r="S158" i="6"/>
  <c r="S159" i="6"/>
  <c r="S152" i="6"/>
  <c r="AE132" i="6" l="1"/>
  <c r="AE133" i="6"/>
  <c r="AE134" i="6"/>
  <c r="AE135" i="6"/>
  <c r="S132" i="6"/>
  <c r="S133" i="6"/>
  <c r="S134" i="6"/>
  <c r="S135" i="6"/>
  <c r="Y132" i="6"/>
  <c r="Y133" i="6"/>
  <c r="Y134" i="6"/>
  <c r="Y135" i="6"/>
  <c r="BO151" i="6" l="1"/>
  <c r="BO150" i="6"/>
  <c r="BO149" i="6"/>
  <c r="BO148" i="6"/>
  <c r="BO147" i="6"/>
  <c r="BO146" i="6"/>
  <c r="BO145" i="6"/>
  <c r="BO144" i="6"/>
  <c r="BO143" i="6"/>
  <c r="BO142" i="6"/>
  <c r="BO141" i="6"/>
  <c r="BO140" i="6"/>
  <c r="BO139" i="6"/>
  <c r="BO138" i="6"/>
  <c r="BO137" i="6"/>
  <c r="BO136" i="6"/>
  <c r="BO135" i="6"/>
  <c r="BO134" i="6"/>
  <c r="BO133" i="6"/>
  <c r="BO132" i="6"/>
  <c r="BO131" i="6"/>
  <c r="BO130" i="6"/>
  <c r="BO129" i="6"/>
  <c r="BO128" i="6"/>
  <c r="BO127" i="6"/>
  <c r="BO126" i="6"/>
  <c r="BO125" i="6"/>
  <c r="BO124" i="6"/>
  <c r="BO123" i="6"/>
  <c r="BO122" i="6"/>
  <c r="BO121" i="6"/>
  <c r="BO120" i="6"/>
  <c r="BO119" i="6"/>
  <c r="BO118" i="6"/>
  <c r="BO117" i="6"/>
  <c r="BO116" i="6"/>
  <c r="BO115" i="6"/>
  <c r="BO114" i="6"/>
  <c r="BO113" i="6"/>
  <c r="BO112" i="6"/>
  <c r="BO111" i="6"/>
  <c r="BO110" i="6"/>
  <c r="BO109" i="6"/>
  <c r="BO108" i="6"/>
  <c r="BO107" i="6"/>
  <c r="BO106" i="6"/>
  <c r="BO105" i="6"/>
  <c r="BO104" i="6"/>
  <c r="BO103" i="6"/>
  <c r="BO102" i="6"/>
  <c r="BO101" i="6"/>
  <c r="BO100" i="6"/>
  <c r="BO99" i="6"/>
  <c r="BO98" i="6"/>
  <c r="BO97" i="6"/>
  <c r="BO96" i="6"/>
  <c r="BO95" i="6"/>
  <c r="BO94" i="6"/>
  <c r="BO93" i="6"/>
  <c r="BO92" i="6"/>
  <c r="BO91" i="6"/>
  <c r="BO90" i="6"/>
  <c r="BO89" i="6"/>
  <c r="BO88" i="6"/>
  <c r="BO87" i="6"/>
  <c r="BO86" i="6"/>
  <c r="BO85" i="6"/>
  <c r="BO84" i="6"/>
  <c r="BO83" i="6"/>
  <c r="BO82" i="6"/>
  <c r="BO81" i="6"/>
  <c r="BO80" i="6"/>
  <c r="BO79" i="6"/>
  <c r="BO78" i="6"/>
  <c r="BO77" i="6"/>
  <c r="BO76" i="6"/>
  <c r="BO75" i="6"/>
  <c r="BO74" i="6"/>
  <c r="BO73" i="6"/>
  <c r="BO72" i="6"/>
  <c r="BO71" i="6"/>
  <c r="BO70" i="6"/>
  <c r="BO69" i="6"/>
  <c r="BO68" i="6"/>
  <c r="BO67" i="6"/>
  <c r="BO66" i="6"/>
  <c r="BO65" i="6"/>
  <c r="BO64" i="6"/>
  <c r="BO63" i="6"/>
  <c r="BO62" i="6"/>
  <c r="BO61" i="6"/>
  <c r="BO60" i="6"/>
  <c r="BO59" i="6"/>
  <c r="BO58" i="6"/>
  <c r="BO57" i="6"/>
  <c r="BO56" i="6"/>
  <c r="BO55" i="6"/>
  <c r="BO54" i="6"/>
  <c r="BO53" i="6"/>
  <c r="BO52" i="6"/>
  <c r="BO51" i="6"/>
  <c r="BO50" i="6"/>
  <c r="BO49" i="6"/>
  <c r="BO48" i="6"/>
  <c r="BO47" i="6"/>
  <c r="BO46" i="6"/>
  <c r="BO45" i="6"/>
  <c r="BO44" i="6"/>
  <c r="BO43" i="6"/>
  <c r="BO42" i="6"/>
  <c r="BO41" i="6"/>
  <c r="BO40" i="6"/>
  <c r="BO39" i="6"/>
  <c r="BO38" i="6"/>
  <c r="BO37" i="6"/>
  <c r="BO36" i="6"/>
  <c r="BO35" i="6"/>
  <c r="BO34" i="6"/>
  <c r="BO33" i="6"/>
  <c r="BO32" i="6"/>
  <c r="BO31" i="6"/>
  <c r="BO30" i="6"/>
  <c r="BO29" i="6"/>
  <c r="BO28" i="6"/>
  <c r="BO27" i="6"/>
  <c r="BO26" i="6"/>
  <c r="BO25" i="6"/>
  <c r="BO24" i="6"/>
  <c r="BO23" i="6"/>
  <c r="BO22" i="6"/>
  <c r="BO21" i="6"/>
  <c r="BO20" i="6"/>
  <c r="BO19" i="6"/>
  <c r="BO18" i="6"/>
  <c r="BO17" i="6"/>
  <c r="BO16" i="6"/>
  <c r="BO15" i="6"/>
  <c r="BO14" i="6"/>
  <c r="BO13" i="6"/>
  <c r="BO12" i="6"/>
  <c r="BO11" i="6"/>
  <c r="BO10" i="6"/>
  <c r="BO9" i="6"/>
  <c r="BO8" i="6"/>
  <c r="BO7" i="6"/>
  <c r="BO6" i="6"/>
  <c r="BO5" i="6"/>
  <c r="BO4" i="6"/>
  <c r="BO3" i="6"/>
  <c r="BO2" i="6"/>
  <c r="BC151" i="6"/>
  <c r="BC150" i="6"/>
  <c r="BC149" i="6"/>
  <c r="BC148" i="6"/>
  <c r="BC147" i="6"/>
  <c r="BC146" i="6"/>
  <c r="BC145" i="6"/>
  <c r="BC144" i="6"/>
  <c r="BC143" i="6"/>
  <c r="BC142" i="6"/>
  <c r="BC141" i="6"/>
  <c r="BC140" i="6"/>
  <c r="BC139" i="6"/>
  <c r="BC138" i="6"/>
  <c r="BC137" i="6"/>
  <c r="BC136" i="6"/>
  <c r="BC135" i="6"/>
  <c r="BC134" i="6"/>
  <c r="BC133" i="6"/>
  <c r="BC132" i="6"/>
  <c r="BC131" i="6"/>
  <c r="BC130" i="6"/>
  <c r="BC129" i="6"/>
  <c r="BC128" i="6"/>
  <c r="BC127" i="6"/>
  <c r="BC126" i="6"/>
  <c r="BC125" i="6"/>
  <c r="BC124" i="6"/>
  <c r="BC123" i="6"/>
  <c r="BC122" i="6"/>
  <c r="BC121" i="6"/>
  <c r="BC120" i="6"/>
  <c r="BC119" i="6"/>
  <c r="BC118" i="6"/>
  <c r="BC117" i="6"/>
  <c r="BC116" i="6"/>
  <c r="BC115" i="6"/>
  <c r="BC114" i="6"/>
  <c r="BC113" i="6"/>
  <c r="BC112" i="6"/>
  <c r="BC111" i="6"/>
  <c r="BC110" i="6"/>
  <c r="BC109" i="6"/>
  <c r="BC108" i="6"/>
  <c r="BC107" i="6"/>
  <c r="BC106" i="6"/>
  <c r="BC105" i="6"/>
  <c r="BC104" i="6"/>
  <c r="BC103" i="6"/>
  <c r="BC102" i="6"/>
  <c r="BC101" i="6"/>
  <c r="BC100" i="6"/>
  <c r="BC99" i="6"/>
  <c r="BC98" i="6"/>
  <c r="BC97" i="6"/>
  <c r="BC96" i="6"/>
  <c r="BC95" i="6"/>
  <c r="BC94" i="6"/>
  <c r="BC93" i="6"/>
  <c r="BC92" i="6"/>
  <c r="BC91" i="6"/>
  <c r="BC90" i="6"/>
  <c r="BC89" i="6"/>
  <c r="BC88" i="6"/>
  <c r="BC87" i="6"/>
  <c r="BC86" i="6"/>
  <c r="BC85" i="6"/>
  <c r="BC84" i="6"/>
  <c r="BC83" i="6"/>
  <c r="BC82" i="6"/>
  <c r="BC81" i="6"/>
  <c r="BC80" i="6"/>
  <c r="BC79" i="6"/>
  <c r="BC78" i="6"/>
  <c r="BC77" i="6"/>
  <c r="BC76" i="6"/>
  <c r="BC75" i="6"/>
  <c r="BC74" i="6"/>
  <c r="BC73"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C45" i="6"/>
  <c r="BC44" i="6"/>
  <c r="BC43" i="6"/>
  <c r="BC42" i="6"/>
  <c r="BC41" i="6"/>
  <c r="BC40" i="6"/>
  <c r="BC39" i="6"/>
  <c r="BC38" i="6"/>
  <c r="BC37" i="6"/>
  <c r="BC36" i="6"/>
  <c r="BC35" i="6"/>
  <c r="BC34" i="6"/>
  <c r="BC33" i="6"/>
  <c r="BC32" i="6"/>
  <c r="BC31" i="6"/>
  <c r="BC30" i="6"/>
  <c r="BC29" i="6"/>
  <c r="BC28" i="6"/>
  <c r="BC27" i="6"/>
  <c r="BC26" i="6"/>
  <c r="BC25" i="6"/>
  <c r="BC24" i="6"/>
  <c r="BC23" i="6"/>
  <c r="BC22" i="6"/>
  <c r="BC21" i="6"/>
  <c r="BC20" i="6"/>
  <c r="BC19" i="6"/>
  <c r="BC18" i="6"/>
  <c r="BC17" i="6"/>
  <c r="BC16" i="6"/>
  <c r="BC15" i="6"/>
  <c r="BC14" i="6"/>
  <c r="BC13" i="6"/>
  <c r="BC12" i="6"/>
  <c r="BC11" i="6"/>
  <c r="BC10" i="6"/>
  <c r="BC9" i="6"/>
  <c r="BC8" i="6"/>
  <c r="BC7" i="6"/>
  <c r="BC6" i="6"/>
  <c r="BC5" i="6"/>
  <c r="BC4" i="6"/>
  <c r="BC3" i="6"/>
  <c r="BC2" i="6"/>
  <c r="AW151" i="6"/>
  <c r="AW139" i="6"/>
  <c r="AW138" i="6"/>
  <c r="AW137" i="6"/>
  <c r="AW136" i="6"/>
  <c r="AW135" i="6"/>
  <c r="AW134" i="6"/>
  <c r="AW133" i="6"/>
  <c r="AW132" i="6"/>
  <c r="AW131" i="6"/>
  <c r="AW130" i="6"/>
  <c r="AW129" i="6"/>
  <c r="AW128" i="6"/>
  <c r="AW127" i="6"/>
  <c r="AW126" i="6"/>
  <c r="AW125" i="6"/>
  <c r="AW124" i="6"/>
  <c r="AW123" i="6"/>
  <c r="AW122" i="6"/>
  <c r="AW121" i="6"/>
  <c r="AW120" i="6"/>
  <c r="AW119" i="6"/>
  <c r="AW118" i="6"/>
  <c r="AW117" i="6"/>
  <c r="AW116" i="6"/>
  <c r="AW115" i="6"/>
  <c r="AW114" i="6"/>
  <c r="AW113" i="6"/>
  <c r="AW112" i="6"/>
  <c r="AW111" i="6"/>
  <c r="AW110" i="6"/>
  <c r="AW109" i="6"/>
  <c r="AW108" i="6"/>
  <c r="AW107" i="6"/>
  <c r="AW106" i="6"/>
  <c r="AW105" i="6"/>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W45" i="6"/>
  <c r="AW44" i="6"/>
  <c r="AW43" i="6"/>
  <c r="AW42" i="6"/>
  <c r="AW41" i="6"/>
  <c r="AW40" i="6"/>
  <c r="AW39" i="6"/>
  <c r="AW38" i="6"/>
  <c r="AW37" i="6"/>
  <c r="AW36" i="6"/>
  <c r="AW35" i="6"/>
  <c r="AW34" i="6"/>
  <c r="AW33" i="6"/>
  <c r="AW32" i="6"/>
  <c r="AW31" i="6"/>
  <c r="AW30" i="6"/>
  <c r="AW29" i="6"/>
  <c r="AW28" i="6"/>
  <c r="AW27" i="6"/>
  <c r="AW26" i="6"/>
  <c r="AW25" i="6"/>
  <c r="AW24" i="6"/>
  <c r="AW23" i="6"/>
  <c r="AW22" i="6"/>
  <c r="AW21" i="6"/>
  <c r="AW20" i="6"/>
  <c r="AW19" i="6"/>
  <c r="AW18" i="6"/>
  <c r="AW17" i="6"/>
  <c r="AW16" i="6"/>
  <c r="AW15" i="6"/>
  <c r="AW14" i="6"/>
  <c r="AW13" i="6"/>
  <c r="AW12" i="6"/>
  <c r="AW11" i="6"/>
  <c r="AW10" i="6"/>
  <c r="AW9" i="6"/>
  <c r="AW8" i="6"/>
  <c r="AW7" i="6"/>
  <c r="AW6" i="6"/>
  <c r="AW5" i="6"/>
  <c r="AW4" i="6"/>
  <c r="AW3" i="6"/>
  <c r="AW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B320" i="13" l="1"/>
  <c r="C243" i="13"/>
  <c r="C241" i="13"/>
  <c r="C242" i="13"/>
  <c r="C246" i="13"/>
  <c r="C245" i="13"/>
  <c r="C244" i="13"/>
  <c r="B44" i="13"/>
  <c r="B360" i="13"/>
  <c r="B359" i="13"/>
  <c r="B358" i="13"/>
  <c r="B357" i="13"/>
  <c r="B187" i="13"/>
  <c r="B186" i="13"/>
  <c r="B185" i="13"/>
  <c r="B184" i="13"/>
  <c r="B183" i="13"/>
  <c r="B182" i="13"/>
  <c r="B181" i="13"/>
  <c r="B180" i="13"/>
  <c r="B123" i="12"/>
  <c r="B51" i="14"/>
  <c r="C77" i="13"/>
  <c r="D77" i="13"/>
  <c r="C93" i="13"/>
  <c r="D102" i="13"/>
  <c r="D101" i="13"/>
  <c r="D103" i="13"/>
  <c r="D100" i="13"/>
  <c r="D99" i="13"/>
  <c r="C103" i="13"/>
  <c r="C102" i="13"/>
  <c r="C101" i="13"/>
  <c r="C100" i="13"/>
  <c r="C99" i="13"/>
  <c r="D93" i="13"/>
  <c r="D137" i="13"/>
  <c r="D136" i="13"/>
  <c r="D135" i="13"/>
  <c r="D72" i="12"/>
  <c r="D73" i="12"/>
  <c r="D80" i="12"/>
  <c r="D81" i="12"/>
  <c r="D97" i="12"/>
  <c r="D88" i="12"/>
  <c r="D89" i="12"/>
  <c r="D96" i="12"/>
  <c r="D104" i="12"/>
  <c r="D105" i="12"/>
  <c r="D113" i="12"/>
  <c r="D112" i="12"/>
  <c r="D120" i="12"/>
  <c r="D121" i="12"/>
  <c r="C121" i="12"/>
  <c r="C120" i="12"/>
  <c r="C113" i="12"/>
  <c r="C112" i="12"/>
  <c r="C105" i="12"/>
  <c r="C104" i="12"/>
  <c r="C97" i="12"/>
  <c r="C96" i="12"/>
  <c r="C89" i="12"/>
  <c r="C88" i="12"/>
  <c r="C81" i="12"/>
  <c r="C80" i="12"/>
  <c r="C73" i="12"/>
  <c r="C72" i="12"/>
  <c r="C94" i="13"/>
  <c r="C92" i="13"/>
  <c r="D94" i="13"/>
  <c r="D92" i="13"/>
  <c r="B179" i="13"/>
  <c r="B178" i="13"/>
  <c r="B176" i="13"/>
  <c r="B177" i="13"/>
  <c r="C126" i="13"/>
  <c r="D126" i="13"/>
  <c r="B175" i="13"/>
  <c r="B354" i="13"/>
  <c r="B316" i="13"/>
  <c r="B312" i="13"/>
  <c r="B286" i="13"/>
  <c r="B289" i="13"/>
  <c r="B356" i="13"/>
  <c r="B318" i="13"/>
  <c r="B288" i="13"/>
  <c r="B258" i="13"/>
  <c r="B355" i="13"/>
  <c r="B331" i="13"/>
  <c r="B313" i="13"/>
  <c r="B287" i="13"/>
  <c r="B353" i="13"/>
  <c r="B319" i="13"/>
  <c r="B315" i="13"/>
  <c r="B259" i="13"/>
  <c r="B332" i="13"/>
  <c r="B314" i="13"/>
  <c r="B317" i="13"/>
  <c r="B257" i="13"/>
  <c r="B50" i="14"/>
  <c r="B60" i="12"/>
  <c r="B50" i="12"/>
  <c r="B49" i="12"/>
  <c r="B79" i="15"/>
  <c r="B60" i="15"/>
  <c r="B39" i="15"/>
  <c r="B41" i="15"/>
  <c r="B61" i="15"/>
  <c r="B78" i="15"/>
  <c r="B59" i="15"/>
  <c r="B26" i="15"/>
  <c r="B77" i="15"/>
  <c r="B40" i="15"/>
  <c r="B173" i="13"/>
  <c r="B174" i="13"/>
  <c r="B172" i="13"/>
  <c r="B171" i="13"/>
  <c r="B170" i="13"/>
  <c r="B169" i="13"/>
  <c r="B168" i="13"/>
  <c r="B167" i="13"/>
  <c r="B166" i="13"/>
  <c r="B37" i="13"/>
  <c r="B36" i="13"/>
  <c r="B70" i="13"/>
  <c r="C310" i="13"/>
  <c r="C309" i="13"/>
  <c r="C308" i="13"/>
  <c r="C307" i="13"/>
  <c r="D309" i="13"/>
  <c r="D308" i="13"/>
  <c r="D304" i="13"/>
  <c r="D307" i="13"/>
  <c r="D310" i="13"/>
  <c r="D255" i="13"/>
  <c r="D253" i="13"/>
  <c r="D252" i="13"/>
  <c r="D254" i="13"/>
  <c r="C125" i="13"/>
  <c r="C120" i="13"/>
  <c r="C127" i="13"/>
  <c r="C121" i="13"/>
  <c r="C123" i="13"/>
  <c r="B43" i="13"/>
  <c r="C122" i="13"/>
  <c r="C119" i="13"/>
  <c r="C118" i="13"/>
  <c r="C124" i="13"/>
  <c r="C51" i="13"/>
  <c r="C24" i="13"/>
  <c r="C302" i="13"/>
  <c r="C341" i="13"/>
  <c r="D327" i="13"/>
  <c r="B164" i="13"/>
  <c r="D302" i="13"/>
  <c r="B163" i="13"/>
  <c r="D351" i="13"/>
  <c r="C328" i="13"/>
  <c r="B38" i="13"/>
  <c r="C340" i="13"/>
  <c r="D340" i="13"/>
  <c r="D328" i="13"/>
  <c r="B161" i="13"/>
  <c r="D349" i="13"/>
  <c r="B347" i="13"/>
  <c r="D297" i="13"/>
  <c r="B40" i="13"/>
  <c r="D345" i="13"/>
  <c r="D300" i="13"/>
  <c r="D348" i="13"/>
  <c r="B338" i="13"/>
  <c r="C345" i="13"/>
  <c r="B162" i="13"/>
  <c r="B42" i="13"/>
  <c r="D350" i="13"/>
  <c r="C344" i="13"/>
  <c r="C327" i="13"/>
  <c r="D303" i="13"/>
  <c r="D342" i="13"/>
  <c r="B41" i="13"/>
  <c r="C301" i="13"/>
  <c r="D301" i="13"/>
  <c r="C299" i="13"/>
  <c r="D341" i="13"/>
  <c r="C329" i="13"/>
  <c r="B39" i="13"/>
  <c r="C298" i="13"/>
  <c r="D344" i="13"/>
  <c r="D299" i="13"/>
  <c r="C297" i="13"/>
  <c r="C304" i="13"/>
  <c r="D329" i="13"/>
  <c r="B165" i="13"/>
  <c r="C300" i="13"/>
  <c r="C303" i="13"/>
  <c r="C56" i="15"/>
  <c r="C8" i="15"/>
  <c r="B29" i="15" s="1"/>
  <c r="B24" i="15"/>
  <c r="C55" i="15"/>
  <c r="C7" i="15"/>
  <c r="C71" i="15"/>
  <c r="B25" i="15"/>
  <c r="C54" i="15"/>
  <c r="C22" i="15"/>
  <c r="C75" i="15"/>
  <c r="C48" i="15"/>
  <c r="C21" i="15"/>
  <c r="C73" i="15"/>
  <c r="C37" i="15"/>
  <c r="C36" i="15"/>
  <c r="C35" i="15"/>
  <c r="C70" i="15"/>
  <c r="C69" i="15"/>
  <c r="C17" i="15"/>
  <c r="C68" i="15"/>
  <c r="C10" i="15"/>
  <c r="C52" i="15"/>
  <c r="C20" i="15"/>
  <c r="C49" i="15"/>
  <c r="C51" i="15"/>
  <c r="C19" i="15"/>
  <c r="C53" i="15"/>
  <c r="C50" i="15"/>
  <c r="C18" i="15"/>
  <c r="C57" i="15"/>
  <c r="C74" i="15"/>
  <c r="C9" i="15"/>
  <c r="C72" i="15"/>
  <c r="C34" i="15"/>
  <c r="C33" i="15"/>
  <c r="C296" i="13"/>
  <c r="D282" i="13"/>
  <c r="D274" i="13"/>
  <c r="D268" i="13"/>
  <c r="C282" i="13"/>
  <c r="C277" i="13"/>
  <c r="C272" i="13"/>
  <c r="C267" i="13"/>
  <c r="C253" i="13"/>
  <c r="D238" i="13"/>
  <c r="D234" i="13"/>
  <c r="D228" i="13"/>
  <c r="D224" i="13"/>
  <c r="D216" i="13"/>
  <c r="D278" i="13"/>
  <c r="C284" i="13"/>
  <c r="C274" i="13"/>
  <c r="D236" i="13"/>
  <c r="D226" i="13"/>
  <c r="D277" i="13"/>
  <c r="D269" i="13"/>
  <c r="C278" i="13"/>
  <c r="C268" i="13"/>
  <c r="C254" i="13"/>
  <c r="D239" i="13"/>
  <c r="D229" i="13"/>
  <c r="D220" i="13"/>
  <c r="D279" i="13"/>
  <c r="D273" i="13"/>
  <c r="D267" i="13"/>
  <c r="C281" i="13"/>
  <c r="C276" i="13"/>
  <c r="C271" i="13"/>
  <c r="C266" i="13"/>
  <c r="C252" i="13"/>
  <c r="D237" i="13"/>
  <c r="D233" i="13"/>
  <c r="D227" i="13"/>
  <c r="D219" i="13"/>
  <c r="D215" i="13"/>
  <c r="D272" i="13"/>
  <c r="C279" i="13"/>
  <c r="C269" i="13"/>
  <c r="C255" i="13"/>
  <c r="D230" i="13"/>
  <c r="D218" i="13"/>
  <c r="D214" i="13"/>
  <c r="D283" i="13"/>
  <c r="C283" i="13"/>
  <c r="C273" i="13"/>
  <c r="D235" i="13"/>
  <c r="D225" i="13"/>
  <c r="D284" i="13"/>
  <c r="C220" i="13"/>
  <c r="C218" i="13"/>
  <c r="D207" i="13"/>
  <c r="D205" i="13"/>
  <c r="D203" i="13"/>
  <c r="D201" i="13"/>
  <c r="C198" i="13"/>
  <c r="C196" i="13"/>
  <c r="C194" i="13"/>
  <c r="D158" i="13"/>
  <c r="D156" i="13"/>
  <c r="D154" i="13"/>
  <c r="C151" i="13"/>
  <c r="C149" i="13"/>
  <c r="C147" i="13"/>
  <c r="C145" i="13"/>
  <c r="C143" i="13"/>
  <c r="C141" i="13"/>
  <c r="D134" i="13"/>
  <c r="D132" i="13"/>
  <c r="D125" i="13"/>
  <c r="D121" i="13"/>
  <c r="D119" i="13"/>
  <c r="C114" i="13"/>
  <c r="D110" i="13"/>
  <c r="D108" i="13"/>
  <c r="D106" i="13"/>
  <c r="C96" i="13"/>
  <c r="C91" i="13"/>
  <c r="C89" i="13"/>
  <c r="C87" i="13"/>
  <c r="D85" i="13"/>
  <c r="D83" i="13"/>
  <c r="D81" i="13"/>
  <c r="D79" i="13"/>
  <c r="D68" i="13"/>
  <c r="D66" i="13"/>
  <c r="D64" i="13"/>
  <c r="D62" i="13"/>
  <c r="D52" i="13"/>
  <c r="D50" i="13"/>
  <c r="D26" i="13"/>
  <c r="C16" i="13"/>
  <c r="B323" i="13" s="1"/>
  <c r="C12" i="13"/>
  <c r="B210" i="13" s="1"/>
  <c r="C8" i="13"/>
  <c r="B46" i="13" s="1"/>
  <c r="D31" i="13"/>
  <c r="D24" i="13"/>
  <c r="C15" i="13"/>
  <c r="B292" i="13" s="1"/>
  <c r="C7" i="13"/>
  <c r="B20" i="13" s="1"/>
  <c r="C219" i="13"/>
  <c r="C216" i="13"/>
  <c r="C214" i="13"/>
  <c r="C207" i="13"/>
  <c r="C205" i="13"/>
  <c r="C203" i="13"/>
  <c r="C201" i="13"/>
  <c r="D197" i="13"/>
  <c r="D195" i="13"/>
  <c r="D193" i="13"/>
  <c r="C158" i="13"/>
  <c r="C156" i="13"/>
  <c r="C154" i="13"/>
  <c r="D150" i="13"/>
  <c r="D148" i="13"/>
  <c r="D146" i="13"/>
  <c r="D144" i="13"/>
  <c r="D142" i="13"/>
  <c r="D140" i="13"/>
  <c r="C134" i="13"/>
  <c r="C132" i="13"/>
  <c r="D128" i="13"/>
  <c r="D124" i="13"/>
  <c r="D115" i="13"/>
  <c r="C110" i="13"/>
  <c r="C108" i="13"/>
  <c r="C106" i="13"/>
  <c r="D95" i="13"/>
  <c r="D90" i="13"/>
  <c r="D88" i="13"/>
  <c r="C85" i="13"/>
  <c r="C83" i="13"/>
  <c r="C81" i="13"/>
  <c r="C79" i="13"/>
  <c r="C68" i="13"/>
  <c r="C66" i="13"/>
  <c r="C64" i="13"/>
  <c r="C62" i="13"/>
  <c r="C52" i="13"/>
  <c r="C50" i="13"/>
  <c r="C26" i="13"/>
  <c r="C11" i="13"/>
  <c r="B189" i="13" s="1"/>
  <c r="C223" i="13"/>
  <c r="C232" i="13"/>
  <c r="C215" i="13"/>
  <c r="D206" i="13"/>
  <c r="D204" i="13"/>
  <c r="D202" i="13"/>
  <c r="B200" i="13"/>
  <c r="C197" i="13"/>
  <c r="C195" i="13"/>
  <c r="C193" i="13"/>
  <c r="D159" i="13"/>
  <c r="D157" i="13"/>
  <c r="D155" i="13"/>
  <c r="C150" i="13"/>
  <c r="C148" i="13"/>
  <c r="C146" i="13"/>
  <c r="C144" i="13"/>
  <c r="C142" i="13"/>
  <c r="C140" i="13"/>
  <c r="D133" i="13"/>
  <c r="D131" i="13"/>
  <c r="C128" i="13"/>
  <c r="D123" i="13"/>
  <c r="D120" i="13"/>
  <c r="D118" i="13"/>
  <c r="C115" i="13"/>
  <c r="D111" i="13"/>
  <c r="D109" i="13"/>
  <c r="D107" i="13"/>
  <c r="C95" i="13"/>
  <c r="C90" i="13"/>
  <c r="C88" i="13"/>
  <c r="D86" i="13"/>
  <c r="D84" i="13"/>
  <c r="D82" i="13"/>
  <c r="D80" i="13"/>
  <c r="D78" i="13"/>
  <c r="D67" i="13"/>
  <c r="D65" i="13"/>
  <c r="D63" i="13"/>
  <c r="D53" i="13"/>
  <c r="D51" i="13"/>
  <c r="D34" i="13"/>
  <c r="C31" i="13"/>
  <c r="D25" i="13"/>
  <c r="C14" i="13"/>
  <c r="B262" i="13" s="1"/>
  <c r="C10" i="13"/>
  <c r="B73" i="13" s="1"/>
  <c r="C204" i="13"/>
  <c r="D194" i="13"/>
  <c r="C159" i="13"/>
  <c r="D149" i="13"/>
  <c r="D141" i="13"/>
  <c r="D127" i="13"/>
  <c r="D114" i="13"/>
  <c r="D96" i="13"/>
  <c r="C86" i="13"/>
  <c r="C78" i="13"/>
  <c r="C63" i="13"/>
  <c r="C34" i="13"/>
  <c r="C131" i="13"/>
  <c r="C107" i="13"/>
  <c r="C65" i="13"/>
  <c r="C9" i="13"/>
  <c r="B58" i="13" s="1"/>
  <c r="C202" i="13"/>
  <c r="B192" i="13"/>
  <c r="C157" i="13"/>
  <c r="D147" i="13"/>
  <c r="D122" i="13"/>
  <c r="C111" i="13"/>
  <c r="D91" i="13"/>
  <c r="C84" i="13"/>
  <c r="C17" i="13"/>
  <c r="B335" i="13" s="1"/>
  <c r="D196" i="13"/>
  <c r="D143" i="13"/>
  <c r="D87" i="13"/>
  <c r="D198" i="13"/>
  <c r="C155" i="13"/>
  <c r="D145" i="13"/>
  <c r="C133" i="13"/>
  <c r="C109" i="13"/>
  <c r="D89" i="13"/>
  <c r="C82" i="13"/>
  <c r="C67" i="13"/>
  <c r="C53" i="13"/>
  <c r="C13" i="13"/>
  <c r="B248" i="13" s="1"/>
  <c r="C206" i="13"/>
  <c r="D151" i="13"/>
  <c r="C80" i="13"/>
  <c r="C25" i="13"/>
  <c r="D7" i="2"/>
  <c r="D29" i="2"/>
  <c r="C36" i="14"/>
  <c r="C26" i="14"/>
  <c r="C17" i="14"/>
  <c r="C41" i="14"/>
  <c r="C31" i="14"/>
  <c r="D20" i="14"/>
  <c r="C35" i="14"/>
  <c r="C24" i="14"/>
  <c r="C16" i="14"/>
  <c r="D21" i="14"/>
  <c r="B46" i="14"/>
  <c r="C34" i="14"/>
  <c r="C23" i="14"/>
  <c r="C15" i="14"/>
  <c r="D37" i="14"/>
  <c r="C28" i="14"/>
  <c r="D18" i="14"/>
  <c r="B44" i="14"/>
  <c r="C33" i="14"/>
  <c r="C22" i="14"/>
  <c r="D41" i="14"/>
  <c r="C32" i="14"/>
  <c r="C21" i="14"/>
  <c r="D35" i="14"/>
  <c r="D24" i="14"/>
  <c r="D16" i="14"/>
  <c r="C40" i="14"/>
  <c r="D29" i="14"/>
  <c r="C20" i="14"/>
  <c r="C7" i="14"/>
  <c r="B43" i="14"/>
  <c r="D28" i="14"/>
  <c r="D33" i="14"/>
  <c r="C18" i="14"/>
  <c r="D32" i="14"/>
  <c r="D19" i="14"/>
  <c r="D17" i="14"/>
  <c r="D15" i="14"/>
  <c r="B48" i="14"/>
  <c r="C19" i="14"/>
  <c r="D22" i="14"/>
  <c r="C14" i="14"/>
  <c r="C37" i="14"/>
  <c r="D38" i="14"/>
  <c r="D36" i="14"/>
  <c r="B49" i="14"/>
  <c r="C38" i="14"/>
  <c r="C27" i="14"/>
  <c r="B45" i="14"/>
  <c r="D23" i="14"/>
  <c r="D27" i="14"/>
  <c r="C29" i="14"/>
  <c r="B47" i="14"/>
  <c r="D34" i="14"/>
  <c r="D76" i="12"/>
  <c r="C70" i="12"/>
  <c r="C9" i="12"/>
  <c r="B63" i="12" s="1"/>
  <c r="C118" i="12"/>
  <c r="C116" i="12"/>
  <c r="C110" i="12"/>
  <c r="C108" i="12"/>
  <c r="C102" i="12"/>
  <c r="C100" i="12"/>
  <c r="C94" i="12"/>
  <c r="C92" i="12"/>
  <c r="C86" i="12"/>
  <c r="C84" i="12"/>
  <c r="C78" i="12"/>
  <c r="C76" i="12"/>
  <c r="D68" i="12"/>
  <c r="C69" i="12"/>
  <c r="D119" i="12"/>
  <c r="D117" i="12"/>
  <c r="D111" i="12"/>
  <c r="D109" i="12"/>
  <c r="D103" i="12"/>
  <c r="D101" i="12"/>
  <c r="D95" i="12"/>
  <c r="D93" i="12"/>
  <c r="D87" i="12"/>
  <c r="D85" i="12"/>
  <c r="D79" i="12"/>
  <c r="D77" i="12"/>
  <c r="D71" i="12"/>
  <c r="D67" i="12"/>
  <c r="C68" i="12"/>
  <c r="B59" i="12"/>
  <c r="C119" i="12"/>
  <c r="C117" i="12"/>
  <c r="C111" i="12"/>
  <c r="C109" i="12"/>
  <c r="C103" i="12"/>
  <c r="C101" i="12"/>
  <c r="C95" i="12"/>
  <c r="C93" i="12"/>
  <c r="C87" i="12"/>
  <c r="C85" i="12"/>
  <c r="C79" i="12"/>
  <c r="C77" i="12"/>
  <c r="D70" i="12"/>
  <c r="C71" i="12"/>
  <c r="C67" i="12"/>
  <c r="D118" i="12"/>
  <c r="D116" i="12"/>
  <c r="D110" i="12"/>
  <c r="D108" i="12"/>
  <c r="D102" i="12"/>
  <c r="D100" i="12"/>
  <c r="D94" i="12"/>
  <c r="D92" i="12"/>
  <c r="D86" i="12"/>
  <c r="D84" i="12"/>
  <c r="D78" i="12"/>
  <c r="D69" i="12"/>
  <c r="C57" i="12"/>
  <c r="D27" i="2"/>
  <c r="C32" i="12"/>
  <c r="D39" i="12"/>
  <c r="D31" i="12"/>
  <c r="D22" i="12"/>
  <c r="B47" i="12"/>
  <c r="C37" i="12"/>
  <c r="C29" i="12"/>
  <c r="C20" i="12"/>
  <c r="D38" i="12"/>
  <c r="D30" i="12"/>
  <c r="D21" i="12"/>
  <c r="C8" i="12"/>
  <c r="C30" i="12"/>
  <c r="B48" i="12"/>
  <c r="D37" i="12"/>
  <c r="D29" i="12"/>
  <c r="D20" i="12"/>
  <c r="C44" i="12"/>
  <c r="C35" i="12"/>
  <c r="C27" i="12"/>
  <c r="C18" i="12"/>
  <c r="D44" i="12"/>
  <c r="D35" i="12"/>
  <c r="D27" i="12"/>
  <c r="D18" i="12"/>
  <c r="C41" i="12"/>
  <c r="C33" i="12"/>
  <c r="C24" i="12"/>
  <c r="C16" i="12"/>
  <c r="D42" i="12"/>
  <c r="D34" i="12"/>
  <c r="D26" i="12"/>
  <c r="D17" i="12"/>
  <c r="D33" i="12"/>
  <c r="C39" i="12"/>
  <c r="D40" i="12"/>
  <c r="D23" i="12"/>
  <c r="C21" i="12"/>
  <c r="C28" i="12"/>
  <c r="C26" i="12"/>
  <c r="D24" i="12"/>
  <c r="C31" i="12"/>
  <c r="D36" i="12"/>
  <c r="D19" i="12"/>
  <c r="C7" i="12"/>
  <c r="C19" i="12"/>
  <c r="C17" i="12"/>
  <c r="C23" i="12"/>
  <c r="D16" i="12"/>
  <c r="C22" i="12"/>
  <c r="D57" i="12"/>
  <c r="D32" i="12"/>
  <c r="C45" i="12"/>
  <c r="C42" i="12"/>
  <c r="D28" i="12"/>
  <c r="C40" i="12"/>
  <c r="D41" i="12"/>
  <c r="C34" i="12"/>
  <c r="C38" i="12"/>
  <c r="D45" i="12"/>
  <c r="C36" i="12"/>
  <c r="D73" i="15"/>
  <c r="D31" i="2"/>
  <c r="D69" i="15"/>
  <c r="D56" i="15"/>
  <c r="D48" i="15"/>
  <c r="D70" i="15"/>
  <c r="D17" i="15"/>
  <c r="D54" i="15"/>
  <c r="D22" i="15"/>
  <c r="D75" i="15"/>
  <c r="D52" i="15"/>
  <c r="D36" i="15"/>
  <c r="D20" i="15"/>
  <c r="D74" i="15"/>
  <c r="D49" i="15"/>
  <c r="D34" i="15"/>
  <c r="D72" i="15"/>
  <c r="D71" i="15"/>
  <c r="D18" i="15"/>
  <c r="D57" i="15"/>
  <c r="D55" i="15"/>
  <c r="D53" i="15"/>
  <c r="D33" i="15"/>
  <c r="D37" i="15"/>
  <c r="D50" i="15"/>
  <c r="D51" i="15"/>
  <c r="D35" i="15"/>
  <c r="D21" i="15"/>
  <c r="D19" i="15"/>
  <c r="AQ54" i="6"/>
  <c r="AK54" i="6"/>
  <c r="AE54" i="6"/>
  <c r="Y54" i="6"/>
  <c r="S54" i="6"/>
  <c r="A53" i="6" l="1"/>
  <c r="AQ151" i="6" l="1"/>
  <c r="AQ139" i="6"/>
  <c r="AQ138" i="6"/>
  <c r="AQ137" i="6"/>
  <c r="AQ136" i="6"/>
  <c r="AQ135" i="6"/>
  <c r="AQ134" i="6"/>
  <c r="AQ133" i="6"/>
  <c r="AQ132" i="6"/>
  <c r="AQ131" i="6"/>
  <c r="AQ130" i="6"/>
  <c r="AQ129" i="6"/>
  <c r="AQ128" i="6"/>
  <c r="AQ127" i="6"/>
  <c r="AQ126" i="6"/>
  <c r="AQ125" i="6"/>
  <c r="AQ124" i="6"/>
  <c r="AQ123" i="6"/>
  <c r="AQ122" i="6"/>
  <c r="AQ121" i="6"/>
  <c r="AQ120" i="6"/>
  <c r="AQ119" i="6"/>
  <c r="AQ118" i="6"/>
  <c r="AQ117" i="6"/>
  <c r="AQ116" i="6"/>
  <c r="AQ115" i="6"/>
  <c r="AQ114" i="6"/>
  <c r="AQ113" i="6"/>
  <c r="AQ112" i="6"/>
  <c r="AQ111" i="6"/>
  <c r="AQ110" i="6"/>
  <c r="AQ109" i="6"/>
  <c r="AQ108" i="6"/>
  <c r="AQ107" i="6"/>
  <c r="AQ106" i="6"/>
  <c r="AQ105" i="6"/>
  <c r="AQ104" i="6"/>
  <c r="AQ103" i="6"/>
  <c r="AQ102" i="6"/>
  <c r="AQ101" i="6"/>
  <c r="AQ100" i="6"/>
  <c r="AQ99" i="6"/>
  <c r="AQ98" i="6"/>
  <c r="AQ97" i="6"/>
  <c r="AQ96" i="6"/>
  <c r="AQ95" i="6"/>
  <c r="AQ94" i="6"/>
  <c r="AQ93" i="6"/>
  <c r="AQ92" i="6"/>
  <c r="AQ91" i="6"/>
  <c r="AQ90" i="6"/>
  <c r="AQ89" i="6"/>
  <c r="AQ88" i="6"/>
  <c r="AQ87" i="6"/>
  <c r="AQ86" i="6"/>
  <c r="AQ85" i="6"/>
  <c r="AQ84" i="6"/>
  <c r="AQ83" i="6"/>
  <c r="AQ82" i="6"/>
  <c r="AQ81" i="6"/>
  <c r="AQ80" i="6"/>
  <c r="AQ79" i="6"/>
  <c r="AQ78" i="6"/>
  <c r="AQ77" i="6"/>
  <c r="AQ76" i="6"/>
  <c r="AQ75" i="6"/>
  <c r="AQ74" i="6"/>
  <c r="AQ73" i="6"/>
  <c r="AQ72" i="6"/>
  <c r="AQ71" i="6"/>
  <c r="AQ70" i="6"/>
  <c r="AQ69" i="6"/>
  <c r="AQ68" i="6"/>
  <c r="AQ67" i="6"/>
  <c r="AQ66" i="6"/>
  <c r="AQ65" i="6"/>
  <c r="AQ64" i="6"/>
  <c r="AQ63" i="6"/>
  <c r="AQ62" i="6"/>
  <c r="AQ61" i="6"/>
  <c r="AQ60" i="6"/>
  <c r="AQ59" i="6"/>
  <c r="AQ58" i="6"/>
  <c r="AQ57" i="6"/>
  <c r="AQ56" i="6"/>
  <c r="AQ55" i="6"/>
  <c r="AQ53" i="6"/>
  <c r="AQ52" i="6"/>
  <c r="AQ51" i="6"/>
  <c r="AQ50" i="6"/>
  <c r="AQ49" i="6"/>
  <c r="AQ48" i="6"/>
  <c r="AQ47" i="6"/>
  <c r="AQ46" i="6"/>
  <c r="AQ45" i="6"/>
  <c r="AQ44" i="6"/>
  <c r="AQ43" i="6"/>
  <c r="AQ42" i="6"/>
  <c r="AQ41" i="6"/>
  <c r="AQ40"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5" i="6"/>
  <c r="AQ4" i="6"/>
  <c r="AQ3" i="6"/>
  <c r="AQ2" i="6"/>
  <c r="C63" i="11" l="1"/>
  <c r="C99" i="11"/>
  <c r="C98" i="11"/>
  <c r="B70" i="11"/>
  <c r="B69" i="11"/>
  <c r="B68" i="11"/>
  <c r="D34" i="11"/>
  <c r="B81" i="11"/>
  <c r="B90" i="11"/>
  <c r="B67" i="11"/>
  <c r="B103" i="11"/>
  <c r="B102" i="11"/>
  <c r="B118" i="11"/>
  <c r="B66" i="11"/>
  <c r="C58" i="11"/>
  <c r="B65" i="11"/>
  <c r="C62" i="11"/>
  <c r="C57" i="11"/>
  <c r="C53" i="11"/>
  <c r="C49" i="11"/>
  <c r="C45" i="11"/>
  <c r="C56" i="11"/>
  <c r="C52" i="11"/>
  <c r="C44" i="11"/>
  <c r="C60" i="11"/>
  <c r="C51" i="11"/>
  <c r="C47" i="11"/>
  <c r="C54" i="11"/>
  <c r="C46" i="11"/>
  <c r="C43" i="11"/>
  <c r="C61" i="11"/>
  <c r="C48" i="11"/>
  <c r="C55" i="11"/>
  <c r="C42" i="11"/>
  <c r="C59" i="11"/>
  <c r="C50" i="11"/>
  <c r="D42" i="11"/>
  <c r="D63" i="11"/>
  <c r="B117" i="11"/>
  <c r="C8" i="11"/>
  <c r="D22" i="2"/>
  <c r="D110" i="11"/>
  <c r="D88" i="11"/>
  <c r="D47" i="11"/>
  <c r="C38" i="11"/>
  <c r="C114" i="11"/>
  <c r="C78" i="11"/>
  <c r="D59" i="11"/>
  <c r="D51" i="11"/>
  <c r="D48" i="11"/>
  <c r="C39" i="11"/>
  <c r="D45" i="11"/>
  <c r="D33" i="11"/>
  <c r="C112" i="11"/>
  <c r="D57" i="11"/>
  <c r="D114" i="11"/>
  <c r="C97" i="11"/>
  <c r="D78" i="11"/>
  <c r="D31" i="11"/>
  <c r="C110" i="11"/>
  <c r="C88" i="11"/>
  <c r="D55" i="11"/>
  <c r="D113" i="11"/>
  <c r="D77" i="11"/>
  <c r="D44" i="11"/>
  <c r="D32" i="11"/>
  <c r="C40" i="11"/>
  <c r="D111" i="11"/>
  <c r="D50" i="11"/>
  <c r="D30" i="11"/>
  <c r="D54" i="11"/>
  <c r="C30" i="11"/>
  <c r="C21" i="11"/>
  <c r="C7" i="11"/>
  <c r="D60" i="11"/>
  <c r="D39" i="11"/>
  <c r="C25" i="11"/>
  <c r="D19" i="11"/>
  <c r="C77" i="11"/>
  <c r="D43" i="11"/>
  <c r="C27" i="11"/>
  <c r="C19" i="11"/>
  <c r="D41" i="11"/>
  <c r="B101" i="11"/>
  <c r="D46" i="11"/>
  <c r="C28" i="11"/>
  <c r="D20" i="11"/>
  <c r="D52" i="11"/>
  <c r="C33" i="11"/>
  <c r="D24" i="11"/>
  <c r="D58" i="11"/>
  <c r="D38" i="11"/>
  <c r="D26" i="11"/>
  <c r="D61" i="11"/>
  <c r="C41" i="11"/>
  <c r="D40" i="11"/>
  <c r="D25" i="11"/>
  <c r="D97" i="11"/>
  <c r="D29" i="11"/>
  <c r="D22" i="11"/>
  <c r="C10" i="11"/>
  <c r="C113" i="11"/>
  <c r="C32" i="11"/>
  <c r="C24" i="11"/>
  <c r="C9" i="11"/>
  <c r="D53" i="11"/>
  <c r="C37" i="11"/>
  <c r="C36" i="11"/>
  <c r="C79" i="11"/>
  <c r="C29" i="11"/>
  <c r="D23" i="11"/>
  <c r="C23" i="11"/>
  <c r="C22" i="11"/>
  <c r="C18" i="11"/>
  <c r="C111" i="11"/>
  <c r="D112" i="11"/>
  <c r="D79" i="11"/>
  <c r="C11" i="11"/>
  <c r="D27" i="11"/>
  <c r="D56" i="11"/>
  <c r="C31" i="11"/>
  <c r="D49" i="11"/>
  <c r="D62" i="11"/>
  <c r="C20" i="11"/>
  <c r="D37" i="11"/>
  <c r="D21" i="11"/>
  <c r="B116" i="11"/>
  <c r="D28" i="11"/>
  <c r="C26" i="11"/>
  <c r="AK141" i="6"/>
  <c r="AK140" i="6"/>
  <c r="AK139" i="6"/>
  <c r="AK138" i="6"/>
  <c r="AK137" i="6"/>
  <c r="AK136" i="6"/>
  <c r="AK135" i="6"/>
  <c r="AK134" i="6"/>
  <c r="AK133" i="6"/>
  <c r="AK132" i="6"/>
  <c r="AK131" i="6"/>
  <c r="AK130" i="6"/>
  <c r="AK129" i="6"/>
  <c r="AK128" i="6"/>
  <c r="AK127" i="6"/>
  <c r="AK126"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7" i="6"/>
  <c r="AK66" i="6"/>
  <c r="AK65" i="6"/>
  <c r="AK64" i="6"/>
  <c r="AK63" i="6"/>
  <c r="AK62" i="6"/>
  <c r="AK61" i="6"/>
  <c r="AK60" i="6"/>
  <c r="AK59" i="6"/>
  <c r="AK58" i="6"/>
  <c r="AK57" i="6"/>
  <c r="AK56" i="6"/>
  <c r="AK55"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K3" i="6"/>
  <c r="AK2" i="6"/>
  <c r="AE151" i="6"/>
  <c r="AE150" i="6"/>
  <c r="AE149" i="6"/>
  <c r="AE148" i="6"/>
  <c r="AE147" i="6"/>
  <c r="AE146" i="6"/>
  <c r="AE145" i="6"/>
  <c r="AE144" i="6"/>
  <c r="AE143" i="6"/>
  <c r="AE142" i="6"/>
  <c r="AE141" i="6"/>
  <c r="AE140" i="6"/>
  <c r="AE139" i="6"/>
  <c r="AE138" i="6"/>
  <c r="AE137" i="6"/>
  <c r="AE136" i="6"/>
  <c r="AE131" i="6"/>
  <c r="AE130" i="6"/>
  <c r="AE129" i="6"/>
  <c r="AE128" i="6"/>
  <c r="AE127" i="6"/>
  <c r="AE126" i="6"/>
  <c r="AE125" i="6"/>
  <c r="AE124" i="6"/>
  <c r="AE123" i="6"/>
  <c r="AE122" i="6"/>
  <c r="AE121" i="6"/>
  <c r="AE120" i="6"/>
  <c r="AE119" i="6"/>
  <c r="AE118" i="6"/>
  <c r="AE117" i="6"/>
  <c r="AE116" i="6"/>
  <c r="AE115" i="6"/>
  <c r="AE114" i="6"/>
  <c r="AE113" i="6"/>
  <c r="AE112" i="6"/>
  <c r="AE111" i="6"/>
  <c r="AE110" i="6"/>
  <c r="AE109" i="6"/>
  <c r="AE108" i="6"/>
  <c r="AE107" i="6"/>
  <c r="AE106" i="6"/>
  <c r="AE105" i="6"/>
  <c r="AE104" i="6"/>
  <c r="AE103" i="6"/>
  <c r="AE102" i="6"/>
  <c r="AE101" i="6"/>
  <c r="AE100" i="6"/>
  <c r="AE99" i="6"/>
  <c r="AE98" i="6"/>
  <c r="AE97" i="6"/>
  <c r="AE96" i="6"/>
  <c r="AE95" i="6"/>
  <c r="AE94" i="6"/>
  <c r="AE93" i="6"/>
  <c r="AE92" i="6"/>
  <c r="AE91"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60" i="6"/>
  <c r="AE59" i="6"/>
  <c r="AE58" i="6"/>
  <c r="AE57" i="6"/>
  <c r="AE56" i="6"/>
  <c r="AE55" i="6"/>
  <c r="AE53" i="6"/>
  <c r="AE52" i="6"/>
  <c r="AE51" i="6"/>
  <c r="AE50" i="6"/>
  <c r="AE49" i="6"/>
  <c r="AE48" i="6"/>
  <c r="AE47" i="6"/>
  <c r="AE46"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AE6" i="6"/>
  <c r="AE5" i="6"/>
  <c r="AE4" i="6"/>
  <c r="AE3" i="6"/>
  <c r="AE2" i="6"/>
  <c r="Y151" i="6"/>
  <c r="Y150" i="6"/>
  <c r="Y149" i="6"/>
  <c r="Y148" i="6"/>
  <c r="Y147" i="6"/>
  <c r="Y146" i="6"/>
  <c r="Y145" i="6"/>
  <c r="Y144" i="6"/>
  <c r="Y143" i="6"/>
  <c r="Y142" i="6"/>
  <c r="Y141" i="6"/>
  <c r="Y140" i="6"/>
  <c r="Y139" i="6"/>
  <c r="Y138" i="6"/>
  <c r="Y137" i="6"/>
  <c r="Y136"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 i="6"/>
  <c r="Y2" i="6"/>
  <c r="A48" i="6"/>
  <c r="A49" i="6"/>
  <c r="A50" i="6"/>
  <c r="A51" i="6"/>
  <c r="A52" i="6"/>
  <c r="A37" i="6"/>
  <c r="A38" i="6"/>
  <c r="A39" i="6"/>
  <c r="A40" i="6"/>
  <c r="A41" i="6"/>
  <c r="A42" i="6"/>
  <c r="A43" i="6"/>
  <c r="A44" i="6"/>
  <c r="A45" i="6"/>
  <c r="A46" i="6"/>
  <c r="A47" i="6"/>
  <c r="S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6" i="6"/>
  <c r="S137" i="6"/>
  <c r="S138" i="6"/>
  <c r="S139" i="6"/>
  <c r="S140" i="6"/>
  <c r="S141" i="6"/>
  <c r="S142" i="6"/>
  <c r="S143" i="6"/>
  <c r="S144" i="6"/>
  <c r="S145" i="6"/>
  <c r="S146" i="6"/>
  <c r="S147" i="6"/>
  <c r="S148" i="6"/>
  <c r="S149" i="6"/>
  <c r="S150" i="6"/>
  <c r="S151" i="6"/>
  <c r="S2" i="6"/>
  <c r="D83" i="10" l="1"/>
  <c r="D82" i="10"/>
  <c r="D81" i="10"/>
  <c r="C80" i="10"/>
  <c r="B86" i="10"/>
  <c r="B85" i="10"/>
  <c r="C83" i="10"/>
  <c r="C82" i="10"/>
  <c r="C81" i="10"/>
  <c r="D20" i="3"/>
  <c r="B240" i="4"/>
  <c r="C20" i="3"/>
  <c r="B61" i="10"/>
  <c r="B71" i="1"/>
  <c r="B70" i="1"/>
  <c r="C144" i="4"/>
  <c r="D144" i="4"/>
  <c r="B136" i="4"/>
  <c r="D90" i="4"/>
  <c r="C90" i="4"/>
  <c r="B76" i="10"/>
  <c r="B60" i="10"/>
  <c r="C167" i="4"/>
  <c r="D167" i="4"/>
  <c r="B135" i="4"/>
  <c r="B31" i="3"/>
  <c r="B54" i="4"/>
  <c r="C55" i="10"/>
  <c r="C51" i="10"/>
  <c r="C46" i="10"/>
  <c r="C41" i="10"/>
  <c r="D39" i="10"/>
  <c r="C39" i="10"/>
  <c r="C53" i="10"/>
  <c r="D41" i="10"/>
  <c r="C42" i="10"/>
  <c r="C52" i="10"/>
  <c r="C47" i="10"/>
  <c r="C40" i="10"/>
  <c r="C54" i="10"/>
  <c r="C49" i="10"/>
  <c r="C45" i="10"/>
  <c r="C43" i="10"/>
  <c r="C48" i="10"/>
  <c r="C38" i="10"/>
  <c r="D38" i="10"/>
  <c r="B252" i="4"/>
  <c r="D199" i="4"/>
  <c r="D207" i="4"/>
  <c r="D188" i="4"/>
  <c r="D172" i="4"/>
  <c r="D169" i="4"/>
  <c r="D153" i="4"/>
  <c r="C172" i="4"/>
  <c r="C153" i="4"/>
  <c r="C181" i="4"/>
  <c r="C158" i="4"/>
  <c r="C199" i="4"/>
  <c r="C207" i="4"/>
  <c r="C188" i="4"/>
  <c r="C169" i="4"/>
  <c r="D158" i="4"/>
  <c r="C190" i="4"/>
  <c r="D196" i="4"/>
  <c r="D181" i="4"/>
  <c r="D190" i="4"/>
  <c r="D161" i="4"/>
  <c r="C196" i="4"/>
  <c r="C161" i="4"/>
  <c r="C17" i="1"/>
  <c r="B108" i="1"/>
  <c r="B107" i="1"/>
  <c r="B69" i="1"/>
  <c r="D14" i="2"/>
  <c r="C187" i="4"/>
  <c r="C164" i="4"/>
  <c r="C208" i="4"/>
  <c r="C180" i="4"/>
  <c r="C204" i="4"/>
  <c r="D26" i="4"/>
  <c r="C192" i="4"/>
  <c r="C154" i="4" a="1"/>
  <c r="C154" i="4" s="1"/>
  <c r="C203" i="4"/>
  <c r="C165" i="4"/>
  <c r="C148" i="4"/>
  <c r="C166" i="4"/>
  <c r="C155" i="4"/>
  <c r="C191" i="4"/>
  <c r="C34" i="4"/>
  <c r="C202" i="4"/>
  <c r="C173" i="4"/>
  <c r="C152" i="4"/>
  <c r="C168" i="4"/>
  <c r="C198" i="4"/>
  <c r="C205" i="4"/>
  <c r="C174" i="4"/>
  <c r="C149" i="4"/>
  <c r="C26" i="4"/>
  <c r="B55" i="4"/>
  <c r="D34" i="4"/>
  <c r="C170" i="4"/>
  <c r="C186" i="4"/>
  <c r="C182" i="4"/>
  <c r="C197" i="4"/>
  <c r="C171" i="4"/>
  <c r="C147" i="4"/>
  <c r="C156" i="4"/>
  <c r="D71" i="10"/>
  <c r="C71" i="10"/>
  <c r="C15" i="10"/>
  <c r="B30" i="3"/>
  <c r="B28" i="3"/>
  <c r="B29" i="3"/>
  <c r="B251" i="4"/>
  <c r="C249" i="4"/>
  <c r="D248" i="4"/>
  <c r="C248" i="4"/>
  <c r="D247" i="4"/>
  <c r="D249" i="4"/>
  <c r="C247" i="4"/>
  <c r="B239" i="4"/>
  <c r="D222" i="4"/>
  <c r="D237" i="4"/>
  <c r="D221" i="4"/>
  <c r="D236" i="4"/>
  <c r="D226" i="4"/>
  <c r="C201" i="4"/>
  <c r="D208" i="4"/>
  <c r="D189" i="4"/>
  <c r="D155" i="4"/>
  <c r="C177" i="4"/>
  <c r="B211" i="4"/>
  <c r="D151" i="4"/>
  <c r="C179" i="4"/>
  <c r="C189" i="4"/>
  <c r="C185" i="4"/>
  <c r="B212" i="4"/>
  <c r="D195" i="4"/>
  <c r="D175" i="4"/>
  <c r="D168" i="4"/>
  <c r="C143" i="4"/>
  <c r="C151" i="4"/>
  <c r="D204" i="4"/>
  <c r="B133" i="4"/>
  <c r="D112" i="4"/>
  <c r="D96" i="4"/>
  <c r="D105" i="4"/>
  <c r="D119" i="4"/>
  <c r="D103" i="4"/>
  <c r="D101" i="4"/>
  <c r="D118" i="4"/>
  <c r="D102" i="4"/>
  <c r="C200" i="4"/>
  <c r="C195" i="4"/>
  <c r="D202" i="4"/>
  <c r="D183" i="4"/>
  <c r="D152" i="4"/>
  <c r="D182" i="4"/>
  <c r="D179" i="4"/>
  <c r="C184" i="4"/>
  <c r="D205" i="4"/>
  <c r="D187" i="4"/>
  <c r="D173" i="4"/>
  <c r="C160" i="4"/>
  <c r="D206" i="4"/>
  <c r="D186" i="4"/>
  <c r="D154" i="4"/>
  <c r="C157" i="4"/>
  <c r="D191" i="4"/>
  <c r="D156" i="4"/>
  <c r="B129" i="4"/>
  <c r="D108" i="4"/>
  <c r="C13" i="4"/>
  <c r="B243" i="4" s="1"/>
  <c r="D93" i="4"/>
  <c r="D115" i="4"/>
  <c r="D99" i="4"/>
  <c r="D127" i="4"/>
  <c r="C10" i="4"/>
  <c r="B139" i="4" s="1"/>
  <c r="D114" i="4"/>
  <c r="D98" i="4"/>
  <c r="B134" i="4"/>
  <c r="C226" i="4"/>
  <c r="D225" i="4"/>
  <c r="C225" i="4"/>
  <c r="B228" i="4"/>
  <c r="C235" i="4"/>
  <c r="C209" i="4"/>
  <c r="D197" i="4"/>
  <c r="D180" i="4"/>
  <c r="D166" i="4"/>
  <c r="D148" i="4"/>
  <c r="D165" i="4"/>
  <c r="C146" i="4"/>
  <c r="D203" i="4"/>
  <c r="D171" i="4"/>
  <c r="C178" i="4"/>
  <c r="D201" i="4"/>
  <c r="D184" i="4"/>
  <c r="D170" i="4"/>
  <c r="D150" i="4"/>
  <c r="C162" i="4"/>
  <c r="D209" i="4"/>
  <c r="D149" i="4"/>
  <c r="C150" i="4"/>
  <c r="D192" i="4"/>
  <c r="D146" i="4"/>
  <c r="D124" i="4"/>
  <c r="D104" i="4"/>
  <c r="B132" i="4"/>
  <c r="D111" i="4"/>
  <c r="D95" i="4"/>
  <c r="D117" i="4"/>
  <c r="B131" i="4"/>
  <c r="D110" i="4"/>
  <c r="D94" i="4"/>
  <c r="D109" i="4"/>
  <c r="C221" i="4"/>
  <c r="C237" i="4"/>
  <c r="C220" i="4"/>
  <c r="C236" i="4"/>
  <c r="C224" i="4"/>
  <c r="C222" i="4"/>
  <c r="C206" i="4"/>
  <c r="B213" i="4"/>
  <c r="D200" i="4"/>
  <c r="D178" i="4"/>
  <c r="D157" i="4"/>
  <c r="C163" i="4"/>
  <c r="C175" i="4"/>
  <c r="D163" i="4"/>
  <c r="C145" i="4"/>
  <c r="D162" i="4"/>
  <c r="C183" i="4"/>
  <c r="D198" i="4"/>
  <c r="D185" i="4"/>
  <c r="D164" i="4"/>
  <c r="D147" i="4"/>
  <c r="D145" i="4"/>
  <c r="D174" i="4"/>
  <c r="C194" i="4"/>
  <c r="D116" i="4"/>
  <c r="D100" i="4"/>
  <c r="B130" i="4"/>
  <c r="B36" i="4"/>
  <c r="D107" i="4"/>
  <c r="C12" i="4"/>
  <c r="B231" i="4" s="1"/>
  <c r="D113" i="4"/>
  <c r="D106" i="4"/>
  <c r="C11" i="4"/>
  <c r="B216" i="4" s="1"/>
  <c r="D97" i="4"/>
  <c r="C121" i="4"/>
  <c r="C122" i="4"/>
  <c r="D77" i="4"/>
  <c r="C118" i="4"/>
  <c r="C102" i="4"/>
  <c r="C84" i="4"/>
  <c r="C76" i="4"/>
  <c r="C51" i="4"/>
  <c r="D43" i="4"/>
  <c r="D78" i="4"/>
  <c r="C95" i="4"/>
  <c r="C44" i="4"/>
  <c r="D88" i="4"/>
  <c r="D72" i="4"/>
  <c r="C113" i="4"/>
  <c r="C97" i="4"/>
  <c r="C80" i="4"/>
  <c r="C92" i="4"/>
  <c r="C8" i="4"/>
  <c r="B39" i="4" s="1"/>
  <c r="D70" i="4"/>
  <c r="C81" i="4"/>
  <c r="D83" i="4"/>
  <c r="D67" i="4"/>
  <c r="C108" i="4"/>
  <c r="C63" i="4"/>
  <c r="C89" i="4"/>
  <c r="D48" i="4"/>
  <c r="C119" i="4"/>
  <c r="C79" i="4"/>
  <c r="D126" i="4"/>
  <c r="D123" i="4"/>
  <c r="D89" i="4"/>
  <c r="D73" i="4"/>
  <c r="C114" i="4"/>
  <c r="C98" i="4"/>
  <c r="C77" i="4"/>
  <c r="C82" i="4"/>
  <c r="C47" i="4"/>
  <c r="D66" i="4"/>
  <c r="C74" i="4"/>
  <c r="D84" i="4"/>
  <c r="D68" i="4"/>
  <c r="C109" i="4"/>
  <c r="C93" i="4"/>
  <c r="C66" i="4"/>
  <c r="D51" i="4"/>
  <c r="C115" i="4"/>
  <c r="D79" i="4"/>
  <c r="D63" i="4"/>
  <c r="C104" i="4"/>
  <c r="C85" i="4"/>
  <c r="C73" i="4"/>
  <c r="D44" i="4"/>
  <c r="C107" i="4"/>
  <c r="C52" i="4"/>
  <c r="C124" i="4"/>
  <c r="C126" i="4"/>
  <c r="C9" i="4"/>
  <c r="D85" i="4"/>
  <c r="D69" i="4"/>
  <c r="C110" i="4"/>
  <c r="C94" i="4"/>
  <c r="C87" i="4"/>
  <c r="D52" i="4"/>
  <c r="C43" i="4"/>
  <c r="C111" i="4"/>
  <c r="C75" i="4"/>
  <c r="D80" i="4"/>
  <c r="D64" i="4"/>
  <c r="C105" i="4"/>
  <c r="C86" i="4"/>
  <c r="C88" i="4"/>
  <c r="D45" i="4"/>
  <c r="C99" i="4"/>
  <c r="C48" i="4"/>
  <c r="D75" i="4"/>
  <c r="C116" i="4"/>
  <c r="C100" i="4"/>
  <c r="C68" i="4"/>
  <c r="C78" i="4"/>
  <c r="D86" i="4"/>
  <c r="C64" i="4"/>
  <c r="D65" i="4"/>
  <c r="D46" i="4"/>
  <c r="D47" i="4"/>
  <c r="C117" i="4"/>
  <c r="C96" i="4"/>
  <c r="D74" i="4"/>
  <c r="D29" i="4"/>
  <c r="C106" i="4"/>
  <c r="C46" i="4"/>
  <c r="C101" i="4"/>
  <c r="D82" i="4"/>
  <c r="D87" i="4"/>
  <c r="C69" i="4"/>
  <c r="C70" i="4"/>
  <c r="C123" i="4"/>
  <c r="C72" i="4"/>
  <c r="C83" i="4"/>
  <c r="C67" i="4"/>
  <c r="D71" i="4"/>
  <c r="C62" i="4"/>
  <c r="C71" i="4"/>
  <c r="C23" i="4"/>
  <c r="D32" i="4"/>
  <c r="D22" i="4"/>
  <c r="C32" i="4"/>
  <c r="C22" i="4"/>
  <c r="D25" i="4"/>
  <c r="C103" i="4"/>
  <c r="C112" i="4"/>
  <c r="C31" i="4"/>
  <c r="C21" i="4"/>
  <c r="D30" i="4"/>
  <c r="D20" i="4"/>
  <c r="C30" i="4"/>
  <c r="C20" i="4"/>
  <c r="C7" i="4"/>
  <c r="C127" i="4"/>
  <c r="D76" i="4"/>
  <c r="C45" i="4"/>
  <c r="C29" i="4"/>
  <c r="D28" i="4"/>
  <c r="C28" i="4"/>
  <c r="D81" i="4"/>
  <c r="C65" i="4"/>
  <c r="D33" i="4"/>
  <c r="D21" i="4"/>
  <c r="C25" i="4"/>
  <c r="C24" i="4"/>
  <c r="D23" i="4"/>
  <c r="D24" i="4"/>
  <c r="C33" i="4"/>
  <c r="D31" i="4"/>
  <c r="B27" i="3"/>
  <c r="B24" i="3"/>
  <c r="B23" i="3"/>
  <c r="C21" i="3"/>
  <c r="D19" i="3"/>
  <c r="C7" i="3"/>
  <c r="C17" i="3"/>
  <c r="C18" i="3"/>
  <c r="D17" i="3"/>
  <c r="C15" i="3"/>
  <c r="C16" i="3"/>
  <c r="D15" i="3"/>
  <c r="D14" i="3"/>
  <c r="D13" i="2"/>
  <c r="B26" i="3"/>
  <c r="D18" i="3"/>
  <c r="C19" i="3"/>
  <c r="D21" i="3"/>
  <c r="B25" i="3"/>
  <c r="C14" i="3"/>
  <c r="D16" i="3"/>
  <c r="C8" i="10"/>
  <c r="B75" i="10"/>
  <c r="D21" i="2"/>
  <c r="B74" i="10"/>
  <c r="B73" i="10"/>
  <c r="D34" i="10"/>
  <c r="C26" i="10"/>
  <c r="C17" i="10"/>
  <c r="D70" i="10"/>
  <c r="D33" i="10"/>
  <c r="D23" i="10"/>
  <c r="C68" i="10"/>
  <c r="D52" i="10"/>
  <c r="D40" i="10"/>
  <c r="C30" i="10"/>
  <c r="C21" i="10"/>
  <c r="D28" i="10"/>
  <c r="C69" i="10"/>
  <c r="D53" i="10"/>
  <c r="D42" i="10"/>
  <c r="C32" i="10"/>
  <c r="C24" i="10"/>
  <c r="D16" i="10"/>
  <c r="D68" i="10"/>
  <c r="D49" i="10"/>
  <c r="C31" i="10"/>
  <c r="D21" i="10"/>
  <c r="D37" i="10"/>
  <c r="C27" i="10"/>
  <c r="C19" i="10"/>
  <c r="D20" i="10"/>
  <c r="D31" i="10"/>
  <c r="C22" i="10"/>
  <c r="D47" i="10"/>
  <c r="C36" i="10"/>
  <c r="D27" i="10"/>
  <c r="D19" i="10"/>
  <c r="B57" i="10"/>
  <c r="D35" i="10"/>
  <c r="C25" i="10"/>
  <c r="D18" i="10"/>
  <c r="C7" i="10"/>
  <c r="D25" i="10"/>
  <c r="D43" i="10"/>
  <c r="D48" i="10"/>
  <c r="D24" i="10"/>
  <c r="D22" i="10"/>
  <c r="D36" i="10"/>
  <c r="B58" i="10"/>
  <c r="C16" i="10"/>
  <c r="C33" i="10"/>
  <c r="C37" i="10"/>
  <c r="C28" i="10"/>
  <c r="C70" i="10"/>
  <c r="C23" i="10"/>
  <c r="D69" i="10"/>
  <c r="D32" i="10"/>
  <c r="D46" i="10"/>
  <c r="D17" i="10"/>
  <c r="B59" i="10"/>
  <c r="C20" i="10"/>
  <c r="C34" i="10"/>
  <c r="D55" i="10"/>
  <c r="D54" i="10"/>
  <c r="D26" i="10"/>
  <c r="C35" i="10"/>
  <c r="C18" i="10"/>
  <c r="D12" i="2"/>
  <c r="C98" i="1"/>
  <c r="D42" i="1"/>
  <c r="D21" i="1"/>
  <c r="C57" i="1"/>
  <c r="B102" i="1"/>
  <c r="D92" i="1"/>
  <c r="B118" i="1"/>
  <c r="B68" i="1"/>
  <c r="C55" i="1"/>
  <c r="D83" i="1"/>
  <c r="D44" i="1"/>
  <c r="C9" i="1"/>
  <c r="D26" i="1"/>
  <c r="D85" i="1"/>
  <c r="D19" i="1"/>
  <c r="D94" i="1"/>
  <c r="C116" i="1"/>
  <c r="B101" i="1"/>
  <c r="C92" i="1"/>
  <c r="C83" i="1"/>
  <c r="B67" i="1"/>
  <c r="C42" i="1"/>
  <c r="D29" i="1"/>
  <c r="C21" i="1"/>
  <c r="C8" i="1"/>
  <c r="C115" i="1"/>
  <c r="D116" i="1"/>
  <c r="D97" i="1"/>
  <c r="C90" i="1"/>
  <c r="C81" i="1"/>
  <c r="B63" i="1"/>
  <c r="C51" i="1"/>
  <c r="B106" i="1"/>
  <c r="D95" i="1"/>
  <c r="C87" i="1"/>
  <c r="C79" i="1"/>
  <c r="D33" i="1"/>
  <c r="B104" i="1"/>
  <c r="C60" i="1"/>
  <c r="D38" i="1"/>
  <c r="C26" i="1"/>
  <c r="B105" i="1"/>
  <c r="D93" i="1"/>
  <c r="D84" i="1"/>
  <c r="C56" i="1"/>
  <c r="D43" i="1"/>
  <c r="D32" i="1"/>
  <c r="D24" i="1"/>
  <c r="D16" i="1"/>
  <c r="D98" i="1"/>
  <c r="C89" i="1"/>
  <c r="C80" i="1"/>
  <c r="C61" i="1"/>
  <c r="D48" i="1"/>
  <c r="D37" i="1"/>
  <c r="C25" i="1"/>
  <c r="C18" i="1"/>
  <c r="D60" i="1"/>
  <c r="C94" i="1"/>
  <c r="D56" i="1"/>
  <c r="C23" i="1"/>
  <c r="B100" i="1"/>
  <c r="D91" i="1"/>
  <c r="D82" i="1"/>
  <c r="B66" i="1"/>
  <c r="D52" i="1"/>
  <c r="D41" i="1"/>
  <c r="C29" i="1"/>
  <c r="D22" i="1"/>
  <c r="D96" i="1"/>
  <c r="C86" i="1"/>
  <c r="C78" i="1"/>
  <c r="D57" i="1"/>
  <c r="C34" i="1"/>
  <c r="C24" i="1"/>
  <c r="C16" i="1"/>
  <c r="D23" i="1"/>
  <c r="D79" i="1"/>
  <c r="B120" i="1"/>
  <c r="D17" i="1"/>
  <c r="B64" i="1"/>
  <c r="C85" i="1"/>
  <c r="D47" i="1"/>
  <c r="C33" i="1"/>
  <c r="C19" i="1"/>
  <c r="C97" i="1"/>
  <c r="D89" i="1"/>
  <c r="D80" i="1"/>
  <c r="D61" i="1"/>
  <c r="C38" i="1"/>
  <c r="C27" i="1"/>
  <c r="D20" i="1"/>
  <c r="C7" i="1"/>
  <c r="B12" i="1" s="1"/>
  <c r="C93" i="1"/>
  <c r="C84" i="1"/>
  <c r="D55" i="1"/>
  <c r="C43" i="1"/>
  <c r="C32" i="1"/>
  <c r="C22" i="1"/>
  <c r="C37" i="1"/>
  <c r="D87" i="1"/>
  <c r="C28" i="1"/>
  <c r="D81" i="1"/>
  <c r="C44" i="1"/>
  <c r="D27" i="1"/>
  <c r="C95" i="1"/>
  <c r="D86" i="1"/>
  <c r="D78" i="1"/>
  <c r="C47" i="1"/>
  <c r="D34" i="1"/>
  <c r="D25" i="1"/>
  <c r="D18" i="1"/>
  <c r="B103" i="1"/>
  <c r="C91" i="1"/>
  <c r="C82" i="1"/>
  <c r="B65" i="1"/>
  <c r="C52" i="1"/>
  <c r="C41" i="1"/>
  <c r="D28" i="1"/>
  <c r="C20" i="1"/>
  <c r="B119" i="1"/>
  <c r="C48" i="1"/>
  <c r="D115" i="1"/>
  <c r="C96" i="1"/>
  <c r="D51" i="1"/>
  <c r="D90" i="1"/>
  <c r="G15" i="6"/>
  <c r="G16" i="6"/>
  <c r="G17" i="6"/>
  <c r="G18" i="6"/>
  <c r="G19" i="6"/>
  <c r="G20" i="6"/>
  <c r="B58" i="4" l="1"/>
  <c r="G12" i="6"/>
  <c r="G13" i="6"/>
  <c r="G14" i="6"/>
  <c r="G10" i="6"/>
  <c r="G11" i="6"/>
  <c r="G9" i="6"/>
  <c r="G6" i="6" l="1"/>
  <c r="G7" i="6"/>
  <c r="G8" i="6"/>
  <c r="G5" i="6"/>
  <c r="A36" i="6" l="1"/>
  <c r="G4" i="6" l="1"/>
  <c r="G3" i="6"/>
  <c r="A33" i="6"/>
  <c r="A34" i="6"/>
  <c r="A35" i="6"/>
  <c r="A32" i="6"/>
  <c r="A3" i="6" l="1"/>
  <c r="A18" i="6"/>
  <c r="A19" i="6"/>
  <c r="A20" i="6"/>
  <c r="A21" i="6"/>
  <c r="A22" i="6"/>
  <c r="A23" i="6"/>
  <c r="A24" i="6"/>
  <c r="A25" i="6"/>
  <c r="A26" i="6"/>
  <c r="A27" i="6"/>
  <c r="A28" i="6"/>
  <c r="A29" i="6"/>
  <c r="A30" i="6"/>
  <c r="A31" i="6"/>
  <c r="A14" i="6"/>
  <c r="A15" i="6"/>
  <c r="A16" i="6"/>
  <c r="A17" i="6"/>
  <c r="A9" i="6"/>
  <c r="A10" i="6"/>
  <c r="A11" i="6"/>
  <c r="A12" i="6"/>
  <c r="A13" i="6"/>
  <c r="A8" i="6"/>
  <c r="A7" i="6"/>
  <c r="A6" i="6"/>
  <c r="A5" i="6"/>
  <c r="A4" i="6"/>
  <c r="G2" i="6"/>
  <c r="A2" i="6"/>
  <c r="B78" i="10" l="1"/>
  <c r="B67" i="10"/>
  <c r="B2" i="2"/>
  <c r="C237" i="13"/>
  <c r="C238" i="13"/>
  <c r="B33" i="13"/>
  <c r="C107" i="12"/>
  <c r="C343" i="13"/>
  <c r="B306" i="13"/>
  <c r="B130" i="13"/>
  <c r="C115" i="12"/>
  <c r="C229" i="13"/>
  <c r="B54" i="1"/>
  <c r="C91" i="12"/>
  <c r="C75" i="12"/>
  <c r="F243" i="4"/>
  <c r="D243" i="4"/>
  <c r="B246" i="4"/>
  <c r="E243" i="4"/>
  <c r="E216" i="4"/>
  <c r="E139" i="4"/>
  <c r="D139" i="4"/>
  <c r="C349" i="13"/>
  <c r="F231" i="4"/>
  <c r="D216" i="4"/>
  <c r="E231" i="4"/>
  <c r="B234" i="4"/>
  <c r="D231" i="4"/>
  <c r="F216" i="4"/>
  <c r="C339" i="13"/>
  <c r="B219" i="4"/>
  <c r="F139" i="4"/>
  <c r="C350" i="13"/>
  <c r="C348" i="13"/>
  <c r="B142" i="4"/>
  <c r="C351" i="13"/>
  <c r="C342" i="13"/>
  <c r="D26" i="2"/>
  <c r="B59" i="1"/>
  <c r="D2" i="3"/>
  <c r="B46" i="1"/>
  <c r="D57" i="16"/>
  <c r="E111" i="1"/>
  <c r="D16" i="4"/>
  <c r="F16" i="4"/>
  <c r="E63" i="12"/>
  <c r="D12" i="16"/>
  <c r="D84" i="11"/>
  <c r="E73" i="11"/>
  <c r="D63" i="12"/>
  <c r="F12" i="16"/>
  <c r="D6" i="2"/>
  <c r="D10" i="14"/>
  <c r="E12" i="12"/>
  <c r="B31" i="1"/>
  <c r="E10" i="3"/>
  <c r="D39" i="4"/>
  <c r="B14" i="10"/>
  <c r="D2" i="12"/>
  <c r="B67" i="15"/>
  <c r="E39" i="4"/>
  <c r="F11" i="10"/>
  <c r="B15" i="16"/>
  <c r="B6" i="10"/>
  <c r="B76" i="11"/>
  <c r="F13" i="15"/>
  <c r="D2" i="16"/>
  <c r="E44" i="15"/>
  <c r="F84" i="11"/>
  <c r="E12" i="16"/>
  <c r="F53" i="12"/>
  <c r="C99" i="12"/>
  <c r="B40" i="1"/>
  <c r="F74" i="1"/>
  <c r="D12" i="1"/>
  <c r="B50" i="1"/>
  <c r="E53" i="12"/>
  <c r="B36" i="1"/>
  <c r="B15" i="1"/>
  <c r="B56" i="12"/>
  <c r="D2" i="4"/>
  <c r="D73" i="11"/>
  <c r="B114" i="1"/>
  <c r="B47" i="15"/>
  <c r="F64" i="10"/>
  <c r="F57" i="16"/>
  <c r="D2" i="11"/>
  <c r="E14" i="11"/>
  <c r="F14" i="11"/>
  <c r="B13" i="14"/>
  <c r="D13" i="15"/>
  <c r="E13" i="15"/>
  <c r="D106" i="11"/>
  <c r="E57" i="16"/>
  <c r="B6" i="15"/>
  <c r="F73" i="11"/>
  <c r="E84" i="11"/>
  <c r="F64" i="15"/>
  <c r="B87" i="11"/>
  <c r="D44" i="15"/>
  <c r="B16" i="15"/>
  <c r="B6" i="16"/>
  <c r="D19" i="2"/>
  <c r="C83" i="12"/>
  <c r="D12" i="12"/>
  <c r="F39" i="4"/>
  <c r="F12" i="12"/>
  <c r="E74" i="1"/>
  <c r="F44" i="15"/>
  <c r="F58" i="4"/>
  <c r="F106" i="11"/>
  <c r="E58" i="4"/>
  <c r="D45" i="16"/>
  <c r="D11" i="10"/>
  <c r="B19" i="4"/>
  <c r="B48" i="16"/>
  <c r="B6" i="12"/>
  <c r="D53" i="12"/>
  <c r="D11" i="2"/>
  <c r="C8" i="2"/>
  <c r="B6" i="4"/>
  <c r="D2" i="1"/>
  <c r="D58" i="4"/>
  <c r="D2" i="10"/>
  <c r="E64" i="10"/>
  <c r="B15" i="12"/>
  <c r="D64" i="10"/>
  <c r="F10" i="14"/>
  <c r="E11" i="10"/>
  <c r="F93" i="11"/>
  <c r="D2" i="15"/>
  <c r="B60" i="16"/>
  <c r="F45" i="16"/>
  <c r="B50" i="4"/>
  <c r="C239" i="13"/>
  <c r="C235" i="13"/>
  <c r="C225" i="13"/>
  <c r="D335" i="13"/>
  <c r="D323" i="13"/>
  <c r="B295" i="13"/>
  <c r="E262" i="13"/>
  <c r="E248" i="13"/>
  <c r="B213" i="13"/>
  <c r="F189" i="13"/>
  <c r="B117" i="13"/>
  <c r="B76" i="13"/>
  <c r="E58" i="13"/>
  <c r="E46" i="13"/>
  <c r="B28" i="13"/>
  <c r="F20" i="13"/>
  <c r="C236" i="13"/>
  <c r="C234" i="13"/>
  <c r="C228" i="13"/>
  <c r="C224" i="13"/>
  <c r="B326" i="13"/>
  <c r="F292" i="13"/>
  <c r="D262" i="13"/>
  <c r="D248" i="13"/>
  <c r="F210" i="13"/>
  <c r="E189" i="13"/>
  <c r="B113" i="13"/>
  <c r="B98" i="13"/>
  <c r="F73" i="13"/>
  <c r="D58" i="13"/>
  <c r="D46" i="13"/>
  <c r="E20" i="13"/>
  <c r="C233" i="13"/>
  <c r="C227" i="13"/>
  <c r="F335" i="13"/>
  <c r="F323" i="13"/>
  <c r="E292" i="13"/>
  <c r="B265" i="13"/>
  <c r="B251" i="13"/>
  <c r="E210" i="13"/>
  <c r="D189" i="13"/>
  <c r="B153" i="13"/>
  <c r="B105" i="13"/>
  <c r="E73" i="13"/>
  <c r="B61" i="13"/>
  <c r="B49" i="13"/>
  <c r="D20" i="13"/>
  <c r="B6" i="13"/>
  <c r="E323" i="13"/>
  <c r="F248" i="13"/>
  <c r="F46" i="13"/>
  <c r="B23" i="13"/>
  <c r="D2" i="13"/>
  <c r="D73" i="13"/>
  <c r="F262" i="13"/>
  <c r="C230" i="13"/>
  <c r="B222" i="13"/>
  <c r="B139" i="13"/>
  <c r="F58" i="13"/>
  <c r="C226" i="13"/>
  <c r="D292" i="13"/>
  <c r="D210" i="13"/>
  <c r="B30" i="13"/>
  <c r="E335" i="13"/>
  <c r="C16" i="2"/>
  <c r="B6" i="2"/>
  <c r="C40" i="2"/>
  <c r="C23" i="2"/>
  <c r="C30" i="2"/>
  <c r="B2" i="16" s="1"/>
  <c r="B11" i="2"/>
  <c r="C31" i="2"/>
  <c r="B2" i="15" s="1"/>
  <c r="C28" i="2"/>
  <c r="C7" i="2"/>
  <c r="C14" i="2"/>
  <c r="B2" i="4" s="1"/>
  <c r="C15" i="2"/>
  <c r="C32" i="2"/>
  <c r="C13" i="2"/>
  <c r="B2" i="3" s="1"/>
  <c r="C38" i="2"/>
  <c r="C12" i="2"/>
  <c r="B19" i="2"/>
  <c r="B26" i="2"/>
  <c r="C27" i="2"/>
  <c r="B3" i="12" s="1"/>
  <c r="D29" i="15"/>
  <c r="E29" i="15"/>
  <c r="F29" i="15"/>
  <c r="C39" i="2"/>
  <c r="C29" i="2"/>
  <c r="C34" i="2"/>
  <c r="C22" i="2"/>
  <c r="C33" i="2"/>
  <c r="C20" i="2"/>
  <c r="C21" i="2"/>
  <c r="C35" i="2"/>
  <c r="C36" i="2"/>
  <c r="C37" i="2"/>
  <c r="B3" i="2"/>
  <c r="B6" i="1"/>
  <c r="B6" i="3"/>
  <c r="D74" i="1"/>
  <c r="E93" i="11"/>
  <c r="B66" i="12"/>
  <c r="E12" i="1"/>
  <c r="B13" i="3"/>
  <c r="D14" i="11"/>
  <c r="F12" i="1"/>
  <c r="B6" i="11"/>
  <c r="F10" i="3"/>
  <c r="E16" i="4"/>
  <c r="D111" i="1"/>
  <c r="B17" i="11"/>
  <c r="E64" i="15"/>
  <c r="F111" i="1"/>
  <c r="F63" i="12"/>
  <c r="B6" i="14"/>
  <c r="E45" i="16"/>
  <c r="D10" i="3"/>
  <c r="D93" i="11"/>
  <c r="D64" i="15"/>
  <c r="E10" i="14"/>
  <c r="D2" i="14"/>
  <c r="E106" i="11"/>
  <c r="B77" i="1"/>
  <c r="B109" i="11"/>
  <c r="B96" i="11"/>
  <c r="B32" i="15"/>
  <c r="B42" i="4"/>
  <c r="B61" i="4"/>
  <c r="B44" i="15"/>
  <c r="B13" i="15"/>
  <c r="B64" i="15"/>
  <c r="B74" i="1"/>
  <c r="B10" i="14"/>
  <c r="B12" i="12"/>
  <c r="B263" i="13"/>
  <c r="C262" i="13"/>
  <c r="C263" i="13"/>
  <c r="B211" i="13"/>
  <c r="C210" i="13"/>
  <c r="C211" i="13"/>
  <c r="B84" i="11"/>
  <c r="B73" i="11"/>
  <c r="B106" i="11"/>
  <c r="B14" i="11"/>
  <c r="B93" i="11"/>
  <c r="B64" i="10"/>
  <c r="B11" i="10"/>
  <c r="B2" i="10" l="1"/>
  <c r="B3" i="10"/>
  <c r="B3" i="14"/>
  <c r="B2" i="14"/>
  <c r="B2" i="1"/>
  <c r="B3" i="1"/>
  <c r="B2" i="12"/>
  <c r="B2" i="11"/>
  <c r="B3" i="11"/>
  <c r="B2" i="13"/>
  <c r="B3" i="13"/>
  <c r="B53" i="12"/>
  <c r="B3" i="16"/>
  <c r="B3" i="15"/>
  <c r="B3" i="4"/>
  <c r="B16" i="4"/>
  <c r="B3" i="3"/>
  <c r="B10" i="3"/>
  <c r="B111" i="1" l="1"/>
  <c r="S20" i="1"/>
  <c r="R20" i="1"/>
  <c r="Q20" i="1"/>
  <c r="P20" i="1"/>
  <c r="P18" i="1"/>
</calcChain>
</file>

<file path=xl/sharedStrings.xml><?xml version="1.0" encoding="utf-8"?>
<sst xmlns="http://schemas.openxmlformats.org/spreadsheetml/2006/main" count="6830" uniqueCount="3049">
  <si>
    <t>De</t>
  </si>
  <si>
    <t>UN Global Compact</t>
  </si>
  <si>
    <t>UN Sustainable Development Goals</t>
  </si>
  <si>
    <t>Principle 6</t>
  </si>
  <si>
    <t>SDG8</t>
  </si>
  <si>
    <t>Principle 1, Principle 8</t>
  </si>
  <si>
    <t>SDG16</t>
  </si>
  <si>
    <t>Principle 7</t>
  </si>
  <si>
    <t>SDG2, SDG5, SDG7, SDG8, SDG9, SDG13</t>
  </si>
  <si>
    <t>SDG1, SDG5, SDG8</t>
  </si>
  <si>
    <t>SDG1, SDG2, SDG3, SDG8, SDG10, SDG17</t>
  </si>
  <si>
    <t>Principle 10</t>
  </si>
  <si>
    <t>Principle 8</t>
  </si>
  <si>
    <t>SDG8, SDG12</t>
  </si>
  <si>
    <t>Principle 7, Principle 8, Principle 9</t>
  </si>
  <si>
    <t>SDG7, SDG8, SDG12, SDG13</t>
  </si>
  <si>
    <t>SDG3, SDG12, SDG13, SGD14, SDG15</t>
  </si>
  <si>
    <t>Principle 3</t>
  </si>
  <si>
    <t>SDG5, SDG8</t>
  </si>
  <si>
    <t>SDG5, SDG8, SDG10</t>
  </si>
  <si>
    <t>SDG5, SDG8, SDG16</t>
  </si>
  <si>
    <t>Principle 5</t>
  </si>
  <si>
    <t>SDG8, SDG16</t>
  </si>
  <si>
    <t>Principle 4</t>
  </si>
  <si>
    <t>Principle 1</t>
  </si>
  <si>
    <t>SDG1, SDG2</t>
  </si>
  <si>
    <t>Principle 2</t>
  </si>
  <si>
    <t>Ó</t>
  </si>
  <si>
    <t>1, 6</t>
  </si>
  <si>
    <t>102-6</t>
  </si>
  <si>
    <t>—</t>
  </si>
  <si>
    <t>1, 6, 7</t>
  </si>
  <si>
    <t>9</t>
  </si>
  <si>
    <t>3, 4, 8</t>
  </si>
  <si>
    <t>2, 5</t>
  </si>
  <si>
    <t>102-7</t>
  </si>
  <si>
    <t>1</t>
  </si>
  <si>
    <t>26</t>
  </si>
  <si>
    <t>2</t>
  </si>
  <si>
    <t>1, 27</t>
  </si>
  <si>
    <t>27</t>
  </si>
  <si>
    <t>22</t>
  </si>
  <si>
    <t>3, 27</t>
  </si>
  <si>
    <t>1, 23</t>
  </si>
  <si>
    <t>23, 24</t>
  </si>
  <si>
    <t>4, 23</t>
  </si>
  <si>
    <t>3, 18</t>
  </si>
  <si>
    <t>20</t>
  </si>
  <si>
    <t>1'473'948</t>
  </si>
  <si>
    <t>5, 6</t>
  </si>
  <si>
    <t>7</t>
  </si>
  <si>
    <t>19</t>
  </si>
  <si>
    <t>8, 16</t>
  </si>
  <si>
    <t>16</t>
  </si>
  <si>
    <t>9, 17</t>
  </si>
  <si>
    <t>17</t>
  </si>
  <si>
    <t>21</t>
  </si>
  <si>
    <t>10, 11, 21</t>
  </si>
  <si>
    <t>11, 21</t>
  </si>
  <si>
    <t>11, 12, 21</t>
  </si>
  <si>
    <t>10, 11, 13, 21</t>
  </si>
  <si>
    <t>Anzahl Netze (PubliBike)</t>
  </si>
  <si>
    <t>21, 25</t>
  </si>
  <si>
    <t>Anzahl Velos (PubliBike)</t>
  </si>
  <si>
    <t>Anzahl Fahrten (PubliBike)</t>
  </si>
  <si>
    <t>über 600</t>
  </si>
  <si>
    <t>über 500</t>
  </si>
  <si>
    <t>rund 500</t>
  </si>
  <si>
    <t>rund 550</t>
  </si>
  <si>
    <t>rund 650</t>
  </si>
  <si>
    <t>rund 750</t>
  </si>
  <si>
    <t>rund 700</t>
  </si>
  <si>
    <t>rund 400</t>
  </si>
  <si>
    <t>rund 600</t>
  </si>
  <si>
    <t>14</t>
  </si>
  <si>
    <t>-</t>
  </si>
  <si>
    <t>15</t>
  </si>
  <si>
    <t>429‘705‘810</t>
  </si>
  <si>
    <t>170‘345‘986</t>
  </si>
  <si>
    <t>25‘160‘127</t>
  </si>
  <si>
    <t>22‘603‘811</t>
  </si>
  <si>
    <t>177‘891‘042</t>
  </si>
  <si>
    <t>825‘706‘776</t>
  </si>
  <si>
    <t>61‘474‘959</t>
  </si>
  <si>
    <t>20‘806‘490</t>
  </si>
  <si>
    <t>992‘040</t>
  </si>
  <si>
    <t>708‘088</t>
  </si>
  <si>
    <t>174‘951</t>
  </si>
  <si>
    <t>2‘537</t>
  </si>
  <si>
    <t>84‘159‘065</t>
  </si>
  <si>
    <t>1, 2, 3, 4, 5</t>
  </si>
  <si>
    <t>102-8</t>
  </si>
  <si>
    <t>1, 3, 5</t>
  </si>
  <si>
    <t>1, 2, 3, 6</t>
  </si>
  <si>
    <t>1, 2, 3</t>
  </si>
  <si>
    <t>1, 3</t>
  </si>
  <si>
    <t>2, 3, 4</t>
  </si>
  <si>
    <t>1, 2</t>
  </si>
  <si>
    <t>3, 4</t>
  </si>
  <si>
    <t>102-8, 102-41</t>
  </si>
  <si>
    <t>3, 4, 5, 6</t>
  </si>
  <si>
    <t>3, 4, 7</t>
  </si>
  <si>
    <t>3, 9</t>
  </si>
  <si>
    <t>2017 1)</t>
  </si>
  <si>
    <t>102-9</t>
  </si>
  <si>
    <t>102-43</t>
  </si>
  <si>
    <t>1, 4</t>
  </si>
  <si>
    <t>1, 7</t>
  </si>
  <si>
    <t>8</t>
  </si>
  <si>
    <t>6</t>
  </si>
  <si>
    <t>1, 5</t>
  </si>
  <si>
    <r>
      <t>2013</t>
    </r>
    <r>
      <rPr>
        <b/>
        <vertAlign val="superscript"/>
        <sz val="10"/>
        <rFont val="Frutiger 45 Light"/>
        <family val="2"/>
      </rPr>
      <t>6)</t>
    </r>
  </si>
  <si>
    <r>
      <t>2015</t>
    </r>
    <r>
      <rPr>
        <b/>
        <vertAlign val="superscript"/>
        <sz val="10"/>
        <rFont val="Frutiger 45 Light"/>
        <family val="2"/>
      </rPr>
      <t>6)</t>
    </r>
  </si>
  <si>
    <r>
      <t>2017</t>
    </r>
    <r>
      <rPr>
        <b/>
        <vertAlign val="superscript"/>
        <sz val="10"/>
        <rFont val="Frutiger 45 Light"/>
        <family val="2"/>
      </rPr>
      <t>6)</t>
    </r>
  </si>
  <si>
    <r>
      <t>2020</t>
    </r>
    <r>
      <rPr>
        <b/>
        <vertAlign val="superscript"/>
        <sz val="10"/>
        <rFont val="Frutiger 45 Light"/>
        <family val="2"/>
      </rPr>
      <t>7)</t>
    </r>
  </si>
  <si>
    <r>
      <t>2021</t>
    </r>
    <r>
      <rPr>
        <b/>
        <vertAlign val="superscript"/>
        <sz val="10"/>
        <rFont val="Frutiger 45 Light"/>
        <family val="2"/>
      </rPr>
      <t>6)</t>
    </r>
  </si>
  <si>
    <t>201-1</t>
  </si>
  <si>
    <r>
      <t>8'371</t>
    </r>
    <r>
      <rPr>
        <vertAlign val="superscript"/>
        <sz val="10"/>
        <rFont val="Frutiger 45 Light"/>
        <family val="2"/>
      </rPr>
      <t>4)</t>
    </r>
  </si>
  <si>
    <r>
      <t>1'132</t>
    </r>
    <r>
      <rPr>
        <vertAlign val="superscript"/>
        <sz val="10"/>
        <rFont val="Frutiger 45 Light"/>
        <family val="2"/>
      </rPr>
      <t>4)</t>
    </r>
  </si>
  <si>
    <r>
      <t>60.0</t>
    </r>
    <r>
      <rPr>
        <vertAlign val="superscript"/>
        <sz val="10"/>
        <rFont val="Frutiger 45 Light"/>
        <family val="2"/>
      </rPr>
      <t>4)</t>
    </r>
  </si>
  <si>
    <r>
      <t>125</t>
    </r>
    <r>
      <rPr>
        <vertAlign val="superscript"/>
        <sz val="10"/>
        <rFont val="Frutiger 45 Light"/>
        <family val="2"/>
      </rPr>
      <t>4)</t>
    </r>
  </si>
  <si>
    <t>5, 9</t>
  </si>
  <si>
    <t>n/a</t>
  </si>
  <si>
    <t>n.a.</t>
  </si>
  <si>
    <r>
      <t>2175</t>
    </r>
    <r>
      <rPr>
        <vertAlign val="superscript"/>
        <sz val="10"/>
        <rFont val="Frutiger 45 Light"/>
        <family val="2"/>
      </rPr>
      <t>4)</t>
    </r>
  </si>
  <si>
    <r>
      <t>2013</t>
    </r>
    <r>
      <rPr>
        <b/>
        <vertAlign val="superscript"/>
        <sz val="10"/>
        <rFont val="Frutiger 45 Light"/>
        <family val="2"/>
      </rPr>
      <t>8)</t>
    </r>
  </si>
  <si>
    <r>
      <t>2015</t>
    </r>
    <r>
      <rPr>
        <b/>
        <vertAlign val="superscript"/>
        <sz val="10"/>
        <rFont val="Frutiger 45 Light"/>
        <family val="2"/>
      </rPr>
      <t>8)</t>
    </r>
  </si>
  <si>
    <r>
      <t>2017</t>
    </r>
    <r>
      <rPr>
        <b/>
        <vertAlign val="superscript"/>
        <sz val="10"/>
        <color theme="1"/>
        <rFont val="Frutiger 45 Light"/>
        <family val="2"/>
      </rPr>
      <t>8)</t>
    </r>
  </si>
  <si>
    <r>
      <t>2018</t>
    </r>
    <r>
      <rPr>
        <b/>
        <vertAlign val="superscript"/>
        <sz val="10"/>
        <color theme="1"/>
        <rFont val="Frutiger 45 Light"/>
        <family val="2"/>
      </rPr>
      <t>9)</t>
    </r>
  </si>
  <si>
    <r>
      <t>2020</t>
    </r>
    <r>
      <rPr>
        <b/>
        <vertAlign val="superscript"/>
        <sz val="10"/>
        <color theme="1"/>
        <rFont val="Frutiger 45 Light"/>
        <family val="2"/>
      </rPr>
      <t>9)</t>
    </r>
  </si>
  <si>
    <r>
      <t>2017</t>
    </r>
    <r>
      <rPr>
        <b/>
        <vertAlign val="superscript"/>
        <sz val="10"/>
        <color theme="1"/>
        <rFont val="Frutiger 45 Light"/>
        <family val="2"/>
      </rPr>
      <t>6)</t>
    </r>
  </si>
  <si>
    <t>201-3</t>
  </si>
  <si>
    <t>2, 3</t>
  </si>
  <si>
    <t>1, 3, 9</t>
  </si>
  <si>
    <t>1, 4, 9</t>
  </si>
  <si>
    <t>202-1</t>
  </si>
  <si>
    <t>n.v.</t>
  </si>
  <si>
    <t>203-2</t>
  </si>
  <si>
    <t>415-1</t>
  </si>
  <si>
    <t>1, 2, 3, 7, 8</t>
  </si>
  <si>
    <t>1, 2, 3, 7</t>
  </si>
  <si>
    <t>1, 2, 3, 8</t>
  </si>
  <si>
    <t>1, 3, 4</t>
  </si>
  <si>
    <t>1, 2, 3, 5, 6</t>
  </si>
  <si>
    <t>1, 3, 5, 6</t>
  </si>
  <si>
    <r>
      <t>2018</t>
    </r>
    <r>
      <rPr>
        <b/>
        <vertAlign val="superscript"/>
        <sz val="10"/>
        <rFont val="Frutiger 45 Light"/>
        <family val="2"/>
      </rPr>
      <t>2)</t>
    </r>
  </si>
  <si>
    <r>
      <t>2019</t>
    </r>
    <r>
      <rPr>
        <b/>
        <vertAlign val="superscript"/>
        <sz val="10"/>
        <rFont val="Frutiger 45 Light"/>
        <family val="2"/>
      </rPr>
      <t>4)</t>
    </r>
  </si>
  <si>
    <r>
      <t>2020</t>
    </r>
    <r>
      <rPr>
        <b/>
        <vertAlign val="superscript"/>
        <sz val="10"/>
        <color theme="1"/>
        <rFont val="Frutiger 45 Light"/>
        <family val="2"/>
      </rPr>
      <t>4)</t>
    </r>
  </si>
  <si>
    <t>302-1</t>
  </si>
  <si>
    <t>1, 2, 5</t>
  </si>
  <si>
    <t>302-2</t>
  </si>
  <si>
    <t>302-3</t>
  </si>
  <si>
    <t>2, 4</t>
  </si>
  <si>
    <t>86,2</t>
  </si>
  <si>
    <t>10,5</t>
  </si>
  <si>
    <r>
      <t>2019</t>
    </r>
    <r>
      <rPr>
        <b/>
        <vertAlign val="superscript"/>
        <sz val="10"/>
        <rFont val="Frutiger 45 Light"/>
        <family val="2"/>
      </rPr>
      <t>3)</t>
    </r>
  </si>
  <si>
    <r>
      <t>2020</t>
    </r>
    <r>
      <rPr>
        <b/>
        <vertAlign val="superscript"/>
        <sz val="10"/>
        <color theme="1"/>
        <rFont val="Frutiger 45 Light"/>
        <family val="2"/>
      </rPr>
      <t>3)</t>
    </r>
  </si>
  <si>
    <t>Fahrzeugleasing</t>
  </si>
  <si>
    <t>305-1</t>
  </si>
  <si>
    <t>305-2</t>
  </si>
  <si>
    <t>305-3</t>
  </si>
  <si>
    <t>305-4</t>
  </si>
  <si>
    <t>305-5</t>
  </si>
  <si>
    <t>1,2</t>
  </si>
  <si>
    <t>%</t>
  </si>
  <si>
    <r>
      <t>2019</t>
    </r>
    <r>
      <rPr>
        <b/>
        <vertAlign val="superscript"/>
        <sz val="10"/>
        <color theme="1"/>
        <rFont val="Frutiger 45 Light"/>
        <family val="2"/>
      </rPr>
      <t>3)</t>
    </r>
  </si>
  <si>
    <t>305-6</t>
  </si>
  <si>
    <t>305-7</t>
  </si>
  <si>
    <t>401-1</t>
  </si>
  <si>
    <t>401-3</t>
  </si>
  <si>
    <t>403-2</t>
  </si>
  <si>
    <t>1, 2, 3, 5</t>
  </si>
  <si>
    <t>2, 3, 6</t>
  </si>
  <si>
    <t>2, 3, 7</t>
  </si>
  <si>
    <t>1, 8</t>
  </si>
  <si>
    <t>403-1</t>
  </si>
  <si>
    <t>404-2</t>
  </si>
  <si>
    <t>1, 2, 8</t>
  </si>
  <si>
    <t>405-1</t>
  </si>
  <si>
    <t>Sprache</t>
  </si>
  <si>
    <t>Sprache ID</t>
  </si>
  <si>
    <t>Gewählte_Sprache</t>
  </si>
  <si>
    <t>Fr</t>
  </si>
  <si>
    <t>It</t>
  </si>
  <si>
    <t>En</t>
  </si>
  <si>
    <t>Text ID</t>
  </si>
  <si>
    <t>Spalte1</t>
  </si>
  <si>
    <t>Kennzahlen zur Jahresberichterstattung 2021</t>
  </si>
  <si>
    <t>Chiffres clés du rapport annuel 2021</t>
  </si>
  <si>
    <t>Cifre chiave del rendiconto annuale 2021</t>
  </si>
  <si>
    <t>Key figures for the annual reporting 2021</t>
  </si>
  <si>
    <t>201-1 – Direkt erwirtschafteter und verteilter wirtschaftlicher Wert</t>
  </si>
  <si>
    <t>201-1 – Valeur économique directe créée et distribuée</t>
  </si>
  <si>
    <t>201-1 – Valore economico diretto creato e distribuito</t>
  </si>
  <si>
    <t>201-1 – Direct economic value generated and distributed</t>
  </si>
  <si>
    <t>Marktanteile</t>
  </si>
  <si>
    <t>Parts de marché</t>
  </si>
  <si>
    <t>Quote di mercato</t>
  </si>
  <si>
    <t>Market shares</t>
  </si>
  <si>
    <t>Finanzielles Ergebnis</t>
  </si>
  <si>
    <t>Résultat financier</t>
  </si>
  <si>
    <t>Risultato finanziario</t>
  </si>
  <si>
    <t>Financial result</t>
  </si>
  <si>
    <t>Entschädigungen</t>
  </si>
  <si>
    <t>Indemnités</t>
  </si>
  <si>
    <t>Indennità</t>
  </si>
  <si>
    <t>Remuneration</t>
  </si>
  <si>
    <t>Wohltätigkeit und Sponsoring</t>
  </si>
  <si>
    <t>Actions de bienfaisance et sponsoring</t>
  </si>
  <si>
    <t>Beneficenza e sponsoring</t>
  </si>
  <si>
    <t>Charity and sponsorship</t>
  </si>
  <si>
    <t>Energieverbrauch innerhalb und ausserhalb der Organisation</t>
  </si>
  <si>
    <t>Consommation énergétique au sein et en dehors de l'organisation</t>
  </si>
  <si>
    <t>Consumo energetico all'interno e al di fuori dell'organizzazione</t>
  </si>
  <si>
    <t>Energy consumption within and outside the organization</t>
  </si>
  <si>
    <t>Treibhausgasemissionen</t>
  </si>
  <si>
    <t>Emissions de gaz à effet de serre</t>
  </si>
  <si>
    <t>Emissioni di gas serra</t>
  </si>
  <si>
    <t>Greenhouse gas emissions</t>
  </si>
  <si>
    <t>Personalfluktuation und Austritte</t>
  </si>
  <si>
    <t>Fluctuation du personnel et départs</t>
  </si>
  <si>
    <t>Fluttuazione del personale e partenze</t>
  </si>
  <si>
    <t>Staff turnover and departures</t>
  </si>
  <si>
    <t>Gesundheitsmanagement</t>
  </si>
  <si>
    <t>Gestion de la santé</t>
  </si>
  <si>
    <t>Gestione della salute</t>
  </si>
  <si>
    <t>Health management</t>
  </si>
  <si>
    <t>Lernpersonal</t>
  </si>
  <si>
    <t>Apprentis</t>
  </si>
  <si>
    <t>Personale in formazione</t>
  </si>
  <si>
    <t>Learning personnel</t>
  </si>
  <si>
    <t>Frauen im Management</t>
  </si>
  <si>
    <t>Femmes au sein du management</t>
  </si>
  <si>
    <t>Donne nel management</t>
  </si>
  <si>
    <t>Women in management</t>
  </si>
  <si>
    <t>Die Schweizerische Post</t>
  </si>
  <si>
    <t>La Poste</t>
  </si>
  <si>
    <t>La Posta</t>
  </si>
  <si>
    <t>Swiss Post</t>
  </si>
  <si>
    <t>201-3 – Deckung der Verpflichtungen der Organisation aus dem leistungsorientierten Pensionsplan</t>
  </si>
  <si>
    <t>201-3 – Etendue de la couverture des régimes de retraite à prestations définies</t>
  </si>
  <si>
    <t>201-3 – Ambito di copertura dei piani pensionistici a benefici definiti</t>
  </si>
  <si>
    <t>201-3 – Defined benefit plan obligations and other retirement plans</t>
  </si>
  <si>
    <t>Finanzierung</t>
  </si>
  <si>
    <t>Financement</t>
  </si>
  <si>
    <t>Finanziamento</t>
  </si>
  <si>
    <t>Financing</t>
  </si>
  <si>
    <t>Pensionskasse</t>
  </si>
  <si>
    <t>Caisse de pensions</t>
  </si>
  <si>
    <t>Cassa pensioni</t>
  </si>
  <si>
    <t>Pension fund</t>
  </si>
  <si>
    <t>Zugangspunkte</t>
  </si>
  <si>
    <t>Points d'accès</t>
  </si>
  <si>
    <t>Punti di accesso</t>
  </si>
  <si>
    <t>Access points</t>
  </si>
  <si>
    <t>Weitere Energiekennzahlen</t>
  </si>
  <si>
    <t>Autres indicateurs énergétiques</t>
  </si>
  <si>
    <t>Altre cifre sull'energia</t>
  </si>
  <si>
    <t>Additional energy figures</t>
  </si>
  <si>
    <t>Treibhausgasintensitäten</t>
  </si>
  <si>
    <t>Intensité de gaz à effet de serre</t>
  </si>
  <si>
    <t>Intensità delle emissioni di gas serra</t>
  </si>
  <si>
    <t>Greenhouse gas intensities</t>
  </si>
  <si>
    <t>Elternzeit</t>
  </si>
  <si>
    <t>Congé parental</t>
  </si>
  <si>
    <t>Congedo parentale</t>
  </si>
  <si>
    <t>Parental leave</t>
  </si>
  <si>
    <t>Nachwuchskräfte</t>
  </si>
  <si>
    <t>Relève</t>
  </si>
  <si>
    <t>Nuove leve</t>
  </si>
  <si>
    <t>Young talent</t>
  </si>
  <si>
    <t>Sprachenvielfalt</t>
  </si>
  <si>
    <t>Diversité linguistique</t>
  </si>
  <si>
    <t>Plurilinguismo</t>
  </si>
  <si>
    <t>Language diversity</t>
  </si>
  <si>
    <t>Allgemeine Angaben</t>
  </si>
  <si>
    <t>Informations générales</t>
  </si>
  <si>
    <t>Informazioni generali</t>
  </si>
  <si>
    <t>General information</t>
  </si>
  <si>
    <t>202-1 – Spanne des Verhältnisses der Standardeintrittsgehälter nach Geschlecht zum lokalen Mindestlohn  an Hauptgeschäftsstandorten</t>
  </si>
  <si>
    <t>202-1 – Ratios du salaire d'entrée de base par sexe par rapport au salaire minimum local sur les principaux sites opérationnels</t>
  </si>
  <si>
    <t>202-1 – Rapporti della base salariale di base per sesso al salario minimo locale nei principali siti operativi</t>
  </si>
  <si>
    <t xml:space="preserve">202-1 – Ratios of standard entry level wage by gender compared to local minimum wage </t>
  </si>
  <si>
    <t>Cashflow und Investitionen</t>
  </si>
  <si>
    <t>Cash-flow et investissements</t>
  </si>
  <si>
    <t>Cash flow e investimenti</t>
  </si>
  <si>
    <t>Cash flow and investments</t>
  </si>
  <si>
    <t>Verteilung der Wertschöpfung</t>
  </si>
  <si>
    <t>Répartition de la valeur ajoutée</t>
  </si>
  <si>
    <t>Distribuzione del valore aggiunto</t>
  </si>
  <si>
    <t>Distribution of added value</t>
  </si>
  <si>
    <t>Arbeitsplätze in den Regionen</t>
  </si>
  <si>
    <t>Emplois dans les régions</t>
  </si>
  <si>
    <t>Posti di lavoro nelle regioni</t>
  </si>
  <si>
    <t>Jobs in the regions</t>
  </si>
  <si>
    <t>Kompensierte Treibhausgasemissionen</t>
  </si>
  <si>
    <t>Emissions de gaz à effet de serre compensées</t>
  </si>
  <si>
    <t>Emissioni di gas serra compensate</t>
  </si>
  <si>
    <t>Offset greenhouse gas emissions</t>
  </si>
  <si>
    <t>Personalzufriedenheit, Motivation und Engagement</t>
  </si>
  <si>
    <t>Satisfaction du personnel, motivation et engagement</t>
  </si>
  <si>
    <t>Soddisfazione del personale, motivazione e impegno</t>
  </si>
  <si>
    <t>Employee satisfaction, motivation and commitment</t>
  </si>
  <si>
    <t>Laufbahnzentrum</t>
  </si>
  <si>
    <t>Centre de carrière</t>
  </si>
  <si>
    <t>Centro carriera</t>
  </si>
  <si>
    <t>Careers center</t>
  </si>
  <si>
    <t>Nationalität</t>
  </si>
  <si>
    <t>Nationalité</t>
  </si>
  <si>
    <t>Nazionalità</t>
  </si>
  <si>
    <t>Nationality</t>
  </si>
  <si>
    <t>Wirtschaftliche Themen</t>
  </si>
  <si>
    <t>Sujets économiques</t>
  </si>
  <si>
    <t>Temi economici</t>
  </si>
  <si>
    <t>Economic topics</t>
  </si>
  <si>
    <t>203-2 – Erhebliche indirekte wirtschaftliche Auswirkungen</t>
  </si>
  <si>
    <t>203-2 – Impacts économiques indirects substantiels</t>
  </si>
  <si>
    <t>203-2 – Impatti economici indiretti sostanziali</t>
  </si>
  <si>
    <t>203-2 – Significant indirect economic impacts</t>
  </si>
  <si>
    <t>Mengenentwicklung</t>
  </si>
  <si>
    <t>Evolution des volumes</t>
  </si>
  <si>
    <t>Evoluzione dei volumi</t>
  </si>
  <si>
    <t>Volume trends</t>
  </si>
  <si>
    <t>Preisvergleich postalischer Dienstleistungen</t>
  </si>
  <si>
    <t>Comparaison des prix des services postaux</t>
  </si>
  <si>
    <t>Confronto dei prezzi dei servizi postali</t>
  </si>
  <si>
    <t>Price comparison of postal services</t>
  </si>
  <si>
    <t>Weitere Treibhausgaskennzahlen</t>
  </si>
  <si>
    <t>Autres indicateurs des gaz à effet de serre</t>
  </si>
  <si>
    <t>Altre cifre sui gas serra</t>
  </si>
  <si>
    <t>Other greenhouse gas figures</t>
  </si>
  <si>
    <t>Demographie (Altersverteilung)</t>
  </si>
  <si>
    <t>Démographie (pyramide des âges)</t>
  </si>
  <si>
    <t>Demografia (distribuzione in base all'età)</t>
  </si>
  <si>
    <t>Demographics (age distribution)</t>
  </si>
  <si>
    <t>Ökologische Themen</t>
  </si>
  <si>
    <t>Sujets environnementaux</t>
  </si>
  <si>
    <t>Temi ambientali</t>
  </si>
  <si>
    <t>Environmental topics</t>
  </si>
  <si>
    <t>205-1 – Geschäftsstandorte, die im Hinblick auf Korruptionsrisiken geprüft wurden</t>
  </si>
  <si>
    <t>205-1 – Sites qui ont fait l'objet d'une évaluation des risques de corruption</t>
  </si>
  <si>
    <t>205-1 – Siti che sono stati valutati per i rischi di corruzione</t>
  </si>
  <si>
    <t>205-1 – Operations assessed for risks related to corruption</t>
  </si>
  <si>
    <t>Volumen Zahlungsverkehr</t>
  </si>
  <si>
    <t>Volume trafic des paiements</t>
  </si>
  <si>
    <t>Volume traffico dei pagamenti</t>
  </si>
  <si>
    <t>Volume of payment transactions</t>
  </si>
  <si>
    <t>Laufzeiten postalischer Dienstleistungen</t>
  </si>
  <si>
    <t>Délais d'acheminement des services postaux</t>
  </si>
  <si>
    <t>Tempi di consegna per i servizi postali</t>
  </si>
  <si>
    <t>Delivery times of postal services</t>
  </si>
  <si>
    <t>Luftschadstoffemissionen</t>
  </si>
  <si>
    <t>Emissions de polluants atmosphériques</t>
  </si>
  <si>
    <t>Emissioni di inquinanti atmosferici</t>
  </si>
  <si>
    <t>Air pollution emissions</t>
  </si>
  <si>
    <t>Sozial-gesellschaftliche Themen</t>
  </si>
  <si>
    <t>Sujets sociaux</t>
  </si>
  <si>
    <t>Temi sociali</t>
  </si>
  <si>
    <t>Social topics</t>
  </si>
  <si>
    <t>205-2 – Informationen und Schulungen über Massnahmen und Verfahren zur Korruptionsbekämpfung</t>
  </si>
  <si>
    <t>205-2 – Communication et formation sur les politiques et procédures en matière de lutte contre la corruption</t>
  </si>
  <si>
    <t>205-2 – Comunicazione e formazione sulle politiche e le procedure anticorruzione</t>
  </si>
  <si>
    <t>205-2 – Communication and training about anti-corruption policies and procedures</t>
  </si>
  <si>
    <t>Personalbestand</t>
  </si>
  <si>
    <t>Effectif</t>
  </si>
  <si>
    <t>Organico</t>
  </si>
  <si>
    <t>Headcount</t>
  </si>
  <si>
    <t>Wartezeiten in Filialen</t>
  </si>
  <si>
    <t>Temps d'attente dans les filiales</t>
  </si>
  <si>
    <t>Tempi di attesa nelle filiali</t>
  </si>
  <si>
    <t>Queuing times in branches</t>
  </si>
  <si>
    <t>102 – Allgemeine Standardangaben</t>
  </si>
  <si>
    <t>102 – Divulgazioni generali</t>
  </si>
  <si>
    <t>102 – General Disclosures</t>
  </si>
  <si>
    <t>205-3 – Bestätigte Korruptionsfälle und ergriffene Massnahmen</t>
  </si>
  <si>
    <t>205-3 – Cas avérés de corruption et mesures prises</t>
  </si>
  <si>
    <t>205-3 – Provati casi di corruzione e misure adottate</t>
  </si>
  <si>
    <t>205-3 – Confirmed incidents of corruption and actions taken</t>
  </si>
  <si>
    <t>Geschlechterverteilung</t>
  </si>
  <si>
    <t>Répartition des sexes</t>
  </si>
  <si>
    <t>Distribuzione per genere</t>
  </si>
  <si>
    <t>Gender distribution</t>
  </si>
  <si>
    <t>Verarbeitungszeiten von Finanzdienstleistungen</t>
  </si>
  <si>
    <t>Délais de traitement des services financiers</t>
  </si>
  <si>
    <t>Tempi di trattamento dei servizi finanziari</t>
  </si>
  <si>
    <t>Processing times of financial services</t>
  </si>
  <si>
    <t>201 – Wirtschaftliche Leistung</t>
  </si>
  <si>
    <t>201 – Performance économique</t>
  </si>
  <si>
    <t>201 – Prestazioni economiche</t>
  </si>
  <si>
    <t>201 – Economic Performance</t>
  </si>
  <si>
    <t>206-1 – Verfahren aufgrund von wettbewerbswidrigem Verhalten oder Kartell- und Monopolbildung</t>
  </si>
  <si>
    <t>206-1 – Actions en justice pour comportement anticoncurrentiel, pratiques antitrust et monopolistiques</t>
  </si>
  <si>
    <t>206-1 – Comportamenti anticoncorrenziali, antitrust e pratiche monopolistiche</t>
  </si>
  <si>
    <t>206-1 – Legal actions for anti-competitive behavior, anti-trust, and monopoly practices</t>
  </si>
  <si>
    <t>Teilzeit</t>
  </si>
  <si>
    <t>Temps partiel</t>
  </si>
  <si>
    <t>Tempo parziale</t>
  </si>
  <si>
    <t>Part-time</t>
  </si>
  <si>
    <t>202 – Marktpräsenz</t>
  </si>
  <si>
    <t>202 – Présence sur le marché</t>
  </si>
  <si>
    <t>202 – Presenza sul mercato</t>
  </si>
  <si>
    <t>202 – Market Presence</t>
  </si>
  <si>
    <t>301-1 – Eingesetzte Materialien nach Gewicht oder Volumen</t>
  </si>
  <si>
    <t>301-1 – Consommation de matières en poids ou en volume</t>
  </si>
  <si>
    <t>301-1 – Consumo di materiali in peso o in volume</t>
  </si>
  <si>
    <t>301-1 – Materials used by weight or volume</t>
  </si>
  <si>
    <t>Anstellungsverhältnisse</t>
  </si>
  <si>
    <t>Rapports de travail</t>
  </si>
  <si>
    <t>Rapporto d'impiego</t>
  </si>
  <si>
    <t>Employment conditions</t>
  </si>
  <si>
    <t>203 – Indirekte wirtschaftliche Auswirkungen</t>
  </si>
  <si>
    <t>203 – Impacts économiques indirects</t>
  </si>
  <si>
    <t>203 – Impatti economici indiretti</t>
  </si>
  <si>
    <t>203 – Indirect Economic Impacts</t>
  </si>
  <si>
    <t>301-2 – Anteil der Sekundärrohstoffe am Gesamtmaterialeinsatz</t>
  </si>
  <si>
    <t>301-2 – Pourcentage de matériaux consommés provenant de matières recyclées</t>
  </si>
  <si>
    <t>301-2 – Percentuale di materiali consumati da materiali riciclati</t>
  </si>
  <si>
    <t>301-2 – Recycled input materials used</t>
  </si>
  <si>
    <t>Lieferkette</t>
  </si>
  <si>
    <t>Catena di distribuzione</t>
  </si>
  <si>
    <t>Supply chain</t>
  </si>
  <si>
    <t>205 – Korruptionsbekämpfung</t>
  </si>
  <si>
    <t>205 – Lutte contre la corruption</t>
  </si>
  <si>
    <t>205 – Lotta contro la corruzione</t>
  </si>
  <si>
    <t>205 – Anti Corruption</t>
  </si>
  <si>
    <t>302-1 – Energieverbrauch innerhalb der Organisation</t>
  </si>
  <si>
    <t>302-1 – Consommation énergétique au sein de l'organisation</t>
  </si>
  <si>
    <t>302-1 – Consumo energetico all'interno dell'organizzazione</t>
  </si>
  <si>
    <t>302-1 – Energy consumption within the organization</t>
  </si>
  <si>
    <t>Kundenzufriedenheit</t>
  </si>
  <si>
    <t>Satisfaction des clients</t>
  </si>
  <si>
    <t>Soddisfazione dei clienti</t>
  </si>
  <si>
    <t>Customer satisfaction</t>
  </si>
  <si>
    <t>Mio. CHF</t>
  </si>
  <si>
    <t>Millions de CHF</t>
  </si>
  <si>
    <t>mln di CHF</t>
  </si>
  <si>
    <t>CHF million</t>
  </si>
  <si>
    <t>CHF</t>
  </si>
  <si>
    <t>GWh</t>
  </si>
  <si>
    <t>t CO2-Äquivalent</t>
  </si>
  <si>
    <t>Equivalent de tonnes de CO2</t>
  </si>
  <si>
    <t>t di CO2 equivalenti</t>
  </si>
  <si>
    <t>t CO2 equivalent</t>
  </si>
  <si>
    <t>Anzahl Personen im Monatslohn</t>
  </si>
  <si>
    <t>Nombre de personnes à salaire mensuel</t>
  </si>
  <si>
    <t>numero di collaboratori con salario mensile</t>
  </si>
  <si>
    <t>Number of persons on monthly salary</t>
  </si>
  <si>
    <t>Anzahl pro 100 Personaleinheiten</t>
  </si>
  <si>
    <t>Nombre pour 100 unités de personnel</t>
  </si>
  <si>
    <t>numero ogni 100 unità di personale</t>
  </si>
  <si>
    <t>Number per 100 FTEs</t>
  </si>
  <si>
    <t>Personen</t>
  </si>
  <si>
    <t>Personnes</t>
  </si>
  <si>
    <t>persone</t>
  </si>
  <si>
    <t>% der Personen</t>
  </si>
  <si>
    <t>% des personnes</t>
  </si>
  <si>
    <t>% delle persone</t>
  </si>
  <si>
    <t>% of headcount</t>
  </si>
  <si>
    <t>206 – Wettbewerbswidriges Verhalten</t>
  </si>
  <si>
    <t>206 – Comportement anticoncurrentiel</t>
  </si>
  <si>
    <t>206 – Comportamento anticoncorrenziale</t>
  </si>
  <si>
    <t>206 – Anti Competitive Behavior</t>
  </si>
  <si>
    <t>302-2 – Energieverbrauch ausserhalb der Organisation</t>
  </si>
  <si>
    <t>302-2 – Consommation énergétique en dehors de l'organisation</t>
  </si>
  <si>
    <t>302-2 – Consumo energetico al di fuori dell'organizzazione</t>
  </si>
  <si>
    <t>302-2 – Energy consumption outside of the organization</t>
  </si>
  <si>
    <t>Faktor</t>
  </si>
  <si>
    <t>Facteur</t>
  </si>
  <si>
    <t>Fattore</t>
  </si>
  <si>
    <t>Factor</t>
  </si>
  <si>
    <t>t CO2-Äquivalent pro Mio. CHF</t>
  </si>
  <si>
    <t>Equivalent de tonnes de CO2 par million de CHF</t>
  </si>
  <si>
    <t>t di CO2 equivalenti per mln di CHF</t>
  </si>
  <si>
    <t>t CO2 equivalent per CHF million</t>
  </si>
  <si>
    <t>% des Durchschnittsbestandes an Personen im Monatslohn</t>
  </si>
  <si>
    <t>% de l'effectif moyen avec salaire mensuel</t>
  </si>
  <si>
    <t>% dell'organico medio con salario mensile</t>
  </si>
  <si>
    <t>% of average monthly salary headcount</t>
  </si>
  <si>
    <t>Anzahl</t>
  </si>
  <si>
    <t>Nombre</t>
  </si>
  <si>
    <t>Quantità</t>
  </si>
  <si>
    <t>Number</t>
  </si>
  <si>
    <t>% der Personaleinheiten</t>
  </si>
  <si>
    <t>% des unités de personnel</t>
  </si>
  <si>
    <t>% dell'unità di personale</t>
  </si>
  <si>
    <t>% of full-time equivalents</t>
  </si>
  <si>
    <t>301 – Materialien</t>
  </si>
  <si>
    <t>301 – Matières</t>
  </si>
  <si>
    <t>301 – Materiale</t>
  </si>
  <si>
    <t>301 – Materials</t>
  </si>
  <si>
    <t>302-3 – Energieintensität</t>
  </si>
  <si>
    <t>302-3 – Intensité énergétique</t>
  </si>
  <si>
    <t>302-3 – Intensità energetica</t>
  </si>
  <si>
    <t>302-3 – Energy intensity</t>
  </si>
  <si>
    <t xml:space="preserve">t CO2-Äquivalent pro Personaleinheit </t>
  </si>
  <si>
    <t xml:space="preserve">Equivalent de tonnes de CO2 par unité de personnel </t>
  </si>
  <si>
    <t xml:space="preserve">t di CO2 equivalenti per unità di personale </t>
  </si>
  <si>
    <t xml:space="preserve">t CO2 equivalent per full-time equivalent </t>
  </si>
  <si>
    <t>Jahre</t>
  </si>
  <si>
    <t>Années</t>
  </si>
  <si>
    <t>Anni</t>
  </si>
  <si>
    <t>Years</t>
  </si>
  <si>
    <t>302 – Energie</t>
  </si>
  <si>
    <t>302 – Energia</t>
  </si>
  <si>
    <t>302 – Energy</t>
  </si>
  <si>
    <t>305-1 – Direkte THG-Emissionen (Scope 1)</t>
  </si>
  <si>
    <t>305-1 – Emissions directes de gaz à effet de serre (Scope 1)</t>
  </si>
  <si>
    <t>305-1 – Emissioni dirette di gas a effetto serra (Scope 1)</t>
  </si>
  <si>
    <t>305-1 – Direct (Scope 1) GHG emissions</t>
  </si>
  <si>
    <t>Orte</t>
  </si>
  <si>
    <t>Lieux</t>
  </si>
  <si>
    <t>Località</t>
  </si>
  <si>
    <t>Localities</t>
  </si>
  <si>
    <t>Anzahl in Mio.</t>
  </si>
  <si>
    <t>Nombre en millions</t>
  </si>
  <si>
    <t>numero in mln</t>
  </si>
  <si>
    <t>Volume in millions</t>
  </si>
  <si>
    <t>Index</t>
  </si>
  <si>
    <t>Indice</t>
  </si>
  <si>
    <t>Aussetztage pro Person</t>
  </si>
  <si>
    <t>Jours d'absence par personne</t>
  </si>
  <si>
    <t>giorni di assenza per persona</t>
  </si>
  <si>
    <t>Absentee days per person</t>
  </si>
  <si>
    <t>305 – Emissionen</t>
  </si>
  <si>
    <t>305 – Emissions</t>
  </si>
  <si>
    <t>305 – Emissioni</t>
  </si>
  <si>
    <t>305-2 – Indirekte energiebezogene THG-Emissionen (Scope 2)</t>
  </si>
  <si>
    <t>305-2 – Emissions indirectes de gaz à effet de serre (Scope 2) liées à l'énergie</t>
  </si>
  <si>
    <t>305-2 – Emissioni indirette di gas a effetto serra (Scope 2) legati all'energia</t>
  </si>
  <si>
    <t>305-2 – Energy indirect (Scope 2) GHG emissions</t>
  </si>
  <si>
    <t>Personaleinheiten</t>
  </si>
  <si>
    <t>Unités de personnel</t>
  </si>
  <si>
    <t>unità di personale</t>
  </si>
  <si>
    <t>Full-time equivalents</t>
  </si>
  <si>
    <t>Tage pro Jahr</t>
  </si>
  <si>
    <t>Jours par an</t>
  </si>
  <si>
    <t>giorni all'anno</t>
  </si>
  <si>
    <t>Days per annum</t>
  </si>
  <si>
    <t>Teilnehmende</t>
  </si>
  <si>
    <t>Participants</t>
  </si>
  <si>
    <t>Partecipanti</t>
  </si>
  <si>
    <t>308 – Bewertung der Lieferanten hinsichtlich ökologischer Aspekte</t>
  </si>
  <si>
    <t>308 – Evaluation environnementale des fournisseurs</t>
  </si>
  <si>
    <t>308 – Valutazione ambientale dei fornitori</t>
  </si>
  <si>
    <t>308 – Supplier Environmental Assessment</t>
  </si>
  <si>
    <t>305-3 – Weitere indirekte THG-Emissionen (Scope 3)</t>
  </si>
  <si>
    <t>305-3 – Autres émissions indirectes de gaz à effet de serre (Scope 3)</t>
  </si>
  <si>
    <t>305-3 – Altre emissioni indirette di gas a effetto serra (Scope 3)</t>
  </si>
  <si>
    <t>305-3 – Other indirect (Scope 3) GHG emissions</t>
  </si>
  <si>
    <t>kg</t>
  </si>
  <si>
    <t>Kilos</t>
  </si>
  <si>
    <t>401 – Beschäftigung</t>
  </si>
  <si>
    <t>401 – Emploi</t>
  </si>
  <si>
    <t>401 – Occupazione</t>
  </si>
  <si>
    <t>401 – Employment</t>
  </si>
  <si>
    <t>305-4 – Intensität der THG-Emissionen</t>
  </si>
  <si>
    <t>305-4 – Intensité des émissions de gaz à effet de serre</t>
  </si>
  <si>
    <t>305-4 – Intensità delle emissioni di gas a effetto serra</t>
  </si>
  <si>
    <t>305-4 – GHG emissions intensity</t>
  </si>
  <si>
    <t>t</t>
  </si>
  <si>
    <t>Tonnes</t>
  </si>
  <si>
    <t>402 – Arbeitnehmer-Arbeitgeber-Verhältnis</t>
  </si>
  <si>
    <t>402 – Relations employeur/employés</t>
  </si>
  <si>
    <t>402 – Relazioni datore di lavoro/dipendente</t>
  </si>
  <si>
    <t>402 – Labor/Management Relations</t>
  </si>
  <si>
    <t>305-6 – Emissionen Ozon abbauender Stoffe</t>
  </si>
  <si>
    <t>305-6 – Emissions de substances appauvrissant la couche d'ozone (SAO)</t>
  </si>
  <si>
    <t>305-6 – Emissioni di sostanze che riducono l'ozono (SRO)</t>
  </si>
  <si>
    <t>305-6 – Emissions of ozone-depleting substances (ODS)</t>
  </si>
  <si>
    <t>403 – Arbeitssicherheit und Gesundheitsschutz</t>
  </si>
  <si>
    <t>403 – Santé et sécurité au travail</t>
  </si>
  <si>
    <t>403 – Salute e sicurezza sul posto di lavoro</t>
  </si>
  <si>
    <t>403 – Occupational Health and Safety</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</si>
  <si>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und andere signifikante Luftemissionen</t>
    </r>
  </si>
  <si>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et autres émissions atmosphériques substantielles</t>
    </r>
  </si>
  <si>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e altre emissioni di aria sostanziale</t>
    </r>
  </si>
  <si>
    <t>305-7 – Nitrogen oxides (NOX), sulfur oxides (SOX), and other significant air emissions</t>
  </si>
  <si>
    <t>404 – Aus- und Weiterbildung</t>
  </si>
  <si>
    <t>404 – Formation et éducation</t>
  </si>
  <si>
    <t>404 – Formazione e istruzione</t>
  </si>
  <si>
    <t>404 – Training and Education</t>
  </si>
  <si>
    <t>405 – Vielfalt und Chancengleichheit</t>
  </si>
  <si>
    <t>405 – Diversité et égalité des chances</t>
  </si>
  <si>
    <t>405 – Diversità e pari opportunità</t>
  </si>
  <si>
    <t>405 – Diversity and Equal Opportunity</t>
  </si>
  <si>
    <t>406 – Gleichbehandlung</t>
  </si>
  <si>
    <t>406 – Non-discrimination</t>
  </si>
  <si>
    <t>406 – Non discriminazione</t>
  </si>
  <si>
    <t>407 – Vereinigungsfreiheit und Recht auf Kollektivverhandlungen</t>
  </si>
  <si>
    <t>407 – Liberté syndicale et droit de négociation collective</t>
  </si>
  <si>
    <t>407 – Libertà di associazione e diritto alla contrattazione collettiva</t>
  </si>
  <si>
    <t>407 – Freedom of Association and Collective Bargaining</t>
  </si>
  <si>
    <t>Mio. Sendungen</t>
  </si>
  <si>
    <t>Millions d'unités</t>
  </si>
  <si>
    <t>mln di invii</t>
  </si>
  <si>
    <t>Millions of items</t>
  </si>
  <si>
    <t>408 – Kinderarbeit</t>
  </si>
  <si>
    <t>408 – Travail des enfants</t>
  </si>
  <si>
    <t>408 – Lavoro minorile</t>
  </si>
  <si>
    <t>408 – Child Labor</t>
  </si>
  <si>
    <t>Millions</t>
  </si>
  <si>
    <t>In millions</t>
  </si>
  <si>
    <t>409 – Zwangs- und Pflichtarbeit</t>
  </si>
  <si>
    <t>409 – Travail forcé ou obligatoire</t>
  </si>
  <si>
    <t>409 – Lavoro forzato o obbligatorio</t>
  </si>
  <si>
    <t>409 – Forced or Compulsory Labor</t>
  </si>
  <si>
    <t>Anzahl in Tausend</t>
  </si>
  <si>
    <t>Milliers</t>
  </si>
  <si>
    <t>numero in migliaia</t>
  </si>
  <si>
    <t>In thousands</t>
  </si>
  <si>
    <t>412 – Prüfung der Menschenrechte</t>
  </si>
  <si>
    <t>412 – Evaluation des droits de l'homme</t>
  </si>
  <si>
    <t>412 – Valutazione dei diritti umani</t>
  </si>
  <si>
    <t>412 – Human Rights Assessment</t>
  </si>
  <si>
    <t>Kunden</t>
  </si>
  <si>
    <t>clients</t>
  </si>
  <si>
    <t>clienti</t>
  </si>
  <si>
    <t>Customers</t>
  </si>
  <si>
    <t>413 – Lokale Gemeinschaften</t>
  </si>
  <si>
    <t>413 – Communautés locales</t>
  </si>
  <si>
    <t>413 – Comunità locali</t>
  </si>
  <si>
    <t>413 – Local Communities</t>
  </si>
  <si>
    <t>Mio. km</t>
  </si>
  <si>
    <t>Millions de kilomètres</t>
  </si>
  <si>
    <t>mln di km</t>
  </si>
  <si>
    <t>In millions of km</t>
  </si>
  <si>
    <t>414 – Bewertung der Lieferanten hinsichtlich Arbeitspraktiken</t>
  </si>
  <si>
    <t>414 – Evaluation sociale des fournisseurs</t>
  </si>
  <si>
    <t>414 – Valutazione sociale dei fornitori</t>
  </si>
  <si>
    <t>414 – Supplier Social Assessment</t>
  </si>
  <si>
    <t>418 – Schutz der Privatsphäre des Kunden</t>
  </si>
  <si>
    <t>418 – Vie privée des clients</t>
  </si>
  <si>
    <t>418 – Privacy dei clienti</t>
  </si>
  <si>
    <t>418 – Customer Privacy</t>
  </si>
  <si>
    <t>km</t>
  </si>
  <si>
    <t>Kilomètres</t>
  </si>
  <si>
    <t>419 – Sozio-ökonomische Compliance</t>
  </si>
  <si>
    <t>419 – Conformité socioéconomique</t>
  </si>
  <si>
    <t>419 – Conformità socioeconomica</t>
  </si>
  <si>
    <t>419 – Socioeconomic Compliance</t>
  </si>
  <si>
    <t>Mio. m²</t>
  </si>
  <si>
    <t>Millions de m2</t>
  </si>
  <si>
    <t>mln di m²</t>
  </si>
  <si>
    <t>In millions of m²</t>
  </si>
  <si>
    <t>Offenlegungen</t>
  </si>
  <si>
    <t>Divulgations</t>
  </si>
  <si>
    <t>Divulgazioni</t>
  </si>
  <si>
    <t>Disclosures</t>
  </si>
  <si>
    <t>Anzahl pro Monat</t>
  </si>
  <si>
    <t>Nombre par mois</t>
  </si>
  <si>
    <t>numero per mese</t>
  </si>
  <si>
    <t>Number per month</t>
  </si>
  <si>
    <t>Betriebsertrag</t>
  </si>
  <si>
    <t>Produits d'exploitation</t>
  </si>
  <si>
    <t>Ricavi d'esercizio</t>
  </si>
  <si>
    <t>Operating income</t>
  </si>
  <si>
    <t>Entschädigungen an Verwaltungsratspräsidenten</t>
  </si>
  <si>
    <t>Indemnités versées au président du Conseil d'administration</t>
  </si>
  <si>
    <t>Indennità a Presidenti di Consigli d'amministrazione</t>
  </si>
  <si>
    <t>Remuneration paid to Chairman of the Board</t>
  </si>
  <si>
    <t>Beiträge</t>
  </si>
  <si>
    <t>Contributions</t>
  </si>
  <si>
    <t>Contributi</t>
  </si>
  <si>
    <t>Treibstoffverbrauch</t>
  </si>
  <si>
    <t>Consommation de carburants</t>
  </si>
  <si>
    <t>Consumo di carburanti</t>
  </si>
  <si>
    <t>Fuel consumption</t>
  </si>
  <si>
    <t>Nach Prozessen</t>
  </si>
  <si>
    <t>Par processus</t>
  </si>
  <si>
    <t>Per processo</t>
  </si>
  <si>
    <t>By process</t>
  </si>
  <si>
    <t>Eintritte</t>
  </si>
  <si>
    <t>Arrivées</t>
  </si>
  <si>
    <t>Arrivi</t>
  </si>
  <si>
    <t>New employees</t>
  </si>
  <si>
    <t>Unfälle</t>
  </si>
  <si>
    <t>Accidents</t>
  </si>
  <si>
    <t>Infortuni</t>
  </si>
  <si>
    <t>Anteil Frauen im Kader</t>
  </si>
  <si>
    <t>Part de femmes cadres</t>
  </si>
  <si>
    <t>Percentuale di donne nei quadri</t>
  </si>
  <si>
    <t>Percentage of women in management roles</t>
  </si>
  <si>
    <t>Einheit</t>
  </si>
  <si>
    <t>Unité</t>
  </si>
  <si>
    <t>Unità</t>
  </si>
  <si>
    <t>Unit</t>
  </si>
  <si>
    <t>Gigabyte</t>
  </si>
  <si>
    <t>Gigaoctets</t>
  </si>
  <si>
    <t>gigabyte</t>
  </si>
  <si>
    <t>Gigabytes</t>
  </si>
  <si>
    <t>im Ausland und grenzüberschreitend erwirtschaftet</t>
  </si>
  <si>
    <t>réalisés à l’étranger et transfrontalier</t>
  </si>
  <si>
    <t>conseguiti all’estero e zone transforntaliere</t>
  </si>
  <si>
    <t>Generated abroad and crossborder</t>
  </si>
  <si>
    <t>Durchschnittliche Entschädigung an Verwaltungsratsmitglieder</t>
  </si>
  <si>
    <t>Indemnités moyennes versées aux membres du Conseil d'administration</t>
  </si>
  <si>
    <t>Indennità media ai membri del Consiglio d'amministrazione</t>
  </si>
  <si>
    <t>Average remuneration paid to members of the Board of Directors</t>
  </si>
  <si>
    <t>Wirtschaft</t>
  </si>
  <si>
    <t>Sponsoring économique</t>
  </si>
  <si>
    <t>Economia</t>
  </si>
  <si>
    <t>Economy</t>
  </si>
  <si>
    <t>Treibstoffverbrauch (innerhalb der Post)</t>
  </si>
  <si>
    <t>Consommation de carburants (au sein de la Poste)</t>
  </si>
  <si>
    <t>Consumo di carburanti (all'interno della Posta)</t>
  </si>
  <si>
    <t>Fuel consumption (within Swiss Post)</t>
  </si>
  <si>
    <t>Leistungserbringung</t>
  </si>
  <si>
    <t>Fourniture de prestations</t>
  </si>
  <si>
    <t>Erogazione di servizi</t>
  </si>
  <si>
    <t>Service provision</t>
  </si>
  <si>
    <t>weiblich</t>
  </si>
  <si>
    <t>Femmes</t>
  </si>
  <si>
    <t>donne</t>
  </si>
  <si>
    <t>Women</t>
  </si>
  <si>
    <t>Berufsunfälle</t>
  </si>
  <si>
    <t>Accidents professionnels</t>
  </si>
  <si>
    <t>Infortuni professionali</t>
  </si>
  <si>
    <t>Occupational accidents</t>
  </si>
  <si>
    <t>Detailhandelsfachfrau/-mann</t>
  </si>
  <si>
    <t>Gestionnaire de commerce de détail</t>
  </si>
  <si>
    <t>impiegati/e del commercio al dettaglio</t>
  </si>
  <si>
    <t>Retail employee</t>
  </si>
  <si>
    <t>Anteil Frauen in höchster Kaderfunktion</t>
  </si>
  <si>
    <t>Part de femmes cadres échelon supérieur</t>
  </si>
  <si>
    <t>Percentuale di donne con mansioni direttive di livello superiore</t>
  </si>
  <si>
    <t>Percentage of women in senior management posts</t>
  </si>
  <si>
    <t>Fussnoten</t>
  </si>
  <si>
    <t>Notes</t>
  </si>
  <si>
    <t>Note</t>
  </si>
  <si>
    <t>Footnotes</t>
  </si>
  <si>
    <t>Anzahl pro Jahr</t>
  </si>
  <si>
    <t>Nombre par an</t>
  </si>
  <si>
    <t>numero per anno</t>
  </si>
  <si>
    <t>Number per year</t>
  </si>
  <si>
    <t>reservierte Dienste</t>
  </si>
  <si>
    <t>Services réservés</t>
  </si>
  <si>
    <t>servizi riservati</t>
  </si>
  <si>
    <t>Reserved services</t>
  </si>
  <si>
    <t>Entschädigung an Konzernleiter/-in</t>
  </si>
  <si>
    <t>Indemnités versées au directeur/à la directrice général(e)</t>
  </si>
  <si>
    <t>Indennità al/alla direttore/direttrice generale</t>
  </si>
  <si>
    <t>Remuneration paid to CEO</t>
  </si>
  <si>
    <t>Sportsponsoring</t>
  </si>
  <si>
    <t>Sponsoring sportif</t>
  </si>
  <si>
    <t>Sponsoring sportivo</t>
  </si>
  <si>
    <t>Sports sponsorship</t>
  </si>
  <si>
    <t>Anteil an erneuerbaren Treibstoffen (innerhalb der Post)</t>
  </si>
  <si>
    <t>Part de carburants renouvelables (au sein de la Poste)</t>
  </si>
  <si>
    <t>Quota di carburanti da fonti rinnovabili (all'interno della Posta)</t>
  </si>
  <si>
    <t>Percentage of renewable fuels (within Swiss Post)</t>
  </si>
  <si>
    <t>Gebäude</t>
  </si>
  <si>
    <t>Bâtiments</t>
  </si>
  <si>
    <t>edifici</t>
  </si>
  <si>
    <t>Buildings</t>
  </si>
  <si>
    <t>20–29</t>
  </si>
  <si>
    <t>20-29</t>
  </si>
  <si>
    <t>Berufsunfälle Logistik-Services</t>
  </si>
  <si>
    <t>Accidents professionnels Services logistiques</t>
  </si>
  <si>
    <t>infortuni professionali Servizi logistici</t>
  </si>
  <si>
    <t>Occupational accidents, Logistics Services</t>
  </si>
  <si>
    <t>Fachfrau/ -mann Kundendialog</t>
  </si>
  <si>
    <t>Agent(e) relation client</t>
  </si>
  <si>
    <t>operatori/trici per la comunicazione con la clientela</t>
  </si>
  <si>
    <t>Call center agent</t>
  </si>
  <si>
    <t>Anteil Frauen im mittleren/unteren Kader</t>
  </si>
  <si>
    <t>Part de femmes cadres échelons moyen et inférieur</t>
  </si>
  <si>
    <t>Percentuale di donne nei quadri inferiori e medi</t>
  </si>
  <si>
    <t>Percentage of women in middle and junior management roles</t>
  </si>
  <si>
    <t>GRI</t>
  </si>
  <si>
    <t>Betriebsaufwand</t>
  </si>
  <si>
    <t>Charges d'exploitation</t>
  </si>
  <si>
    <t>Costi d'esercizio</t>
  </si>
  <si>
    <t>Operating expenses</t>
  </si>
  <si>
    <t>Durchschnittliche Entschädigung an Konzernleitungsmitglieder</t>
  </si>
  <si>
    <t>Indemnités moyennes versées aux membres de la Direction du groupe</t>
  </si>
  <si>
    <t>Indennità media ai membri della Direzione del gruppo</t>
  </si>
  <si>
    <t>Average remuneration paid to members of Executive Management</t>
  </si>
  <si>
    <t>Kultursponsoring</t>
  </si>
  <si>
    <t>Sponsoring culturel</t>
  </si>
  <si>
    <t>Sponsoring culturale</t>
  </si>
  <si>
    <t>Cultural sponsorship</t>
  </si>
  <si>
    <t>Diesel (innerhalb der Post)</t>
  </si>
  <si>
    <t>Diesel (au sein de la Poste)</t>
  </si>
  <si>
    <t>Diesel (all'interno della Posta)</t>
  </si>
  <si>
    <t>Diesel (within Swiss Post)</t>
  </si>
  <si>
    <t>Wärme</t>
  </si>
  <si>
    <t>Chaleur</t>
  </si>
  <si>
    <t>riscaldamento</t>
  </si>
  <si>
    <t>Heating</t>
  </si>
  <si>
    <t>30-49</t>
  </si>
  <si>
    <t>30–49</t>
  </si>
  <si>
    <t>Berufsunfälle Kommunikations-Services</t>
  </si>
  <si>
    <t>Accidents professionnels Services de communication</t>
  </si>
  <si>
    <t>infortuni professionali Servizi di comunicazione</t>
  </si>
  <si>
    <t>Occupational accidents, Communication Services</t>
  </si>
  <si>
    <t>Kaufleute</t>
  </si>
  <si>
    <t>Employé(e) de commerce</t>
  </si>
  <si>
    <t>impiegati/e di commercio</t>
  </si>
  <si>
    <t>Commercial employee</t>
  </si>
  <si>
    <t>Anteil Frauen im Verwaltungsrat (VR) der Schweizerischen Post AG</t>
  </si>
  <si>
    <t>Part de femmes au Conseil d'administration (CA) de La Poste Suisse SA</t>
  </si>
  <si>
    <t>Percentuale di donne nel Consiglio di amministrazione (CdA) de La Posta Svizzera SA</t>
  </si>
  <si>
    <t>Percentage of women on Swiss Post Ltd Board of Directors (BoD)</t>
  </si>
  <si>
    <t>zurück zum Inhaltsverzeichnis</t>
  </si>
  <si>
    <t>retour à la table des matières</t>
  </si>
  <si>
    <t>torna alla tabella dei contenuti</t>
  </si>
  <si>
    <t>back to the table of contents</t>
  </si>
  <si>
    <t>Personalaufwand</t>
  </si>
  <si>
    <t>Charges de personnel</t>
  </si>
  <si>
    <t>Costi per il personale</t>
  </si>
  <si>
    <t>Personnel expenses</t>
  </si>
  <si>
    <t>Durchschnittslohn Mitarbeitende</t>
  </si>
  <si>
    <t>Salaire moyen du personnel</t>
  </si>
  <si>
    <t>Salario medio dei collaboratori</t>
  </si>
  <si>
    <t>Average salary for employees</t>
  </si>
  <si>
    <t>Soziale Engagements / Vergabungen / Spenden</t>
  </si>
  <si>
    <t>Engagements sociaux / cadeaux / dons</t>
  </si>
  <si>
    <t>Impegno sociale / doni / donazioni</t>
  </si>
  <si>
    <t>Social initiatives/gifts/donations</t>
  </si>
  <si>
    <t>Anteil an Biodiesel (innerhalb der Post)</t>
  </si>
  <si>
    <t>Part de biodiesel renouvelable (au sein de la Poste)</t>
  </si>
  <si>
    <t>Quota di biodiesel (all'interno della Posta)</t>
  </si>
  <si>
    <t>Percentage of biodiesel (within Swiss Post)</t>
  </si>
  <si>
    <t>Strom</t>
  </si>
  <si>
    <t>Electricité</t>
  </si>
  <si>
    <t>energia elettrica</t>
  </si>
  <si>
    <t>Electricity</t>
  </si>
  <si>
    <t>50 und älter</t>
  </si>
  <si>
    <t>50 ans et plus</t>
  </si>
  <si>
    <t>dai 50 anni in su</t>
  </si>
  <si>
    <t>50 and older</t>
  </si>
  <si>
    <t>Berufsunfälle PostNetz</t>
  </si>
  <si>
    <t>Accidents professionnels RéseauPostal</t>
  </si>
  <si>
    <t>infortuni professionali RetePostale</t>
  </si>
  <si>
    <t>Occupational accidents, PostalNetwork</t>
  </si>
  <si>
    <t>Kaufm. Praktikum</t>
  </si>
  <si>
    <t>Stagiaire commerce</t>
  </si>
  <si>
    <t>stagisti di commercio</t>
  </si>
  <si>
    <t>Commercial apprenticeship</t>
  </si>
  <si>
    <t>Anteil Frauen in der Konzernleitung (KL) der Schweizerischen Post AG</t>
  </si>
  <si>
    <t>Part de femmes à la Direction du groupe (DG) La Poste Suisse SA</t>
  </si>
  <si>
    <t>Percentuale di donne nella Direzione del gruppo (DG) de La Posta Svizzera SA</t>
  </si>
  <si>
    <t>Percentage of women in Swiss Post Ltd Executive Management (EM)</t>
  </si>
  <si>
    <t>Konzern</t>
  </si>
  <si>
    <t>Groupe</t>
  </si>
  <si>
    <t>Gruppo</t>
  </si>
  <si>
    <t>Group</t>
  </si>
  <si>
    <t>Betriebsergebnis</t>
  </si>
  <si>
    <t>Résultat d'exploitation</t>
  </si>
  <si>
    <t>Risultato d'esercizio</t>
  </si>
  <si>
    <t>Operating profit</t>
  </si>
  <si>
    <t>Minimallohn GAV Post (18 Jahre, ohne Berufslehre)</t>
  </si>
  <si>
    <t>Salaire minimal CCT Poste (18 ans, sans apprentissage)</t>
  </si>
  <si>
    <t>Salario minimo CCL Posta (dai 18 anni, senza apprendistato professionale)</t>
  </si>
  <si>
    <t>Minimum salary under Swiss Post CEC (18 years, without vocational training)</t>
  </si>
  <si>
    <t>Spenden an politische Parteien</t>
  </si>
  <si>
    <t>Dons à des partis politiques</t>
  </si>
  <si>
    <t>Doni a partiti politici</t>
  </si>
  <si>
    <t>Donations to political parties</t>
  </si>
  <si>
    <t>Benzin (innerhalb der Post)</t>
  </si>
  <si>
    <t>Essence (au sein de la Poste)</t>
  </si>
  <si>
    <t>Benzina (all'interno della Posta)</t>
  </si>
  <si>
    <t>Petrol (within Swiss Post)</t>
  </si>
  <si>
    <t>Kältemittel, Ressourcen und Abfälle</t>
  </si>
  <si>
    <t>Climatisation, ressources et déchets</t>
  </si>
  <si>
    <t>refrigeranti, risorse e rifiuti</t>
  </si>
  <si>
    <t>Refrigerants, resources and waste</t>
  </si>
  <si>
    <t>männlich</t>
  </si>
  <si>
    <t>Hommes</t>
  </si>
  <si>
    <t>uomini</t>
  </si>
  <si>
    <t>Men</t>
  </si>
  <si>
    <t>Berufsunfälle PostFinance</t>
  </si>
  <si>
    <t>Accidents professionnels PostFinance</t>
  </si>
  <si>
    <t>infortuni professionali PostFinance</t>
  </si>
  <si>
    <t>Occupational accidents, PostFinance</t>
  </si>
  <si>
    <t>Logistiker/-in EFZ Distribution</t>
  </si>
  <si>
    <t>Logisticien/ne CFC distribution</t>
  </si>
  <si>
    <t>impiegati/e in logistica AFC Recapito</t>
  </si>
  <si>
    <t>EFZ distribution logistics technician</t>
  </si>
  <si>
    <t>Anteil Frauen im VR, der KL und den Geschäftsleitungen des Konzerns</t>
  </si>
  <si>
    <t>Part de femmes aux CA, à la DG et dans les organes de direction du groupe</t>
  </si>
  <si>
    <t>Percentuale di donne nel CdA, nella DG e nel comitato di direzione del gruppo</t>
  </si>
  <si>
    <t>Percentage of women on BoD, EM and Executive Boards of the group</t>
  </si>
  <si>
    <t>Konzern Schweiz</t>
  </si>
  <si>
    <t>Groupe Suisse</t>
  </si>
  <si>
    <t>Gruppo Svizzera</t>
  </si>
  <si>
    <t>Group in Switzerland</t>
  </si>
  <si>
    <t>als Anteil des Betriebsertrages</t>
  </si>
  <si>
    <t>en proportion des produits d'exploitation</t>
  </si>
  <si>
    <t>in % dei ricavi d'esercizio</t>
  </si>
  <si>
    <t>As a share of operating income</t>
  </si>
  <si>
    <t>Lohnspanne</t>
  </si>
  <si>
    <t>Ecart salarial</t>
  </si>
  <si>
    <t>Fascia salariale</t>
  </si>
  <si>
    <t>Salary range</t>
  </si>
  <si>
    <t>Engagements für die Schweiz</t>
  </si>
  <si>
    <t>Engagements pour la Suisse</t>
  </si>
  <si>
    <t>Impegni per la Svizzera</t>
  </si>
  <si>
    <t>Commitments for Switzerland</t>
  </si>
  <si>
    <t>Erdgas (innerhalb der Post)</t>
  </si>
  <si>
    <t>Gaz naturel (au sein de la Poste)</t>
  </si>
  <si>
    <t>Gas naturale (all'interno della Posta)</t>
  </si>
  <si>
    <t>Natural gas (within Swiss Post)</t>
  </si>
  <si>
    <t>Mobilität</t>
  </si>
  <si>
    <t>Mobilité</t>
  </si>
  <si>
    <t>Mobilità</t>
  </si>
  <si>
    <t>Mobility</t>
  </si>
  <si>
    <t>Berufsunfälle Mobilitäts-Services</t>
  </si>
  <si>
    <t>Accidents professionnels Services de mobilité</t>
  </si>
  <si>
    <t>infortuni professionali Servizi di mobilità</t>
  </si>
  <si>
    <t>Occupational accidents, Mobility Services</t>
  </si>
  <si>
    <t>Logistiker/-in EBA Distribution</t>
  </si>
  <si>
    <t>Logisticien/ne AFP distribution</t>
  </si>
  <si>
    <t>addetti/e alla logistica CFP Recapito</t>
  </si>
  <si>
    <t>EBA distribution logistics technician</t>
  </si>
  <si>
    <t>Märkte</t>
  </si>
  <si>
    <t>Marchés</t>
  </si>
  <si>
    <t>Mercati</t>
  </si>
  <si>
    <t>Markets</t>
  </si>
  <si>
    <t>als Anteil des Betriebsergebnisses</t>
  </si>
  <si>
    <t>in % dei risultato d'esercizio</t>
  </si>
  <si>
    <t>As a share of operating profit</t>
  </si>
  <si>
    <t>Minimallohn GAV Post (Mindestlohn Region D)</t>
  </si>
  <si>
    <t>Salaire minimal selon CCT Poste (salaire minimum région D)</t>
  </si>
  <si>
    <t>Salario minimo CCL Posta (salario minimo regione D)</t>
  </si>
  <si>
    <t>Swiss Post CEC minimum salary (Region D minimum salary)</t>
  </si>
  <si>
    <t>Anteil an Biogas (innerhalb der Post)</t>
  </si>
  <si>
    <t>Part de biogaz renouvelable (au sein de la Poste)</t>
  </si>
  <si>
    <t>quota biogas da fonti rinnovabili (all'interno della Posta)</t>
  </si>
  <si>
    <t>Renewable percentage of biogas (within Swiss Post)</t>
  </si>
  <si>
    <t>Personentransport</t>
  </si>
  <si>
    <t>Transport de voyageurs</t>
  </si>
  <si>
    <t>trasporto persone</t>
  </si>
  <si>
    <t>Passenger transport</t>
  </si>
  <si>
    <t>Berufsunfälle Swiss Post International</t>
  </si>
  <si>
    <t>Accidents professionnels Swiss Post International</t>
  </si>
  <si>
    <t>infortuni professionali Swiss Post International</t>
  </si>
  <si>
    <t>Occupational accidents, Swiss Post International</t>
  </si>
  <si>
    <t>Logistiker/-in EFZ Lager</t>
  </si>
  <si>
    <t>Logisticien/ne CFC stockage</t>
  </si>
  <si>
    <t>impiegati/e in logistica AFC Magazzino</t>
  </si>
  <si>
    <t>EFZ warehouse logistics technician</t>
  </si>
  <si>
    <t>Kommunikationsmarkt</t>
  </si>
  <si>
    <t>Marché de la communication</t>
  </si>
  <si>
    <t>Mercato della comunicazione</t>
  </si>
  <si>
    <t>Communication market</t>
  </si>
  <si>
    <t>Strom verwendet als Treibstoff (innerhalb der Post)</t>
  </si>
  <si>
    <t>Electricité comme carburant (au sein de la Poste)</t>
  </si>
  <si>
    <t>Energia elettrica come carburante (all'interno della Posta)</t>
  </si>
  <si>
    <t>Electricity used as fuel (within Swiss Post)</t>
  </si>
  <si>
    <t>Gütertransport</t>
  </si>
  <si>
    <t>Transport de marchandises</t>
  </si>
  <si>
    <t>trasporto merci</t>
  </si>
  <si>
    <t>Goods transport</t>
  </si>
  <si>
    <t>Berufsunfälle Swiss Post Solutions</t>
  </si>
  <si>
    <t>Accidents professionnels Swiss Post Solutions</t>
  </si>
  <si>
    <t>infortuni professionali Swiss Post Solutions</t>
  </si>
  <si>
    <t>Occupational accidents, Swiss Post Solutions</t>
  </si>
  <si>
    <t>Strassentransportfachmann/-frau EFZ</t>
  </si>
  <si>
    <t>Conducteur/trice de véhicules lourds</t>
  </si>
  <si>
    <t>autisti di veicoli pesanti AFC</t>
  </si>
  <si>
    <t>EFZ truck driver</t>
  </si>
  <si>
    <t>Logistikmarkt</t>
  </si>
  <si>
    <t>Marché de la logistique</t>
  </si>
  <si>
    <t>Mercato logistico</t>
  </si>
  <si>
    <t>Logistics market</t>
  </si>
  <si>
    <t>Konzerngewinn</t>
  </si>
  <si>
    <t>Bénéfice consolidé</t>
  </si>
  <si>
    <t>Utile del gruppo</t>
  </si>
  <si>
    <t>Group profit</t>
  </si>
  <si>
    <t>Anteil an erneuerbarem Strom verwendet als Treibstoff (innerhalb der Post)</t>
  </si>
  <si>
    <t>Part d'électricité renouvelable comme carburant (au sein de la Poste)</t>
  </si>
  <si>
    <t>quota energia elettrica, carburante da fonti rinnovabili (all'interno della Posta)</t>
  </si>
  <si>
    <t>Renewable percentage of fuel electricity (within Swiss Post)</t>
  </si>
  <si>
    <t>Werksgelände</t>
  </si>
  <si>
    <t>Sites d'entreprise</t>
  </si>
  <si>
    <t>sito di produzione</t>
  </si>
  <si>
    <t>Works premises</t>
  </si>
  <si>
    <t>Austritte von Mitarbeitenden</t>
  </si>
  <si>
    <t>Départs de collaborateurs</t>
  </si>
  <si>
    <t>Partenze di collaboratori</t>
  </si>
  <si>
    <t>Employee departures</t>
  </si>
  <si>
    <t>Berufsunfälle mit Todesfolgen</t>
  </si>
  <si>
    <t>Accidents professionnels mortels</t>
  </si>
  <si>
    <t>infortuni professionali mortali</t>
  </si>
  <si>
    <t>Occupational accidents with fatalities</t>
  </si>
  <si>
    <t>Informatiker/-in</t>
  </si>
  <si>
    <t>Informaticien/ne</t>
  </si>
  <si>
    <t>informatici/che</t>
  </si>
  <si>
    <t>IT technician</t>
  </si>
  <si>
    <t>Finanzdienstleistungsmarkt</t>
  </si>
  <si>
    <t>Marché des services financiers</t>
  </si>
  <si>
    <t>Mercato dei servizi finanziari</t>
  </si>
  <si>
    <t>Financial services market</t>
  </si>
  <si>
    <t>Import und Export von Mail</t>
  </si>
  <si>
    <t>Importation et exportation de courrier</t>
  </si>
  <si>
    <t>Importazione ed esportazione di posta</t>
  </si>
  <si>
    <t>Import and export of mail</t>
  </si>
  <si>
    <t>Geldfluss aus operativer Geschäftstätigkeit</t>
  </si>
  <si>
    <t>Flux de trésorerie des activités opérationnelles</t>
  </si>
  <si>
    <t>Flusso di tesoreria derivante dall'attività operativa</t>
  </si>
  <si>
    <t>Cash flow from operating activities</t>
  </si>
  <si>
    <t>Filialen</t>
  </si>
  <si>
    <t>Filiales</t>
  </si>
  <si>
    <t>Filiali</t>
  </si>
  <si>
    <t>Branches</t>
  </si>
  <si>
    <t>Wasserstoff (innerhalb der Post)</t>
  </si>
  <si>
    <t>Hydrogène (au sein de la Poste)</t>
  </si>
  <si>
    <t>Idrogeno (all'interno della Posta)</t>
  </si>
  <si>
    <t>Hydrogen (within Swiss Post)</t>
  </si>
  <si>
    <t>Strasse</t>
  </si>
  <si>
    <t>Route</t>
  </si>
  <si>
    <t>gomma</t>
  </si>
  <si>
    <t>Street</t>
  </si>
  <si>
    <t>Pensionierungen</t>
  </si>
  <si>
    <t>Retraites</t>
  </si>
  <si>
    <t>pensionamenti</t>
  </si>
  <si>
    <t>Due to retirement</t>
  </si>
  <si>
    <t xml:space="preserve">Nichtberufsunfälle   </t>
  </si>
  <si>
    <t xml:space="preserve">Accidents non professionnels   </t>
  </si>
  <si>
    <t xml:space="preserve">Infortuni non professionali   </t>
  </si>
  <si>
    <t xml:space="preserve">Non-occupational accidents   </t>
  </si>
  <si>
    <t>Mediamatiker/-in</t>
  </si>
  <si>
    <t>Médiamaticien/ne</t>
  </si>
  <si>
    <t>mediamatici/che</t>
  </si>
  <si>
    <t>Mediamatics technician</t>
  </si>
  <si>
    <t>Personenverkehrsmarkt</t>
  </si>
  <si>
    <t>Marché du transport de voyageurs</t>
  </si>
  <si>
    <t>Mercato dei trasporti di persone</t>
  </si>
  <si>
    <t>Passenger transport market</t>
  </si>
  <si>
    <t>Pakete</t>
  </si>
  <si>
    <t>Colis</t>
  </si>
  <si>
    <t>Pacchi</t>
  </si>
  <si>
    <t>Parcels</t>
  </si>
  <si>
    <t>Unternehmensmehrwert</t>
  </si>
  <si>
    <t>Valeur ajoutée de l'entreprise</t>
  </si>
  <si>
    <t>Valore aggiunto aziendale</t>
  </si>
  <si>
    <t>Economic value added</t>
  </si>
  <si>
    <t>Filialen mit Partner</t>
  </si>
  <si>
    <t>Filiales en partenariat</t>
  </si>
  <si>
    <t>Filiali in partenariato</t>
  </si>
  <si>
    <t>Branches with partner</t>
  </si>
  <si>
    <t>Anteil an erneuerbarem Wasserstoff (innerhalb der Post)</t>
  </si>
  <si>
    <t>Part d'hydrogène renouvelable (au sein de la Poste)</t>
  </si>
  <si>
    <t>Quota di idrogeno da fonti rinnovabili (all'interno della Posta)</t>
  </si>
  <si>
    <t>Percentage of renewable hydrogen (within Swiss Post)</t>
  </si>
  <si>
    <t>Schiene</t>
  </si>
  <si>
    <t>Rail</t>
  </si>
  <si>
    <t>rotaia</t>
  </si>
  <si>
    <t>auslaufende Verträge</t>
  </si>
  <si>
    <t>Contrats arrivant à échéance</t>
  </si>
  <si>
    <t>contratti in scadenza</t>
  </si>
  <si>
    <t>Expiring contracts</t>
  </si>
  <si>
    <t>Verursachte Unfallkosten</t>
  </si>
  <si>
    <t>Coûts occasionnés par les accidents</t>
  </si>
  <si>
    <t>Costi legati agli infortuni</t>
  </si>
  <si>
    <t>Costs incurred as a result of accidents</t>
  </si>
  <si>
    <t>Automatiker/-in</t>
  </si>
  <si>
    <t>Automaticien/ne</t>
  </si>
  <si>
    <t>operatori/trici in automatica</t>
  </si>
  <si>
    <t>Automation technician</t>
  </si>
  <si>
    <t>Übrige</t>
  </si>
  <si>
    <t>Autres</t>
  </si>
  <si>
    <t>Altro</t>
  </si>
  <si>
    <t>Other</t>
  </si>
  <si>
    <t>Import und Export von Kurier, Express und Pakete</t>
  </si>
  <si>
    <t>Importation et exportation de coursier, express et colis</t>
  </si>
  <si>
    <t>Importazione ed esportazione di servici di corriere, espresso e pacchi</t>
  </si>
  <si>
    <t>Import and export of courier, express and parcels</t>
  </si>
  <si>
    <t>Nettoumsatz übrige Markenartikel</t>
  </si>
  <si>
    <t>Chiffre d'affaires net autres articles de marque</t>
  </si>
  <si>
    <t>fatturato netto altri articoli di marca</t>
  </si>
  <si>
    <t>Net sales – other brand-name items</t>
  </si>
  <si>
    <t>Hausservice</t>
  </si>
  <si>
    <t>Service à domicile</t>
  </si>
  <si>
    <t>Servizio a domicil</t>
  </si>
  <si>
    <t>Home delivery service</t>
  </si>
  <si>
    <t>Treibstoffverbauch (ausserhalb der Post)</t>
  </si>
  <si>
    <t>Consommation de carburants (en dehors de la Poste)</t>
  </si>
  <si>
    <t>Consumo di carburanti (al di fuori della Posta)</t>
  </si>
  <si>
    <t>Fuel consumption (outside Swiss Post)</t>
  </si>
  <si>
    <t>Luft</t>
  </si>
  <si>
    <t>Transport aérien</t>
  </si>
  <si>
    <t>aria</t>
  </si>
  <si>
    <t>Air</t>
  </si>
  <si>
    <t>Austritt vereinbart</t>
  </si>
  <si>
    <t>Départs négociés</t>
  </si>
  <si>
    <t>partenze convenute</t>
  </si>
  <si>
    <t>Departure agreed</t>
  </si>
  <si>
    <t>Fachmann/-frau Betriebsunterhalt EFZ</t>
  </si>
  <si>
    <t>Spécialiste de l'entretien CFC</t>
  </si>
  <si>
    <t>operatori/trici di edifici e infrastrutture AFC</t>
  </si>
  <si>
    <t>Operation maintenance employee</t>
  </si>
  <si>
    <t>Segmente</t>
  </si>
  <si>
    <t>Segments</t>
  </si>
  <si>
    <t>Segmenti</t>
  </si>
  <si>
    <t>Passivgeschäft</t>
  </si>
  <si>
    <t>Opérations passives</t>
  </si>
  <si>
    <t>Operazioni passive</t>
  </si>
  <si>
    <t>Deposit-taking business</t>
  </si>
  <si>
    <t>Aufgabe- und Abholstellen</t>
  </si>
  <si>
    <t>Points de dépôt et de retrait</t>
  </si>
  <si>
    <t>Uffici di impostazione e di ritiro</t>
  </si>
  <si>
    <t>Acceptance and collection points</t>
  </si>
  <si>
    <t>Brennstoffverbrauch</t>
  </si>
  <si>
    <t>Consommation de combustibles</t>
  </si>
  <si>
    <t>Consumo di combustibili</t>
  </si>
  <si>
    <t>Combustibles consumption</t>
  </si>
  <si>
    <t>Wasser</t>
  </si>
  <si>
    <t>Transport naval</t>
  </si>
  <si>
    <t>acqua</t>
  </si>
  <si>
    <t>Water</t>
  </si>
  <si>
    <t>Kündigung durch Arbeitgeber</t>
  </si>
  <si>
    <t>Licenciements par l'employeur</t>
  </si>
  <si>
    <t>licenziamenti da parte del datore di lavoro</t>
  </si>
  <si>
    <t>Notice given by employer</t>
  </si>
  <si>
    <t>Nichtberufsunfälle</t>
  </si>
  <si>
    <t>Accidents non professionnels</t>
  </si>
  <si>
    <t>Infortuni non professionali</t>
  </si>
  <si>
    <t>Non-occupational accidents</t>
  </si>
  <si>
    <t>Kinderbetreuer/-in</t>
  </si>
  <si>
    <t>Spécialiste petite enfance</t>
  </si>
  <si>
    <t>operatori/trici d'infanzia</t>
  </si>
  <si>
    <t>Child carer</t>
  </si>
  <si>
    <t>Logistik-Services</t>
  </si>
  <si>
    <t>Services logistiques</t>
  </si>
  <si>
    <t>Servizi logistici</t>
  </si>
  <si>
    <t>Logistics Services</t>
  </si>
  <si>
    <t>Marktanteil PostAuto gemäss Angebotskilometer RPV Bus (%)</t>
  </si>
  <si>
    <t>Part de marché de CarPostal en termes de kilomètres parcourus par le réseau TRV de bus (%)</t>
  </si>
  <si>
    <t>Quota di mercato AutoPostale in base ai chilometri offerti TRV bus (%)</t>
  </si>
  <si>
    <t>PostBus market share according to kilometres covered by bus-based regional passenger transport (%)</t>
  </si>
  <si>
    <t>My Post 24-Automaten</t>
  </si>
  <si>
    <t>Automates My Post 24</t>
  </si>
  <si>
    <t>Sportelli automatici My Post 24</t>
  </si>
  <si>
    <t>My Post 24 terminals</t>
  </si>
  <si>
    <t>Brennstoffverbrauch (innerhalb der Post)</t>
  </si>
  <si>
    <t>Consommation de combustibles (au sein de la Poste)</t>
  </si>
  <si>
    <t>Consumo di combustibili (all'interno della Posta)</t>
  </si>
  <si>
    <t>Combustibles consumption (within Swiss Post)</t>
  </si>
  <si>
    <t>Geschäftsreiseverkehr</t>
  </si>
  <si>
    <t>Déplacements professionnels</t>
  </si>
  <si>
    <t>Viaggi di lavoro</t>
  </si>
  <si>
    <t>Business travel</t>
  </si>
  <si>
    <t>aus wirtschaftlichen Gründen</t>
  </si>
  <si>
    <t>pour raisons économiques</t>
  </si>
  <si>
    <t>per motivi economici</t>
  </si>
  <si>
    <t>For business-related reasons</t>
  </si>
  <si>
    <t>Berufs- und Nichtberufsunfälle</t>
  </si>
  <si>
    <t>Accidents professionnels et non professionnels</t>
  </si>
  <si>
    <t>Infortuni professionali e non professionali</t>
  </si>
  <si>
    <t>Occupational and non-occupational accidents</t>
  </si>
  <si>
    <t>Ausbildungsquote</t>
  </si>
  <si>
    <t>Taux de formation</t>
  </si>
  <si>
    <t>Percentuale persone in formazione</t>
  </si>
  <si>
    <t>Ratio of trainees to employees</t>
  </si>
  <si>
    <t>Swiss Post Solutions</t>
  </si>
  <si>
    <t>Anzahl User</t>
  </si>
  <si>
    <t>Nombre d’utilisateurs</t>
  </si>
  <si>
    <t>Numero di utenti</t>
  </si>
  <si>
    <t>Number of users</t>
  </si>
  <si>
    <t>Geschäftskundenstellen</t>
  </si>
  <si>
    <t>Points clientèle commerciale</t>
  </si>
  <si>
    <t>Punit clienti commerciali</t>
  </si>
  <si>
    <t>Business customer points</t>
  </si>
  <si>
    <t>Anteil an erneuerbaren Brennstoffen (innerhalb der Post)</t>
  </si>
  <si>
    <t>Part de combustibles renouvelables (au sein de la Poste)</t>
  </si>
  <si>
    <t>Quota di combustibili da fonti rinnovabili (all'interno della Posta)</t>
  </si>
  <si>
    <t>Percentage of renewable combustibles (within Swiss Post)</t>
  </si>
  <si>
    <t>Arbeitspendlerverkehr</t>
  </si>
  <si>
    <t>Trafic pendulaire</t>
  </si>
  <si>
    <t>Trasporto pendolari</t>
  </si>
  <si>
    <t>Work commuting</t>
  </si>
  <si>
    <t>aus persönlichen Gründen</t>
  </si>
  <si>
    <t>pour raisons personnelles</t>
  </si>
  <si>
    <t>per motivi personali</t>
  </si>
  <si>
    <t>For personal reasons</t>
  </si>
  <si>
    <t>Krankheits- und unfallbedingte Aussetztage</t>
  </si>
  <si>
    <t>Absences par suite de maladie ou d'accident</t>
  </si>
  <si>
    <t>Giorni di assenza dovuti a malattie e infortuni</t>
  </si>
  <si>
    <t>Days lost to illness and accidents</t>
  </si>
  <si>
    <t>Neueinstellung von Lernpersonal</t>
  </si>
  <si>
    <t>Embauche de personnes en formation</t>
  </si>
  <si>
    <t>Assunzioni di persone in formazione</t>
  </si>
  <si>
    <t>Newly recruited trainees</t>
  </si>
  <si>
    <t>PostNetz</t>
  </si>
  <si>
    <t>RéseauPostal</t>
  </si>
  <si>
    <t>RetePostale</t>
  </si>
  <si>
    <t>PostalNetwork</t>
  </si>
  <si>
    <t xml:space="preserve">Anzahl Stammgemeinschaften </t>
  </si>
  <si>
    <t xml:space="preserve">Nombre de communautés de référence </t>
  </si>
  <si>
    <t xml:space="preserve">Numero di comunità di riferimento </t>
  </si>
  <si>
    <t xml:space="preserve">Number of core communities </t>
  </si>
  <si>
    <t>PostFinance-Filialen</t>
  </si>
  <si>
    <t>Filiales PostFinance</t>
  </si>
  <si>
    <t>Filiali PostFinance</t>
  </si>
  <si>
    <t>PostFinance branches</t>
  </si>
  <si>
    <t>Heizöl Extraleicht (innerhalb der Post)</t>
  </si>
  <si>
    <t>Mazout extra-léger (au sein de la Poste)</t>
  </si>
  <si>
    <t>Olio combustibile extra leggero (all'interno della Posta)</t>
  </si>
  <si>
    <t>Heating oil (extra light) (within Swiss Post)</t>
  </si>
  <si>
    <t>Nach Scopes und Energieträger</t>
  </si>
  <si>
    <t>Par scope et source d'énergie</t>
  </si>
  <si>
    <t>In base a scope e fonte energetica</t>
  </si>
  <si>
    <t>By scope and energy source</t>
  </si>
  <si>
    <t>Tod</t>
  </si>
  <si>
    <t>Décès</t>
  </si>
  <si>
    <t>decessi</t>
  </si>
  <si>
    <t>Death</t>
  </si>
  <si>
    <t>Medizinisch bedingte Aussetztage</t>
  </si>
  <si>
    <t>Absences pour raisons médicales</t>
  </si>
  <si>
    <t>Giorni di assenza per ragioni mediche</t>
  </si>
  <si>
    <t>Absentee days for medical reasons</t>
  </si>
  <si>
    <t>Anteil übernommener Lernpersonen</t>
  </si>
  <si>
    <t>Part des personnes en formation embauchées</t>
  </si>
  <si>
    <t>Quota di persone in formazione assunte</t>
  </si>
  <si>
    <t>Percentage of trainees taken on</t>
  </si>
  <si>
    <t>Kommunikations-Services</t>
  </si>
  <si>
    <t>Services de communication</t>
  </si>
  <si>
    <t>Servizi di comunicazione</t>
  </si>
  <si>
    <t>Communication Services</t>
  </si>
  <si>
    <t>Anzahl Poststellen</t>
  </si>
  <si>
    <t>Nombre d’offices de poste</t>
  </si>
  <si>
    <t>Numero di uffici postali</t>
  </si>
  <si>
    <t>Number of post offices</t>
  </si>
  <si>
    <t>Postomaten</t>
  </si>
  <si>
    <t>Postomat</t>
  </si>
  <si>
    <t>Postomats</t>
  </si>
  <si>
    <t>Treibhausgasemissonen (Scope 1−3)</t>
  </si>
  <si>
    <t>Emissions de gaz à effet de serre (scopes 1−3)</t>
  </si>
  <si>
    <t>Emissioni di gas a effetto terra (scope 1−3)</t>
  </si>
  <si>
    <t>Greenhouse gas emissions (scopes 1−3)</t>
  </si>
  <si>
    <t>Freiwillige Austritte</t>
  </si>
  <si>
    <t>Départs volontaires</t>
  </si>
  <si>
    <t>Partenze volontarie</t>
  </si>
  <si>
    <t>Voluntary departures</t>
  </si>
  <si>
    <t>Kurzabsenz</t>
  </si>
  <si>
    <t>Absences de courte durée</t>
  </si>
  <si>
    <t>assenza breve</t>
  </si>
  <si>
    <t>Short absences</t>
  </si>
  <si>
    <t>PostFinance</t>
  </si>
  <si>
    <t>Part de biogaz (au sein de la Poste)</t>
  </si>
  <si>
    <t>Quota di biogas (all'interno della Posta)</t>
  </si>
  <si>
    <t>Percentage of biogas (within Swiss Post)</t>
  </si>
  <si>
    <t>Direkte Treibhausgasemissionen (Scope 1)</t>
  </si>
  <si>
    <t>Emissions directes de gaz à effet de serre (scope 1)</t>
  </si>
  <si>
    <t>emissioni dirette di gas a effetto serra (scope 1)</t>
  </si>
  <si>
    <t>Direct greenhouse gas emissions (scope 1)</t>
  </si>
  <si>
    <t>Krankheit</t>
  </si>
  <si>
    <t>Maladie</t>
  </si>
  <si>
    <t>malattia</t>
  </si>
  <si>
    <t>Sickness</t>
  </si>
  <si>
    <t>PostAuto</t>
  </si>
  <si>
    <t>CarPostal</t>
  </si>
  <si>
    <t>AutoPostale</t>
  </si>
  <si>
    <t>PostBus</t>
  </si>
  <si>
    <t>Fernwärme (innerhalb der Post)</t>
  </si>
  <si>
    <t>Chaleur à distance (au sein de la Poste)</t>
  </si>
  <si>
    <t>Teleriscaldamento (all'interno della Posta)</t>
  </si>
  <si>
    <t>District heating (within Swiss Post)</t>
  </si>
  <si>
    <t>Verbrennung von Brennstoffen in stationären Quellen</t>
  </si>
  <si>
    <t>Consommation de combustibles dans des sources stationnaires</t>
  </si>
  <si>
    <t>Combustione di combustibili in fonti fisse</t>
  </si>
  <si>
    <t>Combustion of combustibles in stationary sources</t>
  </si>
  <si>
    <t>Berufsunfall</t>
  </si>
  <si>
    <t>infortunio professionale</t>
  </si>
  <si>
    <t>Funktionen und Management</t>
  </si>
  <si>
    <t>Fonctions et management</t>
  </si>
  <si>
    <t>Funzioni e management</t>
  </si>
  <si>
    <t>Functions and management</t>
  </si>
  <si>
    <t>Bilanzsumme</t>
  </si>
  <si>
    <t>Total du bilan</t>
  </si>
  <si>
    <t>Totale di bilancio</t>
  </si>
  <si>
    <t>Total assets</t>
  </si>
  <si>
    <t>Unterdeckung bilanzierter Vorsorgeverpflichtungen nach IFRS</t>
  </si>
  <si>
    <t>Découvert des obligations de prévoyance portées au bilan selon les normes IFRS</t>
  </si>
  <si>
    <t>Sottocopertura obblighi previdenziali iscritti a bilancio secondo gli IFRS</t>
  </si>
  <si>
    <t>Shortfall in recognized employee benefit obligations in accordance with IFRS.</t>
  </si>
  <si>
    <t>Anteil an erneuerbarer Fernwärme (innerhalb der Post)</t>
  </si>
  <si>
    <t>Part de chaleur à distance renouvelable (au sein de la Poste)</t>
  </si>
  <si>
    <t>Quota di teleriscaldamento da fonti rinnovabili (all'interno della Posta)</t>
  </si>
  <si>
    <t>Percentage of renewable district heating (within Swiss Post)</t>
  </si>
  <si>
    <t>Heizöl</t>
  </si>
  <si>
    <t>Mazout</t>
  </si>
  <si>
    <t>olio combustibile</t>
  </si>
  <si>
    <t>Heating oil</t>
  </si>
  <si>
    <t>Nichtberufsunfall</t>
  </si>
  <si>
    <t>infortunio non professionale</t>
  </si>
  <si>
    <t>Muttersprache Deutsch</t>
  </si>
  <si>
    <t>Langue maternelle allemande</t>
  </si>
  <si>
    <t>Madrelingua tedesca</t>
  </si>
  <si>
    <t>German native speakers</t>
  </si>
  <si>
    <t>103 – Managementansatz</t>
  </si>
  <si>
    <t>103 – Approche managériale</t>
  </si>
  <si>
    <t>103 – Approccio di gestione</t>
  </si>
  <si>
    <t>103 – Management Approach</t>
  </si>
  <si>
    <t>Kundengelder PostFinance</t>
  </si>
  <si>
    <t>Fonds des clients PostFinance</t>
  </si>
  <si>
    <t>depositi dei clienti PostFinance</t>
  </si>
  <si>
    <t>PostFinance customer deposits</t>
  </si>
  <si>
    <t>Deckungsgrad Pensionskasse Post nach BVG</t>
  </si>
  <si>
    <t>Degré de couverture de la Caisse de pensions Poste selon la LPP</t>
  </si>
  <si>
    <t>Grado di copertura della Cassa pensioni Posta secondo la LPP</t>
  </si>
  <si>
    <t>Level of cover under Swiss Post pension fund in accordance with the Swiss Federal Law on Occupational Old-age, Survivors' and Disability Pension Plans (BVG)</t>
  </si>
  <si>
    <t>Holz (innerhalb der Post)</t>
  </si>
  <si>
    <t>Bois (au sein de la Poste)</t>
  </si>
  <si>
    <t>Legna (all'interno della Posta)</t>
  </si>
  <si>
    <t>Wood (within Swiss Post)</t>
  </si>
  <si>
    <t>Erdgas</t>
  </si>
  <si>
    <t>Gaz naturel</t>
  </si>
  <si>
    <t>gas naturale</t>
  </si>
  <si>
    <t>Natural gas</t>
  </si>
  <si>
    <t>Aussetztage</t>
  </si>
  <si>
    <t>Absences</t>
  </si>
  <si>
    <t>Giorni di assenza</t>
  </si>
  <si>
    <t>Absentee days</t>
  </si>
  <si>
    <t>Muttersprache Französisch</t>
  </si>
  <si>
    <t>Langue maternelle française</t>
  </si>
  <si>
    <t>Madrelingua francese</t>
  </si>
  <si>
    <t>French native speakers</t>
  </si>
  <si>
    <t>Immobilien</t>
  </si>
  <si>
    <t>Immobilier</t>
  </si>
  <si>
    <t>Immobili</t>
  </si>
  <si>
    <t>Real Estate</t>
  </si>
  <si>
    <t>Anteil an Bilanzsumme</t>
  </si>
  <si>
    <t>Part au total du bilan</t>
  </si>
  <si>
    <t>percentuale del totale di bilancio</t>
  </si>
  <si>
    <t>Share of total assets</t>
  </si>
  <si>
    <t>Strom verwendet als Brennstoff (innerhalb der Post)</t>
  </si>
  <si>
    <t>Electricité de chauffage (au sein de la Poste)</t>
  </si>
  <si>
    <t>Energia elettrica utilizzata come combustibile (all'interno della Posta)</t>
  </si>
  <si>
    <t>Electricity used as combustibles (within Swiss Post)</t>
  </si>
  <si>
    <t>Holz</t>
  </si>
  <si>
    <t>Bois</t>
  </si>
  <si>
    <t>Legna</t>
  </si>
  <si>
    <t>Wood</t>
  </si>
  <si>
    <t>Ausfalllohnkosten</t>
  </si>
  <si>
    <t>Coûts salariaux occasionnés par les absences</t>
  </si>
  <si>
    <t>costi salariali dovuti alle assenze</t>
  </si>
  <si>
    <t>Absentee wage costs</t>
  </si>
  <si>
    <t>Muttersprache Italienisch</t>
  </si>
  <si>
    <t>Langue maternelle italienne</t>
  </si>
  <si>
    <t>Madrelingua italiana</t>
  </si>
  <si>
    <t>Italian native speakers</t>
  </si>
  <si>
    <t>Informationstechnologie</t>
  </si>
  <si>
    <t>Technologies de l'information</t>
  </si>
  <si>
    <t>Tecnologia dell'informazione</t>
  </si>
  <si>
    <t>Information Technology</t>
  </si>
  <si>
    <t>Eigenkapital</t>
  </si>
  <si>
    <t>Fonds propres</t>
  </si>
  <si>
    <t>Capitale proprio</t>
  </si>
  <si>
    <t>Equity</t>
  </si>
  <si>
    <t>Anteil an erneuerbarem Strom verwendet als Brennstoff (innerhalb der Post)</t>
  </si>
  <si>
    <t>Part d'électricité renouvelable uitlisée pour le chauffage (au sein de la Poste)</t>
  </si>
  <si>
    <t>Quota di energia elettrica da fonti rinnovabili utilizzata come combustibile (all'interno della Posta)</t>
  </si>
  <si>
    <t>Percentage of renewable electricity used as combustibles (within Swiss Post)</t>
  </si>
  <si>
    <t>Verbrennung von Treibstoffen in mobilen Quellen</t>
  </si>
  <si>
    <t>Consommation de combustibles dans des sources mobiles</t>
  </si>
  <si>
    <t>Combustione di carburanti in fonti mobili</t>
  </si>
  <si>
    <t>Combustion of fuels in mobile sources</t>
  </si>
  <si>
    <t>Vertretung Personalkommission zur Überwachung Gesundheitsschutz / Arbeitssicherheit</t>
  </si>
  <si>
    <t>Représentation au sein de la commission du personnel pour la surveillance de la protection de la santé / sécurité au travail</t>
  </si>
  <si>
    <t>Rappresentanti nella commissione del personale per il controllo della sicurezza sul lavoro e protezione della salute</t>
  </si>
  <si>
    <t>Representation on the staff committee for the monitoring of health protection / occupational safety</t>
  </si>
  <si>
    <t>Muttersprache Rätoromanisch</t>
  </si>
  <si>
    <t>Langue maternelle romanche</t>
  </si>
  <si>
    <t>Madrelingua romancia</t>
  </si>
  <si>
    <t>Romansh native speakers</t>
  </si>
  <si>
    <t>Mobilitäts-Services</t>
  </si>
  <si>
    <t>Services de mobilité</t>
  </si>
  <si>
    <t>Servizi di mobilità</t>
  </si>
  <si>
    <t>Mobility Services</t>
  </si>
  <si>
    <t>Umweltwärme und -kälte (innerhalb der Post)</t>
  </si>
  <si>
    <t>Chaleur et froid de l'environnement (au sein de la Poste)</t>
  </si>
  <si>
    <t>Calore ambientale (caldo/freddo) (all'interno della Posta)</t>
  </si>
  <si>
    <t>Ambient heat and cooling (within Swiss Post)</t>
  </si>
  <si>
    <t>Diesel</t>
  </si>
  <si>
    <t>diesel</t>
  </si>
  <si>
    <t>Vertretungen in Personalkommission</t>
  </si>
  <si>
    <t>Représentations au sein de la commission du personnel</t>
  </si>
  <si>
    <t>Rappresentanti nella commissione del personale</t>
  </si>
  <si>
    <t>Representation on staff committee</t>
  </si>
  <si>
    <t>andere Muttersprache</t>
  </si>
  <si>
    <t>Autre langue maternelle</t>
  </si>
  <si>
    <t>Altre madrelingue</t>
  </si>
  <si>
    <t>Other native speakers</t>
  </si>
  <si>
    <t>Brennstoffverbrauch (ausserhalb der Post)</t>
  </si>
  <si>
    <t>Consommation de combustibles (en dehors de la Poste)</t>
  </si>
  <si>
    <t>Consumo di combustibili (al di fuori della Posta)</t>
  </si>
  <si>
    <t>Combustibles consumption (outside Swiss Post)</t>
  </si>
  <si>
    <t>Benzin</t>
  </si>
  <si>
    <t>Essence</t>
  </si>
  <si>
    <t>benzina</t>
  </si>
  <si>
    <t>Petrol</t>
  </si>
  <si>
    <t xml:space="preserve">Energia elettrica </t>
  </si>
  <si>
    <t>Gesamtaustrittsrate</t>
  </si>
  <si>
    <t>Taux de départ global</t>
  </si>
  <si>
    <t>Tasso complessivo di partenze</t>
  </si>
  <si>
    <t>Overall departure rate</t>
  </si>
  <si>
    <t>Stromverbrauch (ohne Verwendung als Treibstoffe und Brennstoffe)</t>
  </si>
  <si>
    <t>Consommation d'électricité (sans carburant, ni chaleur)</t>
  </si>
  <si>
    <t>Consumo di energia elettrica (utilizzo come carburante e combustibile escluso)</t>
  </si>
  <si>
    <t>Electricity consumption (excluding use as fuels and combustibles)</t>
  </si>
  <si>
    <t>Wasserstoff</t>
  </si>
  <si>
    <t>Hydrogène</t>
  </si>
  <si>
    <t>idrogeno</t>
  </si>
  <si>
    <t>Hydrogen</t>
  </si>
  <si>
    <t>Fluktuationsrate (freiwillige Austritte)</t>
  </si>
  <si>
    <t>Taux de fluctuation (départs volontaires)</t>
  </si>
  <si>
    <t>Tasso di fluttuazione (partenze volontarie)</t>
  </si>
  <si>
    <t>Turnover rate (voluntary departures)</t>
  </si>
  <si>
    <t>Stromverbrauch (innerhalb der Post)</t>
  </si>
  <si>
    <t>Consommation d'électricité (au sein de la Poste)</t>
  </si>
  <si>
    <t>Consumo di energia elettrica (all'interno della Posta)</t>
  </si>
  <si>
    <t>Electricity consumption (within Swiss Post)</t>
  </si>
  <si>
    <t>Flüchtige Emissionen</t>
  </si>
  <si>
    <t>Emissions fugitives</t>
  </si>
  <si>
    <t>Emissioni volatili</t>
  </si>
  <si>
    <t>Fugitive emissions</t>
  </si>
  <si>
    <t>Anteil an erneuerbarem Strom (innerhalb der Post)</t>
  </si>
  <si>
    <t>Part d'électricité renouvelable (au sein de la Poste)</t>
  </si>
  <si>
    <t>Quota di energia elettrica da fonti rinnovabili (all'interno della Posta)</t>
  </si>
  <si>
    <t>Percentage of renewable electricity (within Swiss Post)</t>
  </si>
  <si>
    <t>Kältemittel</t>
  </si>
  <si>
    <t>Climatisation</t>
  </si>
  <si>
    <t>refrigeranti</t>
  </si>
  <si>
    <t>Refrigerants</t>
  </si>
  <si>
    <t>Erarbeitete Wertschöpfung</t>
  </si>
  <si>
    <t>Valeur ajoutée</t>
  </si>
  <si>
    <t>Creazione di valore aggiunto</t>
  </si>
  <si>
    <t>Added value generated</t>
  </si>
  <si>
    <t>Arbeitsplätze nach Kantonen</t>
  </si>
  <si>
    <t>Emplois par canton</t>
  </si>
  <si>
    <t>Posti di lavoro per Cantone</t>
  </si>
  <si>
    <t>Jobs by canton</t>
  </si>
  <si>
    <t>Stromverbrauch (ausserhalb der Post)</t>
  </si>
  <si>
    <t>Consommation d'électricité (en dehors de la Poste)</t>
  </si>
  <si>
    <t>Consumo di energia elettrica (al di fuori della Posta)</t>
  </si>
  <si>
    <t>Electricity consumption (outside Swiss Post)</t>
  </si>
  <si>
    <t>Indirekte energiebezogene Treibhausgasemissionen (Scope 2)</t>
  </si>
  <si>
    <t>Emissions indirectes de gaz à effet de serre liées à l'énergie (scope 2)</t>
  </si>
  <si>
    <t>Emissioni indirette da consumo energetico di gas a effetto serra (scope 2)</t>
  </si>
  <si>
    <t>Indirect energy-related greenhouse gas emissions (scope 2)</t>
  </si>
  <si>
    <t>Investitionen</t>
  </si>
  <si>
    <t>Investissements</t>
  </si>
  <si>
    <t>Investimenti</t>
  </si>
  <si>
    <t>Investments</t>
  </si>
  <si>
    <t>davon an: Mitarbeitende</t>
  </si>
  <si>
    <t>dont aux collaborateurs</t>
  </si>
  <si>
    <t>di cui a: Collaboratori</t>
  </si>
  <si>
    <t>Of which paid to: Employees</t>
  </si>
  <si>
    <t>Mitarbeitende Post auf 100 Beschäftigte nach Kantonen</t>
  </si>
  <si>
    <t>Personnel Poste sur 100 employés par canton</t>
  </si>
  <si>
    <t>Collaboratori della Posta ogni 100 lavoratori per Cantone</t>
  </si>
  <si>
    <t>Swiss Post employees per 100 employees by canton</t>
  </si>
  <si>
    <t>Energiebedarf</t>
  </si>
  <si>
    <t>Besoins énergétiques</t>
  </si>
  <si>
    <t>Fabbisogno energetico</t>
  </si>
  <si>
    <t>Energy consumption</t>
  </si>
  <si>
    <t>Energia elettrica</t>
  </si>
  <si>
    <t>Trainee-Programm</t>
  </si>
  <si>
    <t>Programme Trainee</t>
  </si>
  <si>
    <t>Programma Trainee</t>
  </si>
  <si>
    <t>Trainee programme</t>
  </si>
  <si>
    <t>übrige Sachanlagen, immatrielle Anlagen</t>
  </si>
  <si>
    <t>Autres immobilisations corporelles, immobilisations incorporelles</t>
  </si>
  <si>
    <t>altre immobilizzazioni materiali e immateriali</t>
  </si>
  <si>
    <t>Other tangible fixed assets, intangible assets</t>
  </si>
  <si>
    <t>davon an: Fremdkapitalgeber</t>
  </si>
  <si>
    <t>dont aux bailleurs de fonds externes</t>
  </si>
  <si>
    <t>di cui a: investitori esterni</t>
  </si>
  <si>
    <t>Of which paid to: creditors</t>
  </si>
  <si>
    <t>Aargau</t>
  </si>
  <si>
    <t>Argovie</t>
  </si>
  <si>
    <t>Argovia</t>
  </si>
  <si>
    <t>standortbasierte Emissionen</t>
  </si>
  <si>
    <t>Emissions basées sur les sites</t>
  </si>
  <si>
    <t>Emissioni per sede</t>
  </si>
  <si>
    <t>location-based emissions</t>
  </si>
  <si>
    <t>Praktikanten</t>
  </si>
  <si>
    <t>Stagiaires</t>
  </si>
  <si>
    <t>Stagisti</t>
  </si>
  <si>
    <t>Interns</t>
  </si>
  <si>
    <t>Betriebsliegenschaften</t>
  </si>
  <si>
    <t>Immeubles d'exploitation</t>
  </si>
  <si>
    <t>stabilimenti</t>
  </si>
  <si>
    <t>Operating property</t>
  </si>
  <si>
    <t>davon an: öffentliche Hand</t>
  </si>
  <si>
    <t>dont aux pouvoirs publics</t>
  </si>
  <si>
    <t>di cui per: amministrazione pubblica</t>
  </si>
  <si>
    <t>OF which paid to: public sector</t>
  </si>
  <si>
    <t>Appenzell Innerrhoden</t>
  </si>
  <si>
    <t>Appenzell Rhodes-Intérieures</t>
  </si>
  <si>
    <t>Appenzello interno</t>
  </si>
  <si>
    <t>Energiebedarf (innerhalb der Post)</t>
  </si>
  <si>
    <t>Besoins énergétiques (au sein de la Poste)</t>
  </si>
  <si>
    <t>Fabbisogno energetico (all'interno della Posta)</t>
  </si>
  <si>
    <t>Energy consumption (within Swiss Post)</t>
  </si>
  <si>
    <t>marktbasierte Emissionen</t>
  </si>
  <si>
    <t>Emissions basées sur le marché</t>
  </si>
  <si>
    <t>emissioni basate sul mercato</t>
  </si>
  <si>
    <t>market-based emissions</t>
  </si>
  <si>
    <t>als Finanzinvestition gehaltene Immobilien</t>
  </si>
  <si>
    <t>Immeubles de placement</t>
  </si>
  <si>
    <t>immobili mantenuti come immobilizzazioni finanziarie</t>
  </si>
  <si>
    <t>Investment property</t>
  </si>
  <si>
    <t>davon an: Eigentümer</t>
  </si>
  <si>
    <t>dont au propriétaire</t>
  </si>
  <si>
    <t>di cui a: proprietaria</t>
  </si>
  <si>
    <t>Of which paid to: owner</t>
  </si>
  <si>
    <t>Appenzell Ausserrhoden</t>
  </si>
  <si>
    <t>Appenzell Rhodes-Extérieures</t>
  </si>
  <si>
    <t>Appenzello esterno</t>
  </si>
  <si>
    <t>Erneuerbarer Anteil am Energiebedarf (innerhalb der Post)</t>
  </si>
  <si>
    <t>Part d'énergie renouvelable dans les besoins énergétiques (au sein de la Poste)</t>
  </si>
  <si>
    <t>Quota di fonti rinnovabili rispetto al fabbisogno energetico (all'interno della Posta)</t>
  </si>
  <si>
    <t>Renewable percentage of energy consumption (within Swiss Post)</t>
  </si>
  <si>
    <t>Fernwärme</t>
  </si>
  <si>
    <t>Chaleur à distance</t>
  </si>
  <si>
    <t>Teleriscaldamento</t>
  </si>
  <si>
    <t>District heating</t>
  </si>
  <si>
    <t>Beteiligungen</t>
  </si>
  <si>
    <t>Participations</t>
  </si>
  <si>
    <t>partecipazioni</t>
  </si>
  <si>
    <t>davon an: Unternehmen</t>
  </si>
  <si>
    <t>dont à l'entreprise</t>
  </si>
  <si>
    <t>di cui a: aziende</t>
  </si>
  <si>
    <t>Of which paid to: company</t>
  </si>
  <si>
    <t>Bern</t>
  </si>
  <si>
    <t>Berne</t>
  </si>
  <si>
    <t>Berna</t>
  </si>
  <si>
    <t>Energiebedarf (ausserhalb der Post)</t>
  </si>
  <si>
    <t>Besoins énergétiques (en dehors de la Poste)</t>
  </si>
  <si>
    <t>Fabbisogno energetico (al di fuori della Posta)</t>
  </si>
  <si>
    <t>Energy consumption (outside Swiss Post)</t>
  </si>
  <si>
    <t>Weitere relevante indirekte Treibhausgasemissionen (Scope 3)</t>
  </si>
  <si>
    <t>Autres émissions indirectes importantes de gaz à effet de serre (scope 3)</t>
  </si>
  <si>
    <t>Altre emissioni indirette rilevanti di gas a effetto serra (scope 3)</t>
  </si>
  <si>
    <t>Other relevant indirect greenhouse gas emissions (scope 3)</t>
  </si>
  <si>
    <t>Grad der eigenfinanzierten Investitionen</t>
  </si>
  <si>
    <t>Ratio des investissements autofinancés</t>
  </si>
  <si>
    <t>Quota di investimenti autofinanziati</t>
  </si>
  <si>
    <t>Degree of self-financed investment</t>
  </si>
  <si>
    <t>davon für: Abschreibungen</t>
  </si>
  <si>
    <t>dont pour amortissements</t>
  </si>
  <si>
    <t>di cui per: ammortamenti</t>
  </si>
  <si>
    <t>Of which for: Amortization</t>
  </si>
  <si>
    <t>Basel-Landschaft</t>
  </si>
  <si>
    <t>Bâle-Campagne</t>
  </si>
  <si>
    <t>Basilea Campagna</t>
  </si>
  <si>
    <t>Basel-Land</t>
  </si>
  <si>
    <t>Erworbene Waren und Dienstleistungen</t>
  </si>
  <si>
    <t>Marchandises et prestations achetées</t>
  </si>
  <si>
    <t>Merci e prestazioni acquisite</t>
  </si>
  <si>
    <t>Acquired goods and services</t>
  </si>
  <si>
    <t>davon für: Stärkung der Pensionskasse Post</t>
  </si>
  <si>
    <t>dont pour renforcement de la Caisse de pensions Poste</t>
  </si>
  <si>
    <t>di cui per: consolidamento della Cassa pensioni Posta</t>
  </si>
  <si>
    <t>Of which for: bolstering the Swiss Post pension fund</t>
  </si>
  <si>
    <t>Basel-Stadt</t>
  </si>
  <si>
    <t>Bâle-Ville</t>
  </si>
  <si>
    <t>Basilea Città</t>
  </si>
  <si>
    <t>Brennstoff- und energiebezogene Aktivitäten</t>
  </si>
  <si>
    <t>Activités liées aux combustibles et à l'énergie</t>
  </si>
  <si>
    <t>Attività relative a carburanti ed energia</t>
  </si>
  <si>
    <t>Combustibles- and energy-related activities</t>
  </si>
  <si>
    <t>davon für: Aufbau Eigenkapital</t>
  </si>
  <si>
    <t>dont pour constitution de fonds propres</t>
  </si>
  <si>
    <t>di cui per: costituzione capitale proprio</t>
  </si>
  <si>
    <t>Of which for: building up equity</t>
  </si>
  <si>
    <t>Freiburg</t>
  </si>
  <si>
    <t>Fribourg</t>
  </si>
  <si>
    <t>Friburgo</t>
  </si>
  <si>
    <t>Upstream-Transport und -Verteilung</t>
  </si>
  <si>
    <t>Transport et tri en amont (upstream)</t>
  </si>
  <si>
    <t>Trasporto e distribuzione a monte</t>
  </si>
  <si>
    <t>Upstream transport and distribution</t>
  </si>
  <si>
    <t>Briefe</t>
  </si>
  <si>
    <t>Lettres</t>
  </si>
  <si>
    <t>Lettere</t>
  </si>
  <si>
    <t>Letters</t>
  </si>
  <si>
    <t>davon für: Übrige</t>
  </si>
  <si>
    <t>dont pour Autres</t>
  </si>
  <si>
    <t>di cui per: Altri</t>
  </si>
  <si>
    <t>Of which for: Other</t>
  </si>
  <si>
    <t>Genf</t>
  </si>
  <si>
    <t>Genève</t>
  </si>
  <si>
    <t>Ginevra</t>
  </si>
  <si>
    <t>Geneva</t>
  </si>
  <si>
    <t>Im Rahmen der Geschäftstätigkeiten anfallender Abfall</t>
  </si>
  <si>
    <t>Déchets produits dans le cadre d'activités opérationnelles</t>
  </si>
  <si>
    <t>rifiuti risultanti da attività aziendali</t>
  </si>
  <si>
    <t>Waste resulting from business activities</t>
  </si>
  <si>
    <t>Adressierte Briefe</t>
  </si>
  <si>
    <t>Lettres adressées</t>
  </si>
  <si>
    <t>Lettere indirizzate</t>
  </si>
  <si>
    <t>Addressed letters</t>
  </si>
  <si>
    <t>Glarus</t>
  </si>
  <si>
    <t>Glaris</t>
  </si>
  <si>
    <t>Glarona</t>
  </si>
  <si>
    <t>Geschäftsreisen</t>
  </si>
  <si>
    <t>viaggi di servizio</t>
  </si>
  <si>
    <t>Elternzeitbezüger/-innen</t>
  </si>
  <si>
    <t>Bénéficiaires du congé parental</t>
  </si>
  <si>
    <t>Beneficiari del congedo parentale</t>
  </si>
  <si>
    <t>Beneficiaries of parental leave</t>
  </si>
  <si>
    <t>Schweiz</t>
  </si>
  <si>
    <t>Suisse</t>
  </si>
  <si>
    <t>Svizzera</t>
  </si>
  <si>
    <t>Switzerland</t>
  </si>
  <si>
    <t>prioritäre Sendungen</t>
  </si>
  <si>
    <t>Envois prioritaires</t>
  </si>
  <si>
    <t>Invii prioritari</t>
  </si>
  <si>
    <t>Priority items</t>
  </si>
  <si>
    <t>Graubünden</t>
  </si>
  <si>
    <t>Grisons</t>
  </si>
  <si>
    <t>Grigioni</t>
  </si>
  <si>
    <t>Pendeln der Angestellten</t>
  </si>
  <si>
    <t>Trafic pendulaire du personnel</t>
  </si>
  <si>
    <t>Pendolarismo degli impiegati</t>
  </si>
  <si>
    <t>Employee commuting</t>
  </si>
  <si>
    <t>Ausland</t>
  </si>
  <si>
    <t>Etranger</t>
  </si>
  <si>
    <t>Estero</t>
  </si>
  <si>
    <t>Abroad</t>
  </si>
  <si>
    <t>nicht prioritäre Sendungen</t>
  </si>
  <si>
    <t>Envois non prioritaires</t>
  </si>
  <si>
    <t>Invii non prioritari</t>
  </si>
  <si>
    <t>Non-priority items</t>
  </si>
  <si>
    <t>Jura</t>
  </si>
  <si>
    <t>Giura</t>
  </si>
  <si>
    <t>Für Upstream-Aktivitäten gemietete Vermögensgegenstände</t>
  </si>
  <si>
    <t>Biens économiques loués en amont (upstream)</t>
  </si>
  <si>
    <t xml:space="preserve">Elementi patrimoniali in locazione per attività a monte </t>
  </si>
  <si>
    <t>Assets leased for upstream activities</t>
  </si>
  <si>
    <t>Italien</t>
  </si>
  <si>
    <t>Italie</t>
  </si>
  <si>
    <t>Italia</t>
  </si>
  <si>
    <t>Italy</t>
  </si>
  <si>
    <t>Sendungen ohne Adresse</t>
  </si>
  <si>
    <t>Envois non adressés</t>
  </si>
  <si>
    <t>Invii non indirizzati</t>
  </si>
  <si>
    <t>Unaddressed items</t>
  </si>
  <si>
    <t>Luzern</t>
  </si>
  <si>
    <t>Lucerne</t>
  </si>
  <si>
    <t>Lucerna</t>
  </si>
  <si>
    <t>Für Downstream-Aktivitäten gemietete Vermögensgegenstände</t>
  </si>
  <si>
    <t>Transport et distribution en aval (downstream)</t>
  </si>
  <si>
    <t xml:space="preserve">Elementi patrimoniali in locazione per attività a valle </t>
  </si>
  <si>
    <t>Assets leased for downstream activities</t>
  </si>
  <si>
    <t>Deutschland</t>
  </si>
  <si>
    <t>Allemagne</t>
  </si>
  <si>
    <t>Germania</t>
  </si>
  <si>
    <t>Germany</t>
  </si>
  <si>
    <t>Zeitungen</t>
  </si>
  <si>
    <t>Journaux</t>
  </si>
  <si>
    <t>Giornali</t>
  </si>
  <si>
    <t>Newspapers</t>
  </si>
  <si>
    <t>Neuenburg</t>
  </si>
  <si>
    <t>Neuchâtel</t>
  </si>
  <si>
    <t>Spanien</t>
  </si>
  <si>
    <t>Espagne</t>
  </si>
  <si>
    <t>Spagna</t>
  </si>
  <si>
    <t>Spain</t>
  </si>
  <si>
    <t>Briefe Export</t>
  </si>
  <si>
    <t>Lettres, exportation</t>
  </si>
  <si>
    <t>Lettere export</t>
  </si>
  <si>
    <t>Letter exports</t>
  </si>
  <si>
    <t>Nidwalden</t>
  </si>
  <si>
    <t>Nidwald</t>
  </si>
  <si>
    <t>Nidvaldo</t>
  </si>
  <si>
    <t>Portugal</t>
  </si>
  <si>
    <t>Portogallo</t>
  </si>
  <si>
    <t>Briefe Import</t>
  </si>
  <si>
    <t>Lettres, importation</t>
  </si>
  <si>
    <t>Lettere import</t>
  </si>
  <si>
    <t>Letter imports</t>
  </si>
  <si>
    <t>Obwalden</t>
  </si>
  <si>
    <t>Obwald</t>
  </si>
  <si>
    <t>Obvaldo</t>
  </si>
  <si>
    <t>Türkei</t>
  </si>
  <si>
    <t>Turquie</t>
  </si>
  <si>
    <t>Turchia</t>
  </si>
  <si>
    <t>Turkey</t>
  </si>
  <si>
    <t>Zeitungen Export</t>
  </si>
  <si>
    <t>Journaux, exportation</t>
  </si>
  <si>
    <t>Giornali export</t>
  </si>
  <si>
    <t>Newspaper exports</t>
  </si>
  <si>
    <t>St. Gallen</t>
  </si>
  <si>
    <t>Saint-Gall</t>
  </si>
  <si>
    <t>San Gallo</t>
  </si>
  <si>
    <t>Frankreich</t>
  </si>
  <si>
    <t>France</t>
  </si>
  <si>
    <t>Francia</t>
  </si>
  <si>
    <t>Zeitungen Import</t>
  </si>
  <si>
    <t>Journaux, importation</t>
  </si>
  <si>
    <t>Giornali import</t>
  </si>
  <si>
    <t>Newspaper imports</t>
  </si>
  <si>
    <t>Schaffhausen</t>
  </si>
  <si>
    <t>Schaffhouse</t>
  </si>
  <si>
    <t>Sciaffusa</t>
  </si>
  <si>
    <t>übrige Länder</t>
  </si>
  <si>
    <t>Autres pays</t>
  </si>
  <si>
    <t>Altri paesi</t>
  </si>
  <si>
    <t>Other countries</t>
  </si>
  <si>
    <t>Solothurn</t>
  </si>
  <si>
    <t>Soleure</t>
  </si>
  <si>
    <t>Soletta</t>
  </si>
  <si>
    <t>Vertretene Nationen</t>
  </si>
  <si>
    <t>Nationalités représentées</t>
  </si>
  <si>
    <t>Nazioni rappresentate</t>
  </si>
  <si>
    <t>Nationalities represented</t>
  </si>
  <si>
    <t>Inland Priority</t>
  </si>
  <si>
    <t>domestiques Economy</t>
  </si>
  <si>
    <t>domestici Priority</t>
  </si>
  <si>
    <t>Domestic Priority</t>
  </si>
  <si>
    <t>Schwyz</t>
  </si>
  <si>
    <t>Svitto</t>
  </si>
  <si>
    <t>Energieeffizienzsteigerung seit 2006</t>
  </si>
  <si>
    <t>Amélioration de l'efficacité énergétique depuis 2006</t>
  </si>
  <si>
    <t>Incremento dell'efficienza energetica dal 2006</t>
  </si>
  <si>
    <t>Increase in energy efficiency since 2006</t>
  </si>
  <si>
    <t>CO2e-Intensität der Wertschöpfung</t>
  </si>
  <si>
    <t>Intensité en CO2 de la création de valeur</t>
  </si>
  <si>
    <t>Intensità di CO2 del valore aggiunto</t>
  </si>
  <si>
    <t>CO2 intensity of added value</t>
  </si>
  <si>
    <t>Nettorücklauf der Umfrage</t>
  </si>
  <si>
    <t>Taux de réponse net de l'enquête</t>
  </si>
  <si>
    <t>Percentuale netta di questionari restituiti</t>
  </si>
  <si>
    <t>Net response rate to survey</t>
  </si>
  <si>
    <t>Individuelle Beratungen durch Laufbahnzentrum</t>
  </si>
  <si>
    <t>Conseils individuels par le Centre de carrière</t>
  </si>
  <si>
    <t>Consulenze individuali del centro carriera</t>
  </si>
  <si>
    <t>Individual consultations by careers center</t>
  </si>
  <si>
    <t>Inland Economy</t>
  </si>
  <si>
    <t>domestiques Priority</t>
  </si>
  <si>
    <t>domestici Economy</t>
  </si>
  <si>
    <t>Domestic Economy</t>
  </si>
  <si>
    <t>Thurgau</t>
  </si>
  <si>
    <t>Thurgovie</t>
  </si>
  <si>
    <t>Turgovia</t>
  </si>
  <si>
    <t>Eingekaufte Herkunftsnachweise für Strom aus erneuerbaren Energien</t>
  </si>
  <si>
    <t>Achat de certificats d’origine pour l’électricité produite à partir d’énergies renouvelables</t>
  </si>
  <si>
    <t>Acquisto di garanzie di origine per energia elettrica prodotta da energie rinnovabili</t>
  </si>
  <si>
    <t>Purchased guarantees of origin for electricity from renewable resources</t>
  </si>
  <si>
    <t>CO2e-Intensität des Betriebsertrags</t>
  </si>
  <si>
    <t>Intensité en CO2 des produits d'exploitation</t>
  </si>
  <si>
    <t>Intensità di CO2 dei ricavi d'esercizio</t>
  </si>
  <si>
    <t>CO2 intensity of operating income</t>
  </si>
  <si>
    <t>Meine Arbeit</t>
  </si>
  <si>
    <t>Mon travail</t>
  </si>
  <si>
    <t>Il mio lavoro</t>
  </si>
  <si>
    <t>My work</t>
  </si>
  <si>
    <t>Workshops Laufbahnzentrum</t>
  </si>
  <si>
    <t>Séminaires du Centre de carrière</t>
  </si>
  <si>
    <t>Seminari del Centro carriera</t>
  </si>
  <si>
    <t>Job Center workshops</t>
  </si>
  <si>
    <t>Export</t>
  </si>
  <si>
    <t>Exportation</t>
  </si>
  <si>
    <t>Exports</t>
  </si>
  <si>
    <t>Tessin</t>
  </si>
  <si>
    <t>Ticino</t>
  </si>
  <si>
    <t>Eingekaufte Herkunftsnachweise für zertifizierten Ökostrom</t>
  </si>
  <si>
    <t>Achat de garanties d'origine pour l'électricité verte certifiée</t>
  </si>
  <si>
    <t>Acquisto delle garanzie di origine per l'elettricità verde certificata</t>
  </si>
  <si>
    <t>Purchased guarantees of origin for certified green electricity</t>
  </si>
  <si>
    <t>CO2e-Intensität der Arbeitsplätze</t>
  </si>
  <si>
    <t>Intensité CO2 des postes de travail</t>
  </si>
  <si>
    <t>Intensità di CO2 dei posti di lavoro</t>
  </si>
  <si>
    <t>CO2 intensity of jobs</t>
  </si>
  <si>
    <t>Mein Team</t>
  </si>
  <si>
    <t>Mon équipe</t>
  </si>
  <si>
    <t>Il mio team</t>
  </si>
  <si>
    <t>My team</t>
  </si>
  <si>
    <t>Import</t>
  </si>
  <si>
    <t>Importation</t>
  </si>
  <si>
    <t>Imports</t>
  </si>
  <si>
    <t>Uri</t>
  </si>
  <si>
    <t>Eingekaufte Herkunftsnachweise für zertifiziertes Biogas</t>
  </si>
  <si>
    <t>Achat de garanties d'origine pour le biogaz certifié</t>
  </si>
  <si>
    <t>Acquisto delle garanzie di origine per biogas certificato</t>
  </si>
  <si>
    <t>Purchased guarantees of origin for certified biogas</t>
  </si>
  <si>
    <t>Meine direkte Führung</t>
  </si>
  <si>
    <t>Mes supérieurs directs</t>
  </si>
  <si>
    <t>Il mio superiore diretto / La mia superiore diretta</t>
  </si>
  <si>
    <t>My direct manager</t>
  </si>
  <si>
    <t>Swiss Express Geschäftskunden</t>
  </si>
  <si>
    <t>Swiss-Express clients commerciaux</t>
  </si>
  <si>
    <t>Swiss-Express clienti commerciali</t>
  </si>
  <si>
    <t>Swiss Express, business customers</t>
  </si>
  <si>
    <t>Waadt</t>
  </si>
  <si>
    <t>Vaud</t>
  </si>
  <si>
    <t>Unsere Unternehmenskultur</t>
  </si>
  <si>
    <t>Notre culture d’entreprise</t>
  </si>
  <si>
    <t>La nostra cultura aziendale</t>
  </si>
  <si>
    <t>Our corporate culture</t>
  </si>
  <si>
    <t>Courier Export (über TNT Swiss Post AG)</t>
  </si>
  <si>
    <t>Courrier rapide, exportation (via TNT Swiss Post SA)</t>
  </si>
  <si>
    <t>Corriere export (via TNT Swiss Post AG)</t>
  </si>
  <si>
    <t>Courier exports (via TNT Swiss Post AG)</t>
  </si>
  <si>
    <t>Wallis</t>
  </si>
  <si>
    <t>Valais</t>
  </si>
  <si>
    <t>Vallese</t>
  </si>
  <si>
    <t>Unsere Post</t>
  </si>
  <si>
    <t>Notre Poste</t>
  </si>
  <si>
    <t>La nostra Posta</t>
  </si>
  <si>
    <t>Our Swiss Post</t>
  </si>
  <si>
    <t>Bearbeitete Vorgänge</t>
  </si>
  <si>
    <t>Cas traités</t>
  </si>
  <si>
    <t>Casi trattati (Customer Care)</t>
  </si>
  <si>
    <t>Cases handled</t>
  </si>
  <si>
    <t>Zug</t>
  </si>
  <si>
    <t>Zoug</t>
  </si>
  <si>
    <t>Zugo</t>
  </si>
  <si>
    <t>Mein Engagement</t>
  </si>
  <si>
    <t>Mon engagement</t>
  </si>
  <si>
    <t>Il mio impegno</t>
  </si>
  <si>
    <t>My commitment</t>
  </si>
  <si>
    <t>Gescannte Seiten (Document Solutions)</t>
  </si>
  <si>
    <t>Pages scannées (Document Solutions)</t>
  </si>
  <si>
    <t>Pagine scansionate (Document Solutions)</t>
  </si>
  <si>
    <t>Scanned pages (Document Solutions)</t>
  </si>
  <si>
    <t>Zürich</t>
  </si>
  <si>
    <t>Zurich</t>
  </si>
  <si>
    <t>Zurigo</t>
  </si>
  <si>
    <t>Unsere Personalumfrage</t>
  </si>
  <si>
    <t>Notre sondage du personnel</t>
  </si>
  <si>
    <t>Il nostro sondaggio del personale</t>
  </si>
  <si>
    <t>Our employee survey</t>
  </si>
  <si>
    <t>Personalisierter Karten (Cards)</t>
  </si>
  <si>
    <t>Cartes personnalisées (Cards)</t>
  </si>
  <si>
    <t>Carte personalizzate (Cards)</t>
  </si>
  <si>
    <t>Personalized cards (Cards)</t>
  </si>
  <si>
    <t>Unpersonalisierter Karten (Cards)</t>
  </si>
  <si>
    <t>Cartes non personnalisées (Cards)</t>
  </si>
  <si>
    <t>Carte non personalizzate (Cards)</t>
  </si>
  <si>
    <t>Non-personalized cards (Cards)</t>
  </si>
  <si>
    <t>Étranger</t>
  </si>
  <si>
    <t>Produzierte Sendungen (Document Output)</t>
  </si>
  <si>
    <t>Envois produits (Document Output)</t>
  </si>
  <si>
    <t>Invii prodotti (Document Output)</t>
  </si>
  <si>
    <t>Consignments produced (Document Output)</t>
  </si>
  <si>
    <t>CO2-Kompensationen</t>
  </si>
  <si>
    <t>Compensations des émissions de CO2</t>
  </si>
  <si>
    <t>Compensazioni di CO2</t>
  </si>
  <si>
    <t>Carbon offsetting</t>
  </si>
  <si>
    <t>Altersgruppe</t>
  </si>
  <si>
    <t>Classe d'âge</t>
  </si>
  <si>
    <t>Fascia di età</t>
  </si>
  <si>
    <t>Age group</t>
  </si>
  <si>
    <t>Abgeschlossenes Auftragsvolumen</t>
  </si>
  <si>
    <t>Volume des mandats clôturés</t>
  </si>
  <si>
    <t>Volume di contratti conclusi</t>
  </si>
  <si>
    <t>Completed order volumes</t>
  </si>
  <si>
    <t>Kompensierte Sendungen</t>
  </si>
  <si>
    <t>Envois compensés</t>
  </si>
  <si>
    <t>Invii compensati</t>
  </si>
  <si>
    <t>Offset consignments</t>
  </si>
  <si>
    <t>unter 20</t>
  </si>
  <si>
    <t>Moins de 20 ans</t>
  </si>
  <si>
    <t>Meno di 20</t>
  </si>
  <si>
    <t>Under 20</t>
  </si>
  <si>
    <t>Fatturato netto altri articoli di marca</t>
  </si>
  <si>
    <t>Annahme Einzahlungen</t>
  </si>
  <si>
    <t>Versements</t>
  </si>
  <si>
    <t>Accettazione versamenti</t>
  </si>
  <si>
    <t>Inpayments accepted</t>
  </si>
  <si>
    <t>30–39</t>
  </si>
  <si>
    <t>30-39</t>
  </si>
  <si>
    <t>Kundenvermögensentwicklung</t>
  </si>
  <si>
    <t>Évolution du patrimoine des clients</t>
  </si>
  <si>
    <t>Andamento dei patrimoni dei clienti</t>
  </si>
  <si>
    <t>Growth in customer assets</t>
  </si>
  <si>
    <t>40–49</t>
  </si>
  <si>
    <t>40-49</t>
  </si>
  <si>
    <t>Anzahl Kundenkonten</t>
  </si>
  <si>
    <t>Nombres de comptes clients</t>
  </si>
  <si>
    <t>Numero di conti dei clienti</t>
  </si>
  <si>
    <t>Number of customer accounts</t>
  </si>
  <si>
    <t>50–59</t>
  </si>
  <si>
    <t>50-59</t>
  </si>
  <si>
    <t>Durchschnittsbestand Kundenvermögen (Monats-Ø)</t>
  </si>
  <si>
    <t>Moyenne du patrimoine des clients (Ø mensuelle)</t>
  </si>
  <si>
    <t>Consistenza media dei patrimoni dei clienti (Ø mensile)</t>
  </si>
  <si>
    <t>Average balance of customer assets (monthly avg.)</t>
  </si>
  <si>
    <t>60 und älter</t>
  </si>
  <si>
    <t>60 ans et plus</t>
  </si>
  <si>
    <t>dai 60 anni in su</t>
  </si>
  <si>
    <t>60 and older</t>
  </si>
  <si>
    <t>Durchschnittsbestand Kundengelder (Monats-Ø)</t>
  </si>
  <si>
    <t>Moyenne des fonds des clients (Ø mensuelle)</t>
  </si>
  <si>
    <t>Consistenza media dei depositi dei clienti (Ø mensile)</t>
  </si>
  <si>
    <t>Average balance of customer deposits (monthly avg.)</t>
  </si>
  <si>
    <t>Durchschnittsalter</t>
  </si>
  <si>
    <t>Age moyen</t>
  </si>
  <si>
    <t>Età media</t>
  </si>
  <si>
    <t>Average age</t>
  </si>
  <si>
    <t>Anzahl Transaktionen</t>
  </si>
  <si>
    <t>Nombre de transactions</t>
  </si>
  <si>
    <t>Transazioni</t>
  </si>
  <si>
    <t>Number of transactions</t>
  </si>
  <si>
    <t>E-Finance-Teilnehmer</t>
  </si>
  <si>
    <t>Adhérents e-finance</t>
  </si>
  <si>
    <t>Utenti e-finance</t>
  </si>
  <si>
    <t>E-finance subscribers</t>
  </si>
  <si>
    <t>Fondsvolumen (PostFinance-Fonds ohne Drittfonds)</t>
  </si>
  <si>
    <t>Volume des fonds (fonds PostFinance sans fonds émis par des tiers)</t>
  </si>
  <si>
    <t>Volume fondi (PostFinance Fonds senza fondi emessi da terzi)</t>
  </si>
  <si>
    <t>Fund volume (PostFinance Fonds excl. third-party funds)</t>
  </si>
  <si>
    <t>Arbeitsplätze in ländlichen Gemeinden</t>
  </si>
  <si>
    <t>Emplois dans les communes rurales</t>
  </si>
  <si>
    <t>Posti di lavoro nei comuni rurali</t>
  </si>
  <si>
    <t>Jobs in rural communities</t>
  </si>
  <si>
    <t>CO2-Effizienzsteigerung 2010-2020</t>
  </si>
  <si>
    <t>Amélioration de l'efficacité en matière de CO2 2010-2020</t>
  </si>
  <si>
    <t>Incremento dell'efficienza in termini di di CO2 2010-2020</t>
  </si>
  <si>
    <t>CO2 efficiency improvement 2010-2020</t>
  </si>
  <si>
    <t>Fondsvolumen (PostFinance-Fonds und Drittfonds)</t>
  </si>
  <si>
    <t>Volume des fonds (émis par PostFinance et par des tiers)</t>
  </si>
  <si>
    <t>Volume fondi (PostFinance Fonds e fondi emessi da terzi)</t>
  </si>
  <si>
    <t>Fund volume (PostFinance Fonds and third-party funds)</t>
  </si>
  <si>
    <t>Änderung der Treibhausgasemissionen Scope 1+2 (Basisjahr 2019)</t>
  </si>
  <si>
    <t>Changement concernant les émissions de gaz à effet de serre des scopes 1 et 2 (année de référence 2019)</t>
  </si>
  <si>
    <t>Variazione delle emissioni di gas serra Scope 1 e 2 (anno di riferimento 2019)</t>
  </si>
  <si>
    <t>Change in greenhouse gas emissions scope 1+2 (base year 2019)</t>
  </si>
  <si>
    <t>Volumen Ausleihungen Geschäftskunden</t>
  </si>
  <si>
    <t>Volume des prêts clients commerciaux</t>
  </si>
  <si>
    <t>Volume prestiti alla clientela commerciale</t>
  </si>
  <si>
    <t>Volume of loans to business customers</t>
  </si>
  <si>
    <t>Änderung der Treibhausgasemissionen Scope 3 (Basisjahr 2019)</t>
  </si>
  <si>
    <t>Changement concernant les émissions de gaz à effet de serre du scope 3 (année de référence 2019)</t>
  </si>
  <si>
    <t>Variazione delle emissioni di gas serra Scope 3 (anno di riferimento 2019)</t>
  </si>
  <si>
    <t>Change in greenhouse gas emissions scope 3 (base year 2019)</t>
  </si>
  <si>
    <t>Volumen Hypotheken Privatkunden</t>
  </si>
  <si>
    <t>Volume des hypothèques clients privés</t>
  </si>
  <si>
    <t>Volume ipoteche alla clientela privata</t>
  </si>
  <si>
    <t>Volume of mortgages for private customers</t>
  </si>
  <si>
    <t>Anteil aller Arbeitsplätze</t>
  </si>
  <si>
    <t>Part de tous les emplois</t>
  </si>
  <si>
    <t>Quota di tutti i posti di lavoro</t>
  </si>
  <si>
    <t>Share of all jobs</t>
  </si>
  <si>
    <t>Anzahl Reisende (PostAuto)</t>
  </si>
  <si>
    <t>Nombre de voyageurs (CarPostal)</t>
  </si>
  <si>
    <t>Viaggiatori (AutoPostale)</t>
  </si>
  <si>
    <t>Number of passengers (PostBus)</t>
  </si>
  <si>
    <t>Jahresleistung (PostAuto)</t>
  </si>
  <si>
    <t>Prestation annuelle (CarPostal)</t>
  </si>
  <si>
    <t>Prestazione annua (AutoPostale)</t>
  </si>
  <si>
    <t>Vehicle kilometres (PostBus)</t>
  </si>
  <si>
    <t>Fahrzeuge (PostAuto)</t>
  </si>
  <si>
    <t>Véhicules (CarPostal)</t>
  </si>
  <si>
    <t>Veicoli (AutoPostale)</t>
  </si>
  <si>
    <t>Vehicles (PostBus)</t>
  </si>
  <si>
    <t>Liniennetz (PostAuto)</t>
  </si>
  <si>
    <t>Réseau (CarPostal)</t>
  </si>
  <si>
    <t>Rete (AutoPostale)</t>
  </si>
  <si>
    <t>Network (PostBus)</t>
  </si>
  <si>
    <t>Liegenschaften</t>
  </si>
  <si>
    <t>Immeubles</t>
  </si>
  <si>
    <t>Properties</t>
  </si>
  <si>
    <t>eigene</t>
  </si>
  <si>
    <t>propres</t>
  </si>
  <si>
    <t>di proprietà</t>
  </si>
  <si>
    <t>Owned</t>
  </si>
  <si>
    <t>gemietete</t>
  </si>
  <si>
    <t>loués</t>
  </si>
  <si>
    <t>in affitto</t>
  </si>
  <si>
    <t>Rented</t>
  </si>
  <si>
    <t>Briefpostindex wechselkursbereinigt</t>
  </si>
  <si>
    <t>Indice du prix des lettres corrigé du taux de change</t>
  </si>
  <si>
    <t>Indice della posta-lettere rettificato in base al corso di cambio</t>
  </si>
  <si>
    <t>Letter post index adjusted for exchange rate</t>
  </si>
  <si>
    <t>Fluorchlorkohlenwasserstoffäquivalente (FCKW-11-Äquivalente)</t>
  </si>
  <si>
    <t>Equivalents chlorofluorocarbones (équivalent CFC 11)</t>
  </si>
  <si>
    <t>Equivalenti fluoro-cloro-idrocarburi (HCFC-11 equiv.)</t>
  </si>
  <si>
    <t>Chlorofluorocarbon hydrogen equivalents (CFC-11 equivalents)</t>
  </si>
  <si>
    <t>Bewirtschaftete Fläche</t>
  </si>
  <si>
    <t>Surface gérée</t>
  </si>
  <si>
    <t>Superficie gestita</t>
  </si>
  <si>
    <t>Managed space</t>
  </si>
  <si>
    <t>Briefpostindex kaufkraftbereinigt</t>
  </si>
  <si>
    <t>Indice du prix des lettres en parité de pouvoir d'achat</t>
  </si>
  <si>
    <t>Indice della posta-lettere rettificato in base al potere d'acquisto</t>
  </si>
  <si>
    <t>Letter post index adjusted for purchasing power</t>
  </si>
  <si>
    <t>Stickoxide (NOx)</t>
  </si>
  <si>
    <t>Oxydes d'azote (NOx)</t>
  </si>
  <si>
    <t>Ossidi di azoto (NOx)</t>
  </si>
  <si>
    <t>Nitrogen oxide (NOx)</t>
  </si>
  <si>
    <t>angemietete Fläche</t>
  </si>
  <si>
    <t>Surface louée</t>
  </si>
  <si>
    <t>Superficie in locazione</t>
  </si>
  <si>
    <t>Rented space</t>
  </si>
  <si>
    <t>Paketpostindex wechselkursbereinigt</t>
  </si>
  <si>
    <t>Indice du prix des colis corrigé du taux de change</t>
  </si>
  <si>
    <t>Indice della posta-pacchi rettificato in base al corso del cambio</t>
  </si>
  <si>
    <t>Parcel post index adjusted for exchange rate</t>
  </si>
  <si>
    <t>Schwefeloxide (SOx)</t>
  </si>
  <si>
    <t>Oxydes de soufre (SOx)</t>
  </si>
  <si>
    <t>Ossidi di zolfo (SOx)</t>
  </si>
  <si>
    <t>Sulphur oxides (SOx)</t>
  </si>
  <si>
    <t>Paketpostindex kaufkraftbereinigt</t>
  </si>
  <si>
    <t>Indice du prix des colis en parité de pouvoir d'achat</t>
  </si>
  <si>
    <t>Indice della posta-pacchi rettificato in base al potere d'acquisto</t>
  </si>
  <si>
    <t>Parcel post index adjusted for purchasing power</t>
  </si>
  <si>
    <t>Nicht-Methan Kohlenwasserstoffe (NMVOC)</t>
  </si>
  <si>
    <t>Hydrocarbures non méthaniques (HCNM)</t>
  </si>
  <si>
    <t>Idrocarburi non metanici (NMHC)</t>
  </si>
  <si>
    <t>Non-methane hydrocarbons (NMVOC)</t>
  </si>
  <si>
    <t>Anlagewert</t>
  </si>
  <si>
    <t>Valeur d'investissement</t>
  </si>
  <si>
    <t>Valore d'investimento</t>
  </si>
  <si>
    <t>Investment value</t>
  </si>
  <si>
    <t>Österreich</t>
  </si>
  <si>
    <t>Autriche</t>
  </si>
  <si>
    <t>Austria</t>
  </si>
  <si>
    <t>Feinstaub (PM10)</t>
  </si>
  <si>
    <t>Matières particulaires (PM10)</t>
  </si>
  <si>
    <t>Particolato (PM10)</t>
  </si>
  <si>
    <t>Particulate matter (PM10)</t>
  </si>
  <si>
    <t>Mietertrag intern</t>
  </si>
  <si>
    <t>Produits locatifs internes</t>
  </si>
  <si>
    <t>Reddito da locazioni interno</t>
  </si>
  <si>
    <t>Rental income – internal</t>
  </si>
  <si>
    <t>Belgien</t>
  </si>
  <si>
    <t>Belgique</t>
  </si>
  <si>
    <t>Belgio</t>
  </si>
  <si>
    <t>Belgium</t>
  </si>
  <si>
    <t>Mietertrag extern</t>
  </si>
  <si>
    <t>Produits locatifs externes</t>
  </si>
  <si>
    <t>Reddito da locazioni esterno</t>
  </si>
  <si>
    <t>Rental income – external</t>
  </si>
  <si>
    <t>Investitionsvolumen</t>
  </si>
  <si>
    <t>Volume d'investissements</t>
  </si>
  <si>
    <t>Volume investimenti</t>
  </si>
  <si>
    <t>Investment volume</t>
  </si>
  <si>
    <t>Unterhaltsvolumen</t>
  </si>
  <si>
    <t>Volume d'entretien</t>
  </si>
  <si>
    <t>Volume manutenzioni</t>
  </si>
  <si>
    <t>Maintenance volume</t>
  </si>
  <si>
    <t>Dänemark</t>
  </si>
  <si>
    <t>Danemark</t>
  </si>
  <si>
    <t>Danimarca</t>
  </si>
  <si>
    <t>Denmark</t>
  </si>
  <si>
    <t>Laufende Projekte</t>
  </si>
  <si>
    <t>Projets en cours</t>
  </si>
  <si>
    <t>Progetti in corso</t>
  </si>
  <si>
    <t>Current projects</t>
  </si>
  <si>
    <t xml:space="preserve">Kontakte User Help Desk </t>
  </si>
  <si>
    <t xml:space="preserve">Contacts User Help Desk </t>
  </si>
  <si>
    <t xml:space="preserve">Contatti User Help Desk </t>
  </si>
  <si>
    <t xml:space="preserve">Contacts on User Help Desk </t>
  </si>
  <si>
    <t>Finnland</t>
  </si>
  <si>
    <t>Finlande</t>
  </si>
  <si>
    <t>Finlandia</t>
  </si>
  <si>
    <t>Finland</t>
  </si>
  <si>
    <t>Betreute Geräte</t>
  </si>
  <si>
    <t>Appareils gérés</t>
  </si>
  <si>
    <t>Apparecchi sotto assistenza</t>
  </si>
  <si>
    <t>Monitored items of equipment</t>
  </si>
  <si>
    <t>Anzahl verschiedene Anwendungen</t>
  </si>
  <si>
    <t>Nombre d'applications différentes</t>
  </si>
  <si>
    <t>Quantità di applicazioni diverse</t>
  </si>
  <si>
    <t>Number of different applications</t>
  </si>
  <si>
    <t>Grossbritanien</t>
  </si>
  <si>
    <t>Royaume-Uni</t>
  </si>
  <si>
    <t>Gran Bretagna</t>
  </si>
  <si>
    <t>United Kingdom</t>
  </si>
  <si>
    <t>Datensicherungsmenge pro Jahr</t>
  </si>
  <si>
    <t>Volume de données sauvegardées par année</t>
  </si>
  <si>
    <t>Quantità di dati salvati all'anno</t>
  </si>
  <si>
    <t>Volume of data saved per year</t>
  </si>
  <si>
    <t>Irland</t>
  </si>
  <si>
    <t>Irlande</t>
  </si>
  <si>
    <t>Irlanda</t>
  </si>
  <si>
    <t>Ireland</t>
  </si>
  <si>
    <t>Erstlösungsrate</t>
  </si>
  <si>
    <t>Taux de résolution à la 1re intervention</t>
  </si>
  <si>
    <t>Tasso di risoluzione immediata</t>
  </si>
  <si>
    <t>First-level resolution rate</t>
  </si>
  <si>
    <t>Supporteinsätze</t>
  </si>
  <si>
    <t>Assistance</t>
  </si>
  <si>
    <t>Missioni di supporto</t>
  </si>
  <si>
    <t>Support calls</t>
  </si>
  <si>
    <t>Niederlande</t>
  </si>
  <si>
    <t>Pays-Bas</t>
  </si>
  <si>
    <t>Paesi Bassi</t>
  </si>
  <si>
    <t>Netherlands</t>
  </si>
  <si>
    <t>Fondsvolumen</t>
  </si>
  <si>
    <t>Volume de fonds</t>
  </si>
  <si>
    <t>Volume fondi</t>
  </si>
  <si>
    <t>Fund volumes</t>
  </si>
  <si>
    <t>Norwegen</t>
  </si>
  <si>
    <t>Norvège</t>
  </si>
  <si>
    <t>Norvegia</t>
  </si>
  <si>
    <t>Norway</t>
  </si>
  <si>
    <t>Weitere Paketprodukte</t>
  </si>
  <si>
    <t>Autres produits colis</t>
  </si>
  <si>
    <t>Altri prodotti della posta-pacchi</t>
  </si>
  <si>
    <t>Other parcel products</t>
  </si>
  <si>
    <t>Swiss Express Privatkunden</t>
  </si>
  <si>
    <t>Clientèle privée Swiss Express</t>
  </si>
  <si>
    <t>Swiss-Express clienti privati</t>
  </si>
  <si>
    <t>Swiss-Express private customers</t>
  </si>
  <si>
    <t>Schweden</t>
  </si>
  <si>
    <t>Suède</t>
  </si>
  <si>
    <t>Svezia</t>
  </si>
  <si>
    <t>Sweden</t>
  </si>
  <si>
    <t>Kurier- und Expresssendungen</t>
  </si>
  <si>
    <t>Envois coursier et express</t>
  </si>
  <si>
    <t>Invii per corriere e invii espresso</t>
  </si>
  <si>
    <t>Courier and express items</t>
  </si>
  <si>
    <t xml:space="preserve">1) Erneuerbarer Strom und «naturemade star»-zertifizierter Strom ist für die Treibhausgasbilanz klimaneutral im Scope 2 bilanziert. </t>
  </si>
  <si>
    <t xml:space="preserve">1) L’électricité renouvelable et certifiée «naturemade star» portée au bilan des émissions de gaz à effet de serre du scope 2 est comptabilisée sans impact sur le climat. </t>
  </si>
  <si>
    <t xml:space="preserve">1) L’energia elettrica rinnovabile e certificata «naturemade star» è iscritta nel bilancio delle emissioni di gas serra dello Scope 2 con impatto climatico zero. </t>
  </si>
  <si>
    <t xml:space="preserve">1) Renewable electricity and “naturemade star”-certified electricity is reported as carbon neutral under scope 2 for greenhouse gas performance. </t>
  </si>
  <si>
    <t>Einzahlungs- und Überweisungsvolumen</t>
  </si>
  <si>
    <t>Volume des versements et des virements</t>
  </si>
  <si>
    <t>Volume di versamenti e bonifici</t>
  </si>
  <si>
    <t>Inpayments and transfers</t>
  </si>
  <si>
    <t>1) In Übereinstimmung mit dem Segmentausweis im Finanzbericht, d.h. Ausland = inkl. grenzüberschreitendem Verkehr</t>
  </si>
  <si>
    <t>1) En adéquation avec le segment 2 dans le rapport financier: l'étranger inclut le trafic transfrontalier.</t>
  </si>
  <si>
    <t>1) In conformità con il prospetto per segmento nel rapporto finanziario, quindi estero = incl. traffico transfrontaliero</t>
  </si>
  <si>
    <t>1) In accordance with the segment disclosure in the Financial Report, i.e. abroad = including cross-border traffic.</t>
  </si>
  <si>
    <t>1) Entschädigung Verwaltungsrat = Honorar plus Nebenleistungen,  Entschädigung Konzernleitung = Grundlohn plus variable Entlöhnung</t>
  </si>
  <si>
    <t>1) Indemnités du Conseil d'administration = honoraires plus prestations accessoires; indemnités de la Direction du groupe = salaire de base plus part variable.</t>
  </si>
  <si>
    <t>1) Indennità per Consiglio di amministrazione = onorario più prestazioni accessorie; indennità per Direzione del gruppo = salario di base più compenso variabile.</t>
  </si>
  <si>
    <t>1) Remuneration paid to BoD = fee plus fringe benefits, to Executive Management = base salary plus performance component.</t>
  </si>
  <si>
    <t>1) Standards, Methoden und Umrechnungsfaktoren: GHG Protocol, Revised Edition (2004). Die Umrechnungsfaktoren stammen aus der DEFRA (2021) Datenbank, dem GLEC Framework oder dem Mobitool 2.1</t>
  </si>
  <si>
    <t>1) Standards, méthodes et facteurs de conversion: protocole GHG, édition révisée (2004). Les facteurs de conversion proviennent de la banque de données du DEFRA (2021), du GLEC Framework ou de Mobiltool 2.1.</t>
  </si>
  <si>
    <t>1) Standard, metodi e fattori di conversione: GHG Protocol, Revised Edition (2004). I fattori di conversione sono desunti dalla banca dati del DEFRA (2021), dal GLEC Framework o da Mobitool 2.1.</t>
  </si>
  <si>
    <t>1) Standards, methods and conversion factors: GHG Protocol, Revised Edition (2004). The conversion factors are taken from the DEFRA (2021) database, the GLEC Framework or Mobitool 2.1.</t>
  </si>
  <si>
    <t>2) Standards, Methoden und Emissionsfaktoren: GHG Protocol, Revised Edition (2004), ISO 14064–1. Als Konsolidierungsansatz wurde der Financial Control Approach gewählt. Die Emissionsfaktoren stammen aus der DEFRA (2021) oder IEA (2021) Datenbank</t>
  </si>
  <si>
    <t>2) Standards, méthodes et facteurs d’émission: protocole GHG, édition révisée (2004), ISO 14064–1. L’approche du contrôle financier (Financial Control Approach) a été choisie comme approche de consolidation. Les facteurs d’émission proviennent de la banque de données du DEFRA (2021) ou de l’AIE (2021).</t>
  </si>
  <si>
    <t>2) Standards, metodi e fattori di emissione; GHG Protocol, Revised Edition (2004), ISO 14064–1. Per il consolidamento è stato seguito il Financial Control Approach. I fattori di conversione sono desunti dalla banca dati del DEFRA (2021) o dell’IEA (2021).</t>
  </si>
  <si>
    <t>2) Standards, methods and emissions factors: GHG Protocol, Revised Edition (2004), ISO 14064–1. The Financial Control Approach was chosen as the consolidation approach. The emissions factors are taken from the DEFRA (2021) or IEA (2021) database.</t>
  </si>
  <si>
    <t>1) ohne Lernpersonal</t>
  </si>
  <si>
    <t>1) Sans les apprentis</t>
  </si>
  <si>
    <t>1) Escluso il personale in formazione</t>
  </si>
  <si>
    <t>1) Excluding trainees</t>
  </si>
  <si>
    <t>1) Eine Personaleinheit entspricht einer Vollzeitstelle.</t>
  </si>
  <si>
    <t>1) Une unité de personnel correspond à un poste à plein temps.</t>
  </si>
  <si>
    <t>1) Un'unità di personale corrisponde a un impiego a tempo pieno.</t>
  </si>
  <si>
    <t>1) A full-time equivalent equates to one full-time position.</t>
  </si>
  <si>
    <t>1)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t>
  </si>
  <si>
    <t>1) Groupe Suisse: données du systèmes du personnel, actuellement sans données sur 1076 unités du personnel ou 5551 personnes des sociétés du groupe Botec Boncourt S.A., Bluesped Logistics Sàrl, Epsilon SA, Direct Mail Company AG, PubliBike SA, Destinas AG, KLARA Business SA, Relatra AG, BPS Speditions-Service AG, Arlesheim, BPS Speditions-Service AG, Pfungen, Walli-Trans AG, ASMIQ AG, notime AG, notime (Suisse) SA, Dialog Verwaltungs-Data AG, SwissSign Group SA, SwissSign AG, Tresorit AG, Bring! Labs AG, Livesystems Group AG, Livesystems AG, Livesystems dooh AG, Iemoli Trasporti SA, InTraLog Hermes AG, InTraLog Overseas AG, Otto Schmidt AG et Steriplus AG.</t>
  </si>
  <si>
    <t>1) Gruppo Svizzera: dati desunti dal sistema del personale, attualmente senza dati su circa 1076 unità di personale, ovvero circa 5551 persone delle società del gruppo Botec Boncourt S.A., BLUESPED LOGISTICS Sàrl, Epsilon SA, Direct Mail Company AG, PubliBike SA, DESTINAS AG, KLARA Business SA, Relatra AG, BPS Speditions-Service AG, Arlesheim, BPS Speditions-Service AG, Pfungen, Walli-Trans AG, ASMIQ AG, notime AG, notime (Schweiz) AG, DIALOG VERWALTUNGS-DATA AG, SwissSign Group AG, SwissSign AG, Tresorit AG, Bring! Labs AG, Livesystems Group SA, Livesystems dooh SA, Iemoli Trasporti SA, InTraLog Hermes AG, InTraLog Overseas AG, Otto Schmidt SA e Steriplus AG.</t>
  </si>
  <si>
    <t>1) Switzerland Group: data from the human resources system, currently excluding data on 1,076 full-time equivalents or 5,551 persons from the subsidiaries Botec Boncourt S.A., BLUESPED LOGISTICS Sàrl, Epsilon SA, Direct Mail Company AG, PubliBike AG, DESTINAS AG, KLARA Business Ltd, Relatra AG, BPS Speditions-Service AG, Arlesheim, BPS Speditions-Service AG, Pfungen, Walli-Trans AG, ASMIQ AG, notime AG, notime (Schweiz) AG, Dialog Verwaltungs-Data AG, SwissSign Group Ltd, SwissSign AG, Tresorit AG, Bring! Labs AG, Livesystems Group AG, Livesystems AG, Livesystems dooh AG, Iemoli Trasporti SA, InTraLog Hermes AG, InTraLog Overseas AG, Otto Schmidt Ltd and Steriplus AG.</t>
  </si>
  <si>
    <t>1) Jahresdurchschnittswerte</t>
  </si>
  <si>
    <t>1) Valeurs annuelles moyennes</t>
  </si>
  <si>
    <t>1) Valori medi annuali</t>
  </si>
  <si>
    <t>1) Annual averages</t>
  </si>
  <si>
    <t>Überweisungen E-Finance (elektronischer Kanal)</t>
  </si>
  <si>
    <t>Virements e-finance (canal électronique)</t>
  </si>
  <si>
    <t>Bonifici e-finance (canale elettronico)</t>
  </si>
  <si>
    <t>E-finance transfers (electronic channel)</t>
  </si>
  <si>
    <t>2) Der reservierte Dienst ist die Dienstleistung der postalischen Grundversorgung, die ausschliesslich von der Schweizerischen Post angeboten wird und zu deren Erbringung die Post verpflichtet ist. Der reservierte Dienst entspricht dem Monopolbereich.</t>
  </si>
  <si>
    <t>2) Les services réservés sont des services faisant partie du service universel postal. Ils sont proposés exclusivement par la Poste, qui est tenue de les fournir. Ils relèvent du monopole.</t>
  </si>
  <si>
    <t>2) Il servizio riservato consiste nelle prestazioni del servizio postale di base offerte esclusivamente dalla Posta e che essa è tenuta ad erogare. Il servizio riservato corrisponde al settore protetto da monopolio.</t>
  </si>
  <si>
    <t>2) The reserved service is the universal postal service that is offered exclusively by Swiss Post and which Swiss Post must provide. The reserved service is the monopoly.</t>
  </si>
  <si>
    <t>2) ohne VR-Präsident</t>
  </si>
  <si>
    <t>2) sans le président/la présidente</t>
  </si>
  <si>
    <t>2) Presidente escluso</t>
  </si>
  <si>
    <t>2) excluding Chairman</t>
  </si>
  <si>
    <t>2) «naturemade star»-zertifizierter Ökostrom/Biogas</t>
  </si>
  <si>
    <t>2) Électricité verte / biogaz certifiés «naturemade star».</t>
  </si>
  <si>
    <t>2) Energia ecologica certificata «naturemade star» / biogas</t>
  </si>
  <si>
    <t>2) “naturemade star”-certified green power / biogas</t>
  </si>
  <si>
    <t>3) Die Sachdaten von akquirierten Konzerngesellschaften werden rückwirkend für die Jahre 2019 und folgende nacherfasst, da 2019 als Basisjahr für die Ziele 2024/2030 dient.</t>
  </si>
  <si>
    <t>3) Les données concernant les sociétés du groupe acquises seront saisies rétroactivement pour 2019 et les années ultérieures, car l’année 2019 fait office d’année de référence pour les objectifs à l’horizon 2024-2030.</t>
  </si>
  <si>
    <t>3) I dati specifici delle società del gruppo acquisite vengono registrati a posteriori con effetto retroattivo per il 2019 e gli anni a seguire, in quanto il 2019 funge da anno di riferimento per gli obiettivi 2024/2030.</t>
  </si>
  <si>
    <t>3) Data for subsidiaries acquired was re-entered retroactively for 2019 onwards, as 2019 is used as the base year for the 2024/2030 targets.</t>
  </si>
  <si>
    <t>2) Gesamtaustrittsrate = Personen im Monatslohn, die die Post innerhalb eines Kalenderjahres insgesamt verlassen haben, ausgedrückt in % des durchschnittlichen Personalbestandes</t>
  </si>
  <si>
    <t>2) Taux de départ global = personnes rétribuées au mois qui ont quitté la Poste au cours d'une année civile, exprimé en pourcentage de l'effectif moyen.</t>
  </si>
  <si>
    <t>2) Tasso complessivo di partenze: complesso delle persone con salario mensile che nel corso di un anno civile hanno lasciato la Posta, espresso in % dell'organico medio</t>
  </si>
  <si>
    <t>2) Overall departure rate = total number of persons on a monthly salary who leave Swiss Post within a period of one calendar year, expressed as % of average headcount.</t>
  </si>
  <si>
    <t>2)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t>
  </si>
  <si>
    <t>2) Groupe Suisse: données du systèmes du personnel, actuellement sans données sur 1076 unités du personnel ou 5551 personnes des sociétés du groupe Botec Boncourt S.A., Bluesped Logistics Sàrl, Epsilon SA, Direct Mail Company AG, PubliBike SA, Destinas AG, KLARA Business SA, Relatra AG, BPS Speditions-Service AG, Arlesheim, BPS Speditions-Service AG, Pfungen, Walli-Trans AG, ASMIQ AG, notime AG, notime (Suisse) SA, Dialog Verwaltungs-Data AG, SwissSign Group SA, SwissSign AG, Tresorit AG, Bring! Labs AG, Livesystems Group AG, Livesystems AG, Livesystems dooh AG, Iemoli Trasporti SA, InTraLog Hermes AG, InTraLog Overseas AG, Otto Schmidt AG et Steriplus AG.</t>
  </si>
  <si>
    <t>2) Gruppo Svizzera: dati desunti dal sistema del personale, attualmente senza dati su circa 1076 unità di personale, ovvero circa 5551 persone delle società del gruppo Botec Boncourt S.A., BLUESPED LOGISTICS Sàrl, Epsilon SA, Direct Mail Company AG, PubliBike SA, DESTINAS AG, KLARA Business SA, Relatra AG, BPS Speditions-Service AG, Arlesheim, BPS Speditions-Service AG, Pfungen, Walli-Trans AG, ASMIQ AG, notime AG, notime (Schweiz) AG, DIALOG VERWALTUNGS-DATA AG, SwissSign Group AG, SwissSign AG, Tresorit AG, Bring! Labs AG, Livesystems Group SA, Livesystems dooh SA, Iemoli Trasporti SA, InTraLog Hermes AG, InTraLog Overseas AG, Otto Schmidt SA e Steriplus AG.</t>
  </si>
  <si>
    <t>2) Switzerland Group: data from the human resources system, currently excluding data on 1,076 full-time equivalents or 5,551 persons from the subsidiaries Botec Boncourt S.A., BLUESPED LOGISTICS Sàrl, Epsilon SA, Direct Mail Company AG, PubliBike AG, DESTINAS AG, KLARA Business Ltd, Relatra AG, BPS Speditions-Service AG, Arlesheim, BPS Speditions-Service AG, Pfungen, Walli-Trans AG, ASMIQ AG, notime AG, notime (Schweiz) AG, Dialog Verwaltungs-Data AG, SwissSign Group Ltd, SwissSign AG, Tresorit AG, Bring! Labs AG, Livesystems Group AG, Livesystems AG, Livesystems dooh AG, Iemoli Trasporti SA, InTraLog Hermes AG, InTraLog Overseas AG, Otto Schmidt Ltd and Steriplus AG.</t>
  </si>
  <si>
    <t>2) Jahresdurchschnittswerte</t>
  </si>
  <si>
    <t>2) Valeurs annuelles moyennes</t>
  </si>
  <si>
    <t>2) Valori medi annuali</t>
  </si>
  <si>
    <t>2) Annual averages</t>
  </si>
  <si>
    <t>Überweisungen EFT/POS (Handel, PST, Agenturen)</t>
  </si>
  <si>
    <t>Virements EFT/POS (commerces, offices de poste, agences)</t>
  </si>
  <si>
    <t>Bonifici EFT/POS (negozi, uffici postali e agenzie)</t>
  </si>
  <si>
    <t>EFT/POS transfers (retail, post offices, agencies)</t>
  </si>
  <si>
    <t>3) Der Value Added (VA) der Post ist eine absolute Masszahl (Mio. CHF) und zeigt an, welchen Mehrwert das Gesamtunternehmen bzw. ein Segment erwirtschaftet. Ein Mehrwert entsteht, wenn das um die Steuern angepasste Betriebsergebnis die geforderte Verzinsung des investierten Kapitals übersteigt.</t>
  </si>
  <si>
    <t>3) La valeur ajoutée de la Poste s’exprime en valeur absolue (millions de CHF) et rend compte de la plus-value dégagée par l’ensemble de l’entreprise ou par un segment. Il y a plus-value lorsque le résultat d’exploitation après impôt est supérieur à la rémunération exigée du capital investi.</t>
  </si>
  <si>
    <t>3) Il valore aggiunto (value added, VA) della Posta è un’unità di misura assoluta (in mln di CHF) che indica quale valore aggiunto ha raggiunto l’intera azienda o un segmento. Un valore aggiunto si genera quando il risultato aziendale adeguato delle imposte supera la remunerazione degli interessi del capitale investito.</t>
  </si>
  <si>
    <t>3) Swiss Post Value Added (PVA) is an absolute figure (CHF million) indicating how much added value the company as a whole or a specific segment generates. Value added is created when, after being adjusted for tax, operating profit exceeds the required interest on invested capital.</t>
  </si>
  <si>
    <t>3) 2012: Jürg Bucher 8 Monate, Susanne Ruoff 7 Monate, annualisiert CHF 847'581</t>
  </si>
  <si>
    <t>3) 2012: Jürg Bucher 8 mois, Susanne Ruoff 7 mois, annualisation CHF 847'581.</t>
  </si>
  <si>
    <t>3) 2012: Jürg Bucher otto mesi, Susanne Ruoff sette mesi, annualizzato CHF 847'581.</t>
  </si>
  <si>
    <t>3) 2012: Jürg Bucher 8 months, Susanne Ruoff 7 months, annualized CHF 847,581</t>
  </si>
  <si>
    <t>3) Strom aus erneuerbaren Quellen aus dem Land, wo der Stromverbrauch anfällt. Wo sie keinen erneuerbaren Strom aus der Grundversorgung beschafft, kauft sie Herkunftsnachweise ein.</t>
  </si>
  <si>
    <t>3) Électricité produite à partir d’énergies renouvelables provenant du pays où a lieu la consommation d’électricité. Lorsqu’elle n’achète pas d’électricité renouvelable relevant du service universel, elle achète des certificats d’origine.</t>
  </si>
  <si>
    <t>3) Energia elettrica prodotta da fonti rinnovabili provenienti dal paese in cui l’energia elettrica viene consumata. Quando non acquista energia elettrica generata da fonti rinnovabili dall’approvvigionamento di base, acquista garanzie di origine.</t>
  </si>
  <si>
    <t>3) Electricity from renewable sources from the country where the electricity is consumed. In cases where Swiss Post does not procure renewable electricity from the universal service, it purchases guarantees of origin.</t>
  </si>
  <si>
    <t>4) Für den Stromverbrauch von akquirierten Gesellschaften werden keine HKN für vergangene Geschäftsjahre beschafft. Die Emissionen des Stromverbrauchs (Scope 2) sind daher in den Jahren mit Nacherfassung nicht gleich null, obwohl im entsprechenden Geschäftsjahr 100% des Stromverbrauchs aus erneuerbaren Quellen und daher klimaneutral bilanziert wurde.</t>
  </si>
  <si>
    <t>4) Pour la consommation d’électricité des sociétés acquises, aucune garantie d’origine (GO) ne sera acquise pour les exercices précédents. Par conséquent, pour les années saisies après coup, les émissions liées à la consommation énergétique (scope 2) ne seront pas tout à fait égales à zéro, même si 100% de la consommation d’électricité au cours de l’exercice correspondant provient d’énergies renouvelables et apparaît donc dans le bilan comme climatiquement neutre.</t>
  </si>
  <si>
    <t>4) Per il consumo di energia elettrica delle società acquisite non vengono acquistate garanzie di origine per gli anni d’esercizio passati. Pertanto, per gli anni oggetto di rilevamento a posteriori, le emissioni legate al consumo di energia elettrica (Scope 2) non sono pari a zero, anche se nel rispettivo anno d’esercizio la totalità del consumo energetico proveniva da fonti rinnovabili ed è stata quindi iscritta a bilancio con impatto climatico zero.</t>
  </si>
  <si>
    <t>4) For electricity consumed by companies acquired, no guarantees of origin are purchased for past financial years. The emissions generated by electricity consumption (scope 2) are therefore not zero in the years with subsequent data entries, even though 100% of the electricity consumed in the financial year in question was reported as deriving from renewable sources and thus as carbon neutral.</t>
  </si>
  <si>
    <t>3)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t>
  </si>
  <si>
    <t>3) Groupe Suisse: données du systèmes du personnel, actuellement sans données sur 1076 unités du personnel ou 5551 personnes des sociétés du groupe Botec Boncourt S.A., Bluesped Logistics Sàrl, Epsilon SA, Direct Mail Company AG, PubliBike SA, Destinas AG, KLARA Business SA, Relatra AG, BPS Speditions-Service AG, Arlesheim, BPS Speditions-Service AG, Pfungen, Walli-Trans AG, ASMIQ AG, notime AG, notime (Suisse) SA, Dialog Verwaltungs-Data AG, SwissSign Group SA, SwissSign AG, Tresorit AG, Bring! Labs AG, Livesystems Group AG, Livesystems AG, Livesystems dooh AG, Iemoli Trasporti SA, InTraLog Hermes AG, InTraLog Overseas AG, Otto Schmidt AG et Steriplus AG.</t>
  </si>
  <si>
    <t>3) Gruppo Svizzera: dati desunti dal sistema del personale, attualmente senza dati su circa 1076 unità di personale, ovvero circa 5551 persone delle società del gruppo Botec Boncourt S.A., BLUESPED LOGISTICS Sàrl, Epsilon SA, Direct Mail Company AG, PubliBike SA, DESTINAS AG, KLARA Business SA, Relatra AG, BPS Speditions-Service AG, Arlesheim, BPS Speditions-Service AG, Pfungen, Walli-Trans AG, ASMIQ AG, notime AG, notime (Schweiz) AG, DIALOG VERWALTUNGS-DATA AG, SwissSign Group AG, SwissSign AG, Tresorit AG, Bring! Labs AG, Livesystems Group SA, Livesystems dooh SA, Iemoli Trasporti SA, InTraLog Hermes AG, InTraLog Overseas AG, Otto Schmidt SA e Steriplus AG.</t>
  </si>
  <si>
    <t>3) Switzerland Group: data from the human resources system, currently excluding data on 1,076 full-time equivalents or 5,551 persons from the subsidiaries Botec Boncourt S.A., BLUESPED LOGISTICS Sàrl, Epsilon SA, Direct Mail Company AG, PubliBike AG, DESTINAS AG, KLARA Business Ltd, Relatra AG, BPS Speditions-Service AG, Arlesheim, BPS Speditions-Service AG, Pfungen, Walli-Trans AG, ASMIQ AG, notime AG, notime (Schweiz) AG, Dialog Verwaltungs-Data AG, SwissSign Group Ltd, SwissSign AG, Tresorit AG, Bring! Labs AG, Livesystems Group AG, Livesystems AG, Livesystems dooh AG, Iemoli Trasporti SA, InTraLog Hermes AG, InTraLog Overseas AG, Otto Schmidt Ltd and Steriplus AG.</t>
  </si>
  <si>
    <t>3) ohne Lernpersonal</t>
  </si>
  <si>
    <t>3) Sans les apprentis</t>
  </si>
  <si>
    <t>3) Escluso il personale in formazione</t>
  </si>
  <si>
    <t>3) excluding trainees</t>
  </si>
  <si>
    <t>3) Eine Personaleinheit entspricht einer Vollzeitstelle</t>
  </si>
  <si>
    <t>3) Une unité de personnel correspond à un poste à plein temps.</t>
  </si>
  <si>
    <t>3) Un’unità di personale corrisponde a un impiego a tempo pieno</t>
  </si>
  <si>
    <t>3) One person corresponds to a full-time equivalent.</t>
  </si>
  <si>
    <t>3) Kader sind Mitarbeitende mit Leitungs-, Spezialisten- und höheren Sachbearbeitungsfunktionen.</t>
  </si>
  <si>
    <t>3) Les cadres sont des collaborateurs qui exercent des fonctions de direction ou de spécialistes ou d'autres fonctions supérieures.</t>
  </si>
  <si>
    <t>3) I quadri sono collaboratori con funzioni direttive, specialistiche o altamente qualificate.</t>
  </si>
  <si>
    <t>3) Members of management are employees with managerial, specialist and higher-level technical/clerical roles.</t>
  </si>
  <si>
    <t>Überweisungen Papier</t>
  </si>
  <si>
    <t>Virements papier</t>
  </si>
  <si>
    <t>Bonifici su carta</t>
  </si>
  <si>
    <t>Paper transfers</t>
  </si>
  <si>
    <t>4) Ab 01.01.2016 wurde die Produkteverantwortung für Privatkunden-Produkte von PostNetz an PostMail und PostLogistics übergeben, welche ab dem 1.1.2021 in das neue Segment Logistik-Services zusammengeführt wurden. PostNetz weist deshalb keinen Betriebsertrag reservierte Dienste mehr aus; er findet sich ausschliesslich im Betriebsertrag von Logistik-Services wieder.</t>
  </si>
  <si>
    <t>4) La responsabilité des produits pour la clientèle privée a été transférée de RéseauPostal à PostMail et à PostLogistics, unités rattachées au nouveau segment Services logistiques depuis le 1er janvier 2021. RéseauPostal ne présente donc plus de produits d’exploitation provenant des services réservés; ceux-ci figurent désormais exclusivement dans les produits d’exploitation de Services logistiques.</t>
  </si>
  <si>
    <t>4) A partire dal 1º gennaio 2016 la responsabilità dei prodotti per la clientela privata è stata trasferita da RetePostale a PostMail e PostLogistics, che dal 1º gennaio 2021 sono state accorpate nel nuovo segmento Servizi logistici. Di conseguenza RetePostale non presenta più la voce «Ricavi d’esercizio servizi riservati», che si trova esclusivamente nei ricavi d’esercizio di Servizi logistici.</t>
  </si>
  <si>
    <t>4) As of 1 January 2016, product responsibility for private customer products was transferred from PostalNetwork to PostMail and PostLogistics, which were merged into the new Logistics Services segment on 1 January 2021. PostalNetwork therefore no longer reports any operating income from reserved services; this is recognized solely in the operating income from Logistics Services.</t>
  </si>
  <si>
    <t>4) ohne Konzernleiter/-in</t>
  </si>
  <si>
    <t>4) sans le directeur général/la directrice générale</t>
  </si>
  <si>
    <t>4) direttore/direttrice escluso/a</t>
  </si>
  <si>
    <t>4) excluding CEO</t>
  </si>
  <si>
    <t>4) Wärmestrom ist im Gebäudestrom enthalten</t>
  </si>
  <si>
    <t>4) L'électricité thermique est comprise dans l'électricité des bâtiments.</t>
  </si>
  <si>
    <t>4) Il flusso termico è contenuto nella corrente dell'edificio.</t>
  </si>
  <si>
    <t>4) Electricity for heating is included in building electricity.</t>
  </si>
  <si>
    <t>1) Ab 2021 werden alle Sendungen der Post CO2-kompensiert unter dem «pro clima» Label versendet. Sämtliche anfallenden Zuschläge für die CO2-Kompensation übernimmt die Post vollumfänglich.</t>
  </si>
  <si>
    <t>1) Depuis 2021, tous les envois de la Poste sont expédiés avec le label «pro clima», qui fait l’objet d’une compensation des émissions de CO2. Tous les suppléments pour la compensation du CO2 sont entièrement pris en charge par la Poste.</t>
  </si>
  <si>
    <t>1) Dal 2021 tutti gli invii della Posta sono spediti con l’etichetta «pro clima» compensando le emissioni di CO₂ prodotte. Tutti i supplementi previsti per la compensazione di CO₂ sono interamente a carico della Posta.</t>
  </si>
  <si>
    <t>1) As of 2021, all Swiss Post consignments are carbon offset and sent with the “pro clima” label. The surcharges for the carbon offsetting are covered in full by Swiss Post.</t>
  </si>
  <si>
    <t>4) Anpassung Wert 2018 aufgrund nachträglicher Mutationen</t>
  </si>
  <si>
    <t>4) Ajustement de la valeur 2018 en raison de mutations ultérieures</t>
  </si>
  <si>
    <t>4) Adeguamento del valore 2018 a seguito di mutazioni successive</t>
  </si>
  <si>
    <t>4) Adjustment to the 2018 figure due to subsequent changes</t>
  </si>
  <si>
    <t xml:space="preserve">4) Ab dem Jahr 2012 besteht Swiss Post International nicht mehr als eigenständiges Segment. Die Werte wurden ab dem 1. Januar 2012 auf die Geschäftsbereiche PostMail und PostLogistics überführt, welche ab dem 1.1.2021 in das Segment Logistik-Services zusammengefasst wurden. </t>
  </si>
  <si>
    <t xml:space="preserve">4) Depuis 2012, Swiss Post International ne constitue plus un segment autonome. Les valeurs la concernant ont été répercutées à partir du 1er janvier 2012 sur les unités d’affaires PostMail et PostLogistics, lesquelles sont rattachées au segment Services logistiques depuis le 1er janvier 2021. </t>
  </si>
  <si>
    <t xml:space="preserve">4) Dall’anno 2012 Swiss Post International non è più un segmento a sé stante. Dal 1º gennaio 2012 i valori sono stati trasferiti alle unità PostMail e PostLogistics, che sono state raggruppate nel segmento Servizi logistici dal 1º gennaio 2021. </t>
  </si>
  <si>
    <t xml:space="preserve">4) As of 2012, Swiss Post International no longer exists as an independent segment. From 1 January 2012, the figures were transferred to the business units PostMail and PostLogistics, which were merged into the Logistics Services segment on 1 January 2021. </t>
  </si>
  <si>
    <t>4) Anpassung Wert 2018 aufgrund Änderung der Berechnungsmethode</t>
  </si>
  <si>
    <t>4) Ajustement de la valeur 2018 en raison de changement de la méthode de calcul</t>
  </si>
  <si>
    <t>4) Adeguamento del valore 2018 a seguito della modifica del metodo di calcolo</t>
  </si>
  <si>
    <t>4) Adjustment of the 2018 figure due to a change in the calculation method</t>
  </si>
  <si>
    <t>Überweisungen Diverse</t>
  </si>
  <si>
    <t>Virements divers</t>
  </si>
  <si>
    <t>Bonifici (altro)</t>
  </si>
  <si>
    <t>Miscellaneous transfers</t>
  </si>
  <si>
    <t>5) Im Jahr 2007 wurden Konzerngesellschaften der Segmente PostMail (DocumentServices AG, SwissSign AG) und PostLogistics (yellowworld AG) neu dem Segment Swiss Post Solutions zugeordnet.</t>
  </si>
  <si>
    <t>5) En 2007, des sociétés du groupe des segments PostMail (DocumentServices SA, SwissSign SA) et PostLogistics (yellowworld SA) ont été transférées au segment Swiss Post Solutions.</t>
  </si>
  <si>
    <t>5) Nel 2007 alcune società del gruppo dei segmenti PostMail (DocumentServices AG, SwissSign AG) e PostLogistics (yellowworld AG) sono state assegnate al segmento Swiss Post Solutions.</t>
  </si>
  <si>
    <t>5) In 2007, subsidiaries in the PostMail (DocumentServices AG, SwissSign AG) and PostLogistics (yellowworld AG) segments were assigned to the Swiss Post Solutions segment.</t>
  </si>
  <si>
    <t>5)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t>
  </si>
  <si>
    <t>5) Groupe Suisse: données du systèmes du personnel, actuellement sans données sur 1076 unités du personnel ou 5551 personnes des sociétés du groupe Botec Boncourt S.A., Bluesped Logistics Sàrl, Epsilon SA, Direct Mail Company AG, PubliBike SA, Destinas AG, KLARA Business SA, Relatra AG, BPS Speditions-Service AG, Arlesheim, BPS Speditions-Service AG, Pfungen, Walli-Trans AG, ASMIQ AG, notime AG, notime (Suisse) SA, Dialog Verwaltungs-Data AG, SwissSign Group SA, SwissSign AG, Tresorit AG, Bring! Labs AG, Livesystems Group AG, Livesystems AG, Livesystems dooh AG, Iemoli Trasporti SA, InTraLog Hermes AG, InTraLog Overseas AG, Otto Schmidt AG et Steriplus AG.</t>
  </si>
  <si>
    <t>5) Gruppo Svizzera: dati desunti dal sistema del personale, attualmente senza dati su circa 1076 unità di personale, ovvero circa 5551 persone delle società del gruppo Botec Boncourt S.A., BLUESPED LOGISTICS Sàrl, Epsilon SA, Direct Mail Company AG, PubliBike SA, DESTINAS AG, KLARA Business SA, Relatra AG, BPS Speditions-Service AG, Arlesheim, BPS Speditions-Service AG, Pfungen, Walli-Trans AG, ASMIQ AG, notime AG, notime (Schweiz) AG, DIALOG VERWALTUNGS-DATA AG, SwissSign Group AG, SwissSign AG, Tresorit AG, Bring! Labs AG, Livesystems Group SA, Livesystems dooh SA, Iemoli Trasporti SA, InTraLog Hermes AG, InTraLog Overseas AG, Otto Schmidt SA e Steriplus AG.</t>
  </si>
  <si>
    <t>5) Switzerland Group: data from the human resources system, currently excluding data on 1,076 full-time equivalents or 5,551 persons from the subsidiaries Botec Boncourt S.A., BLUESPED LOGISTICS Sàrl, Epsilon SA, Direct Mail Company AG, PubliBike AG, DESTINAS AG, KLARA Business Ltd, Relatra AG, BPS Speditions-Service AG, Arlesheim, BPS Speditions-Service AG, Pfungen, Walli-Trans AG, ASMIQ AG, notime AG, notime (Schweiz) AG, Dialog Verwaltungs-Data AG, SwissSign Group Ltd, SwissSign AG, Tresorit AG, Bring! Labs AG, Livesystems Group AG, Livesystems AG, Livesystems dooh AG, Iemoli Trasporti SA, InTraLog Hermes AG, InTraLog Overseas AG, Otto Schmidt Ltd and Steriplus AG.</t>
  </si>
  <si>
    <t>4) Die Sachdaten von akquirierten Konzerngesellschaften werden rückwirkend für die Jahre 2019 und folgende nacherfasst, da 2019 als Basisjahr für die Ziele 2024/2030 dient.</t>
  </si>
  <si>
    <t>4) Les données concernant les sociétés du groupe acquises seront saisies rétroactivement pour 2019 et les années ultérieures, car l’année 2019 fait office d’année de référence pour les objectifs à l’horizon 2024-2030.</t>
  </si>
  <si>
    <t>4) I dati specifici delle società del gruppo acquisite vengono registrati a posteriori con effetto retroattivo per il 2019 e gli anni a seguire, in quanto il 2019 funge da anno di riferimento per gli obiettivi 2024/2030.</t>
  </si>
  <si>
    <t>4) Data for subsidiaries acquired was re-entered retroactively for 2019 onwards, as 2019 is used as the base year for the 2024/2030 targets.</t>
  </si>
  <si>
    <t>1)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</si>
  <si>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t>
  </si>
  <si>
    <t>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t>
  </si>
  <si>
    <t>1) CO2 efficiency improvement is measured as the change in energy consumption per core service in the financial year compared with the base year.  The core service is defined differently for each unit (item, transaction, passenger kilometres/kilometres, full-time equivalent, etc.)</t>
  </si>
  <si>
    <t>5) Der Konzernbereich Swiss Post Solutions existiert erst seit dem 1. Oktober 2007, weshalb für die Vorjahre keine Werte ausgewiesen werden können.</t>
  </si>
  <si>
    <t>5) L'unité du groupe Swiss Post Solutions n'existant que depuis le 1er octobre 2007, aucune valeur ne peut être présentée pour les années précédentes.</t>
  </si>
  <si>
    <t>5) Poiché l'unità del gruppo Swiss Post Solutions esiste solo dal 1o ottobre 2007, non è possibile indicare nessun valore per gli anni precedenti.</t>
  </si>
  <si>
    <t>5) The Swiss Post Solutions Group unit has only existed since 1 October 2007, which is why no figures are reported for the preceding years.</t>
  </si>
  <si>
    <t>5) Wert 2018 angepasst</t>
  </si>
  <si>
    <t>5) Valeur 2018 ajustée</t>
  </si>
  <si>
    <t>5) Valore 2018 adattato</t>
  </si>
  <si>
    <t>5) 2018 figure adjusted</t>
  </si>
  <si>
    <t>Einzahlungen</t>
  </si>
  <si>
    <t>Versamenti</t>
  </si>
  <si>
    <t>Inpayments</t>
  </si>
  <si>
    <t>6) normaliserte Werte 2021, 2017, 2015 und 2013</t>
  </si>
  <si>
    <t>6) Valeurs normalisées 2021, 2017, 2015 et 2013.</t>
  </si>
  <si>
    <t>6) Valori 2021, 2017, 2015 e 2013 normalizzati</t>
  </si>
  <si>
    <t>6) Normalized figures for 2021, 2017, 2015 and 2013.</t>
  </si>
  <si>
    <t>6) Durchschnittslohn ohne Konzernleitung, Verwaltungsrat und Lernpersonal</t>
  </si>
  <si>
    <t>6) Salaire moyen sans Direction du groupe, Conseil d'administration et apprentis</t>
  </si>
  <si>
    <t>6) Salario medio senza Direzione del gruppo, Consiglio di amministrazione e personale in formazione.</t>
  </si>
  <si>
    <t>6) Average salary excluding Executive Management, the Board of Directors and trainees.</t>
  </si>
  <si>
    <t>5) Für den Stromverbrauch von akquirierten Gesellschaften werden keine HKN für vergangene Geschäftsjahre beschafft. Der Anteil an erneuerbarem Strom bei Treib- und Brennstoffen ist daher in den Jahren mit Nacherfassung nicht bei 100%, obwohl im entsprechenden Geschäftsjahr 100% des Stromverbrauchs innerhalb der Post aus erneuerbaren Quellen gedeckt wurde.</t>
  </si>
  <si>
    <t>5) Pour la consommation d’électricité des sociétés acquises, aucune garantie d’origine (GO) ne sera acquise pour les exercices précédents. Par conséquent, la part d’électricité renouvelable dans les carburants et combustibles d’origine fossile pour les années saisies après coup n’est pas égale à 100%, bien que les besoins en électricité au sein de la Poste aient été couverts exclusivement à partir d’énergies renouvelables durant l’exercice concerné.</t>
  </si>
  <si>
    <t>5) Per il consumo di energia elettrica delle società acquisite non vengono acquistate garanzie di origine per gli anni d’esercizio passati. Pertanto, per gli anni oggetto di rilevamento a posteriori, la quota di energia rinnovabile relativa a carburanti e combustibili fossili non è pari al 100%, anche se nel rispettivo anno d’esercizio il fabbisogno elettrico presso la Posta è stato coperto al 100% da energia proveniente da fonti rinnovabili.</t>
  </si>
  <si>
    <t>5) For electricity consumed by companies acquired, no guarantees of origin are purchased for past financial years. The total share of renewable electricity for fuels and combustibles is therefore not 100% in the years with subsequent data entries, even though 100% of electricity consumed within Swiss Post in the financial year in question was covered by renewable sources.</t>
  </si>
  <si>
    <t>2) Die konzernweite CO2-Effizienzsteigerung wird ab dem 2021 nicht mehr gemessen.</t>
  </si>
  <si>
    <t>2) L’augmentation de l’efficacité en matière de CO₂ à l’échelle du groupe n’est plus mesurée depuis 2021.</t>
  </si>
  <si>
    <t>2) L’incremento dell’efficienza di CO₂ a livello di gruppo non viene più misurato dal 2021.</t>
  </si>
  <si>
    <t>2) Group-wide CO2 efficiency improvements will no longer be measured from 2021.</t>
  </si>
  <si>
    <t>6) Die Kosten sind mit Durchschnittskosten pro Fall berechnet. Anzahl Berufsunfälle und Anzahl Bagatell-Unfälle multipliziert mit den durchschnittlichen Unfallkosten gemäss Berechnungen SUVA.</t>
  </si>
  <si>
    <t>6) Les coûts sont calculés à l'aide des coûts moyens par cas. Nombre d'accidents professionnels et nombre d'accidents-bagatelle, multipliés par les coûts moyens liés aux accidents selon calculs de la SUVA.</t>
  </si>
  <si>
    <t>6) Le spese sono calcolate sulla base dei costi medi per caso. Numero degli infortuni professionali e degli infortuni minori moltiplicato per i costi medi degli infortuni secondo i calcoli della SUVA.</t>
  </si>
  <si>
    <t>6) Costs are calculated based on the average costs per case. Number of occupational accidents and number of minor accidents multiplied by the average accident costs as per SUVA calculations.</t>
  </si>
  <si>
    <t>6) Konzern Schweiz mit Lehrvertrag Berufsbildung Post</t>
  </si>
  <si>
    <t>6) Groupe Suisse avec contrat d'apprentissage Formation professionnelle Poste</t>
  </si>
  <si>
    <t>6) Gruppo Svizzera contratto di tirocinio Formazione professionale Posta</t>
  </si>
  <si>
    <t>6) Switzerland Group with Swiss Post vocational training contract</t>
  </si>
  <si>
    <t>Summe</t>
  </si>
  <si>
    <t>Montant</t>
  </si>
  <si>
    <t>Totale</t>
  </si>
  <si>
    <t>Total</t>
  </si>
  <si>
    <t>7) Vorjahreswerte teilweise angepasst.</t>
  </si>
  <si>
    <t>7) Valeurs de l'exercice précédent partiellement adaptées.</t>
  </si>
  <si>
    <t>7) Valori dell'anno precedente in parte adattati.</t>
  </si>
  <si>
    <t>7) Previous year figures partly adjusted.</t>
  </si>
  <si>
    <t>7) Bis 2020 wurde der Minimallohn nach Gesamtarbeitsvertrag Post für einen 18 Jahre alten Mitarbeitenden ohne abgeschlossene Berufslehre ausgewiesen. Ab 2021 wird neu der Minimallohn zentrumsferner Gemeinden (Region D) ausgewiesen.</t>
  </si>
  <si>
    <t>7) Salaire minimal selon la CCT Poste pour un collaborateur de 18 ans n'ayant pas suivi d'apprentissage.</t>
  </si>
  <si>
    <t>7) Salario minimo secondo il Contratto collettivo di lavoro Posta per un collaboratore di 18 anni, senza apprendistato professionale concluso.</t>
  </si>
  <si>
    <t>7) Minimum salary under the Swiss Post collective employment contract for an 18-year-old employee who has not completed vocational training.</t>
  </si>
  <si>
    <t>3) Die Post hat sich im 2021 absolute CO2-Ziele gesetzt. Dabei dient das Jahr 2019 als Basisjahr.</t>
  </si>
  <si>
    <t>3) En 2021, la Poste s’est fixé des objectifs absolus de C02. L’année 2019 fait office de référence.</t>
  </si>
  <si>
    <t>3) Nel 2021 la Posta si è prefissata degli obiettivi assoluti in termini di CO₂. In questo contesto il 2019 funge da anno di riferimento.</t>
  </si>
  <si>
    <t>3) In 2021, Swiss Post set itself absolute CO2 targets. 2019 serves as the base year for these.</t>
  </si>
  <si>
    <t>7)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</si>
  <si>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7)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t>
  </si>
  <si>
    <t>7)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</si>
  <si>
    <t>7)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</si>
  <si>
    <t>7) Anteil übernommene Lernende, die eine Anstellung wünschen</t>
  </si>
  <si>
    <t>7) Part des apprentis repris qui souhaitent être embauchés</t>
  </si>
  <si>
    <t>7) Percentuale di apprendisti ripresi che desiderano essere assunti.</t>
  </si>
  <si>
    <t>7) Percentage of trainees taken on who wish to be employed by the company</t>
  </si>
  <si>
    <t>Auszahlungsvolumen</t>
  </si>
  <si>
    <t>Volume des paiements</t>
  </si>
  <si>
    <t>Volume di pagamenti</t>
  </si>
  <si>
    <t>Outpayments</t>
  </si>
  <si>
    <t>8) Die Segmente Logistik-Services, Kommunikations-Services und Mobilitäts-Services wurden per 1.1.2021 neu gebildet. Funktionen und Management wurde ebenfalls neu gebildet (bis 2020 als Übrige bezeichnet). Für die Vorjahreswerte 2019 und früher bestehen keine Vergleichswerte.</t>
  </si>
  <si>
    <t>8) Les segments Services logistiques, Services de communication et Services de mobilité existent depuis le 1er janvier 2021. Les fonctions et le management ont également été nouvellement créés (désignés comme autres jusqu’en 2020). Il n’existe aucune valeur de comparaison pour les exercices 2019 et antérieurs.</t>
  </si>
  <si>
    <t>8) I segmenti Servizi logistici, Servizi di comunicazione e Servizi di mobilità sono stati creati il 1º gennaio 2021, come anche Funzioni e management (che assumeva la designazione di «Altro» fino al 2020). Non sussistono valori comparativi per i valori dell’anno precedente relativi al 2019 e agli esercizi precedenti.</t>
  </si>
  <si>
    <t>8) The Logistics Services, Communication Services and Mobility Services segments were newly created on 1 January 2021. “Functions and management” was also newly created (reported as “Other” until 2020). No comparative values are available for the previous years 2019 and earlier.</t>
  </si>
  <si>
    <t>8) Durchschnittliche Entschädigung Konzernleitungsmitglieder zu Durchschnittslohn Mitarbeitende.</t>
  </si>
  <si>
    <t>8) Indemnités moyennes des membres de la Direction du groupe par rapport au salaire moyen du personnel.</t>
  </si>
  <si>
    <t>8) Indennità medie dei membri della Direzione del gruppo rispetto al salario medio dei collaboratori.</t>
  </si>
  <si>
    <t>8) Average remuneration for members of Executive Management to average salary for employees.</t>
  </si>
  <si>
    <t>8) Ab 1.1.2016 ist die Personalkommission aufgehoben.</t>
  </si>
  <si>
    <t>8) La commission du personnel a été supprimée avec effet au 1er janvier 2016.</t>
  </si>
  <si>
    <t>8) La commissione del personale è stata soppressa a decorrere dal 1o gennaio 2016.</t>
  </si>
  <si>
    <t>8) The staff committee no longer exists as of 1 January 2016.</t>
  </si>
  <si>
    <t>8) Verschiebung der Funktion "Praxisintegriertes Bachelor-Studium" von Kaufm. Praktikum zu Informatiker/in ab 2020.</t>
  </si>
  <si>
    <t>8) Déplacement de la fonction «Cursus de bachelor avec pratique intégrée» vers stage commercial pratique d’informaticien/informaticienne depuis 2020.</t>
  </si>
  <si>
    <t>8) Trasferimento della funzione «Bachelor con integrazione pratica» da stage pratico di commercio a informatico/a dal 2020.</t>
  </si>
  <si>
    <t>8) “Bachelor’s degree with integrated practical training” function moved from “Commercial apprenticeship” to “IT technician” from 2020.</t>
  </si>
  <si>
    <t>Bezüge am Postomat (ohne Bancomat)</t>
  </si>
  <si>
    <t>Retraits au Postomat (sans Bancomat)</t>
  </si>
  <si>
    <t>Prelievi al Postomat (Bancomat escluso)</t>
  </si>
  <si>
    <t>Withdrawals at Postomats (excl. Bancomats)</t>
  </si>
  <si>
    <t>9) Das Segment Swiss Post Solutions wird in der konsolidierten Erfolgsrechnung separat unter den aufgegebenen Geschäftsbereichen ausgewiesen. Es ist daher nicht mehr im Segmentausweis enthalten, und auf die Ergebniskommentierung wird verzichtet.</t>
  </si>
  <si>
    <t>9) Le segment Swiss Post Solutions est présenté séparément dans le compte de résultat consolidé, en tant qu’activité abandonnée et ne figure donc plus dans les comptes par segment. Son résultat n’est pas commenté.</t>
  </si>
  <si>
    <t>9) Il segmento Swiss Post Solutions viene presentato separatamente nel conto economico consolidato tra le attività operative cessate. Pertanto, non figura più nemmeno nel prospetto per segmento e il relativo risultato non viene commentato.</t>
  </si>
  <si>
    <t>9) The Swiss Post Solutions segment is shown separately in the consolidated income statement under discontinued operations. It is therefore no longer included in the segment disclosure, and no notes on the result are provided.</t>
  </si>
  <si>
    <t>9) 2017 und 2018: Über die Freigabe (Anspruch und Bemessung) des Leistungsanteils der Konzernleiterin und des ehemaligen Leiter PostAuto wird erst nach Abschluss der Untersuchungen zu den Verletzungen des Subventionsrechts in der Sparte des regionalen Personenverkehrs entschieden.»</t>
  </si>
  <si>
    <t>9) 2017 et 2018: la décision relative à la part liée à la prestation de la directrice générale et de l’ancien responsable CarPostal (droit et calcul du montant) ne sera prise qu’au terme de l’enquête en cours sur les violations du droit des subventions commises dans le secteur du transport régional de voyageurs.</t>
  </si>
  <si>
    <t>9) 2017 e 2018: la decisione (diritto e calcolo dell’importo) circa la componente legata al rendimento della direttrice generale e dell’ex responsabile AutoPostale verrà assunta solo al termine delle indagini sulle violazioni del diritto alle sovvenzioni nell’ambito del traffico regionale viaggiatori.</t>
  </si>
  <si>
    <t>9) 2017 and 2018: A decision regarding the approval (entitlement and calculation) of the performance-related component for the former CEO and the former Head of PostBus will not be reached until the investigations into the subsidy law breaches in the regional passenger transport segment have been completed.</t>
  </si>
  <si>
    <t>9) Die Segmente Logistik-Services, Kommunikations-Services und Mobilitäts-Services sind seit dem 1.1.2021 operativ. Es bestehen keine Vorjahresvergleichswerte.</t>
  </si>
  <si>
    <t>9) Les segments Services logistiques, Services de communication et Services de mobilité sont opérationnels depuis le 1er janvier 2021. Il n’existe aucune valeur comparative des exercices précédents.</t>
  </si>
  <si>
    <t>9) I segmenti Servizi logistici, Servizi di comunicazione e Servizi di mobilità sono operativi dal 1º gennaio 2021. Non sussiste alcun valore comparativo per gli anni precedenti.</t>
  </si>
  <si>
    <t>9) The Logistics Services, Communication Services and Mobility Services segments have been operational since 1 January 2021. No comparative values are available for previous years.</t>
  </si>
  <si>
    <t>Auszahlungen in Poststellen/Agenturen</t>
  </si>
  <si>
    <t>Paiements dans les offices de poste/agences</t>
  </si>
  <si>
    <t>Pagamenti presso uffici postali / agenzie</t>
  </si>
  <si>
    <t>Outpayments at post offices/agencies</t>
  </si>
  <si>
    <t>ASR, ASR+, AS</t>
  </si>
  <si>
    <t>BPR, BPR+, BP</t>
  </si>
  <si>
    <t>PPR, PPR+, PP</t>
  </si>
  <si>
    <t>OSR, OSR+, OS</t>
  </si>
  <si>
    <t>1) Deckung gemäss IFRS (siehe Finanzbericht)</t>
  </si>
  <si>
    <t>1) Couverture selon les normes IFRS (voir rapport financier)</t>
  </si>
  <si>
    <t>1) Copertura secondo gli IFRS (cfr. Rapporto finanziario)</t>
  </si>
  <si>
    <t>1) Coverage in accordance with IFRS (see Financial Report).</t>
  </si>
  <si>
    <t>Rechtzeitig beim Empfänger ankommende Briefe Inland</t>
  </si>
  <si>
    <t>Lettres domestiques distribués dans les délais au destinataire</t>
  </si>
  <si>
    <t>Consegna puntuale dei lettere domestici al destinatario</t>
  </si>
  <si>
    <t>Domestic letters delivered punctually to the recipient</t>
  </si>
  <si>
    <t>1) Die konzernweite Energieeffizienzsteigerung wird ab dem 2021 nicht mehr gemessen.</t>
  </si>
  <si>
    <t>1) L’augmentation de l’efficacité énergétique à l’échelle du groupe n’est plus mesurée depuis 2021.</t>
  </si>
  <si>
    <t>1) L’aumento dell’efficienza energetica a livello di gruppo non viene più misurato dal 2021.</t>
  </si>
  <si>
    <t>1) Group-wide energy efficiency improvements will no longer be measured from 2021.</t>
  </si>
  <si>
    <t>1) Die Emissionszahlen sind mittels Emissionsfaktoren aus der Transportleistung bzw. dem Energieträgerverbrauch berechnet. Sie umfassen auch die Vorstufen der Energiebereitstellung.</t>
  </si>
  <si>
    <t>1) Les chiffres des émissions sont calculés à l'aide de coefficients d'émission propres aux prestations de transport et aux différentes sources d'énergie. Ils englobent les étapes préalables de la production d'énergie.</t>
  </si>
  <si>
    <t>1) Le emissioni sono calcolate per mezzo di fattori di emissione derivanti dai trasporti o dal consumo energetico. Esse comprendono anche i livelli precedenti della preparazione dell'energia.</t>
  </si>
  <si>
    <t>1) The emissions figures are calculated using emissions factors from transport services and energy consumption. They also include the upstream stages of the energy provision process</t>
  </si>
  <si>
    <t>1) Umfasst Personen in Elternschaft aufgrund von Mutterschutz, Elternurlaub, Geburt, Mutterschaftsurlaub und Adoption</t>
  </si>
  <si>
    <t>1) Comprend les personnes en congé de maternité, en congé parental, en congé d'accouchement, en congé de maternité et en adoption.</t>
  </si>
  <si>
    <t>1) Comprende le persone in congedo di maternità, congedo parentale, congedo per parto, congedo di maternità e adozione.</t>
  </si>
  <si>
    <t>1) Includes persons on maternity leave, parental leave, childbirth, maternity leave and adoption.</t>
  </si>
  <si>
    <t>Zahlungsanweisung</t>
  </si>
  <si>
    <t>Mandats de paiement</t>
  </si>
  <si>
    <t>Vaglia di pagamento</t>
  </si>
  <si>
    <t>Outpayment order</t>
  </si>
  <si>
    <t>2) Deckungsgrad gemäss. Art. 44 der Verordnung über die berufliche Alters-, Hinterlassenen- und Invalidenvorsorge (BVV2)</t>
  </si>
  <si>
    <t>2) Degré de couverture conformément à l'art. 44 de l'ordonnance sur la prévoyance professionnelle vieillesse, survivants et invalidité (OPP 2)</t>
  </si>
  <si>
    <t>2) Grado di copertura secondo l'art. 44 dell'Ordinanza sulla previdenza professionale per la vecchiaia, i superstiti e l'invalidità (OPP2)</t>
  </si>
  <si>
    <t>2) Level of cover in accordance with Art. 44 of the Ordinance on Occupational Retirement, Survivors' and Disability Pension Plans (BVV2).</t>
  </si>
  <si>
    <t>A-Post</t>
  </si>
  <si>
    <t>Courrier A</t>
  </si>
  <si>
    <t>Posta A</t>
  </si>
  <si>
    <t>A Mail</t>
  </si>
  <si>
    <t>2) Die Post stellt sicher, dass ihr gesamter Strombedarf innerhalb der Post durch Energien aus erneuerbaren Quellen aus dem Land, wo der Stromverbrauch anfällt, gedeckt ist. Wo sie keinen erneuerbaren Strom aus der Grundversorgung beschafft, kauft sie Herkunftsnachweise ein.</t>
  </si>
  <si>
    <t>2) La Poste s’assure qu’elle couvre l’intégralité de ses besoins en électricité en ayant recours à des énergies renouvelables suisses provenant du pays où a lieu la consommation d’électricité. Lorsqu’elle n’achète pas d’électricité renouvelable relevant du service universel, elle achète des certificats d’origine.</t>
  </si>
  <si>
    <t>2) La Posta garantisce che il suo intero fabbisogno energetico interno è coperto con energie prodotte da fonti rinnovabili provenienti dal paese in cui l’energia elettrica viene consumata. Quando non acquista energia elettrica generata da fonti rinnovabili dall’approvvigionamento di base, acquista garanzie di origine.</t>
  </si>
  <si>
    <t>2) Swiss Post ensures that all its in-house electricity requirements are covered using energy from renewable sources from the country where the electricity is consumed. In cases where Swiss Post does not procure renewable electricity from the universal service, it purchases guarantees of origin.</t>
  </si>
  <si>
    <t xml:space="preserve">2) Standards, Methoden und Emissionsfaktoren: Emissionsfaktoren stammen aus HBEFA 3.1, Mobitool Version 2010, ecoinvent 2.2 und weiteren statistischen Quellen. </t>
  </si>
  <si>
    <t xml:space="preserve">2) Normes, méthodes et coefficients d'émission: les coefficients d'émission sont tirés de HBEFA 3.1, Mobitool Version 2010, ecoinvent 2.2 et d'autres sources statistiques. </t>
  </si>
  <si>
    <t xml:space="preserve">2) Standard, metodi e fattori di emissione: i fattori di emissione provengono da HBEFA 3.1, Mobitool Version 2010, ecoinvent 2.2 e altre fonti statistiche. </t>
  </si>
  <si>
    <t xml:space="preserve">2) Standards, methods and emission factors: Emission factors are taken from HBEFA 3.1, Mobitool version 2010, ecoinvent 2.2 and other statistical sources. </t>
  </si>
  <si>
    <t>Check</t>
  </si>
  <si>
    <t>Chèques</t>
  </si>
  <si>
    <t>Assegni</t>
  </si>
  <si>
    <t>Cheque</t>
  </si>
  <si>
    <t>3) 2021 Deckungsgrad ungeprüft</t>
  </si>
  <si>
    <t>3) Degré de couverture non vérifié en 2021</t>
  </si>
  <si>
    <t>3) Grado di copertura non verificato in 2021</t>
  </si>
  <si>
    <t>3) In 2021 level of cover unaudited.</t>
  </si>
  <si>
    <t>B-Post</t>
  </si>
  <si>
    <t>Courrier B</t>
  </si>
  <si>
    <t>Posta B</t>
  </si>
  <si>
    <t>B Mail</t>
  </si>
  <si>
    <t>3) Herkunftsnachweise des CNG-Verbrauchs im Geschäftsreiseverkehr innerhalb der Post in der Schweiz.</t>
  </si>
  <si>
    <t>3) Certificats d’origine de la consommation de GNV pour les déplacements professionnels internes à la Poste en Suisse.</t>
  </si>
  <si>
    <t>3) Garanzie di origine per il consumo di CNG nei viaggi di lavoro presso la Posta in Svizzera.</t>
  </si>
  <si>
    <t>3) Guarantees of origin for CNG consumption relating to business travel conducted by Swiss Post within Switzerland.</t>
  </si>
  <si>
    <t>Baranweisung</t>
  </si>
  <si>
    <t>Mandats en espèces</t>
  </si>
  <si>
    <t>Vaglia postale</t>
  </si>
  <si>
    <t>Cash outpayment order</t>
  </si>
  <si>
    <t>Rechtzeitig beim Empfänger ankommende Pakete Inland</t>
  </si>
  <si>
    <t>Colis domestiques distribués dans les délais au destinataire</t>
  </si>
  <si>
    <t>Consegna puntuale dei pacchi domestici al destinatario</t>
  </si>
  <si>
    <t>Domestic parcels delivered punctually to the recipient</t>
  </si>
  <si>
    <t>4) 20% des Stromverbrauchs innerhalb der Post in der Schweiz stammt aus «naturemade star»-zertifizierter Ökostrom.</t>
  </si>
  <si>
    <t>4) 20% de la consommation d’électricité interne à la Poste en Suisse provient de courant vert certifié «naturemade star».</t>
  </si>
  <si>
    <t>4) Il 20% dell’energia elettrica consumata presso la Posta in Svizzera proviene da energia ecologica certificata «naturemade star».</t>
  </si>
  <si>
    <t>4) 20% of electricity consumed by Swiss Post in Switzerland comes from “naturemade star”-certified green power.</t>
  </si>
  <si>
    <t>PostPac Priority</t>
  </si>
  <si>
    <t>PostPac PRIORITY</t>
  </si>
  <si>
    <t>PostPac Economy</t>
  </si>
  <si>
    <t>PostPac ECONOMY</t>
  </si>
  <si>
    <t>Energiemix für den Fahrzeugantrieb</t>
  </si>
  <si>
    <t>5) Daten von an Drittkunden vermieteten Fahrzeugen werden ab dem Jahr 2021 erhoben und wurden für die Jahre 2019 und 2020 nacherfasst.</t>
  </si>
  <si>
    <t>5) Les données relatives aux véhicules loués à des clients tiers sont collectées depuis 2021 et ont été saisies après coup pour les années 2019 et 2020.</t>
  </si>
  <si>
    <t>5) I dati relativi a veicoli noleggiati a clienti terzi sono stati rilevati dal 2021 e sono stati registrati a posteriori per gli anni 2019 e 2020.</t>
  </si>
  <si>
    <t>5) Data from vehicles leased to third-party customers will be collected from 2021 onwards and has been entered retroactively for 2019 and 2020.</t>
  </si>
  <si>
    <t>6) Es fehlen die Emissionen eingekaufter Güter und Dienstleistungen, sowie die finanzierten Emissionen der Investments von PostFinance. Eine umfassende Bestandesaufnahme der Unternehmensanleihen wies die finanzierten Emissionen mit 1.393 Mio. tCO2-Äquivalente für das Jahr 2021 aus.</t>
  </si>
  <si>
    <t>6) Ne sont pas incluses les émissions liées aux biens et services achetés ni celles financées par le biais des investissements de PostFinance. Un inventaire détaillé des investissements en obligations d’entreprises a montré que les émissions financées se sont élevées à 1,393 million de tonnes d’équivalents CO2 en 2021.</t>
  </si>
  <si>
    <t>6) Non sono incluse le emissioni di beni e servizi acquistati né le emissioni finanziate degli investimenti di PostFinance. Stando a un inventario completo delle obbligazioni corporate, nel 2021 le emissioni finanziate sono state pari a 1,393 milioni di tonnellate di CO₂ equivalenti.</t>
  </si>
  <si>
    <t>6) The emissions of purchased goods and services as well as financed emissions of PostFinance investments are not included. A comprehensive analysis of corporate loans indicated financed emissions of 1.393 million tCO2 equivalents for 2021.</t>
  </si>
  <si>
    <t>Headcount at Swiss Post Group</t>
  </si>
  <si>
    <t>1) Wertschöpfung = Betriebsergebnis + Personalaufwand + Abschreibungen – Ergebnis aus Verkauf von Sachanlagen, immatriellen Anlagen und Beteiligungen</t>
  </si>
  <si>
    <t>1) Valeur ajoutée = résultat d'exploitation + charges de personnel + amortissements – résultat de la vente d'immobilisations corporelles, d'immobilisations incorporelles et de participations</t>
  </si>
  <si>
    <t>1) Creazione di valore aggiunto = risultato d'esercizio + costi per il personale + ammortamenti – risultato dalla vendita di immobilizzazioni materiali, immateriali e partecipazioni.</t>
  </si>
  <si>
    <t>1) Value added = operating profit + personnel expenses + depreciation – gain/loss on the sale of tangible fixed assets, intangible assets and participations.</t>
  </si>
  <si>
    <t>Wartezeiten am Schalter bis zur Bedienung</t>
  </si>
  <si>
    <t>Temps d'attente au guichet</t>
  </si>
  <si>
    <t>Tempi di attesa allo sportello prima di essere serviti</t>
  </si>
  <si>
    <t>Waiting times at the counter until served</t>
  </si>
  <si>
    <t>1) Die Personalumfrage wurde per 2021 neu konzipiert. Das Bewertungsschema ist wie folgt: 0-49 Punkte; negative Bewertung; 50-64 Punkte: gering positive Bewertung; 65-84 Punkte: mittlere positive Bewertung; 85-100 Punkte: hohe positive Bewertung.</t>
  </si>
  <si>
    <t>1) Le sondage du personnel a été remanié en 2021. Le schéma d’évaluation est le suivant:                0 à 49 points: évaluation négative; 50 à 64 points: évaluation positive faible; 65 à 84 points: évaluation positive moyenne; 85 à 100 points: évaluation positive élevée.</t>
  </si>
  <si>
    <t>1) Nel 2021 il sondaggio del personale è stato rielaborato. Lo schema di valutazione è il seguente: 0–49 punti: valutazione negativa; 50–64 punti: valutazione sufficientemente positiva; 65–84 punti: valutazione mediamente positiva; 85–100 punti: valutazione molto positiva.</t>
  </si>
  <si>
    <t>1) The employee survey was redesigned in 2021. The rating scheme is as follows: 0–49 points: negative score; 50–64 points: low positive score; 65–84 points: average positive score; 85–100 points: high positive score.</t>
  </si>
  <si>
    <t>unbefristet</t>
  </si>
  <si>
    <t>permanent</t>
  </si>
  <si>
    <t>permanente</t>
  </si>
  <si>
    <t>2) Löhne, Gehälter, gesetzliche und freiwillige Sozialabgabe, Personalvorsorgeleistungen, Aus- und Weiterbildung</t>
  </si>
  <si>
    <t>2) Salaires, appointements, charges sociales légales et volontaires, prestations de prévoyance en faveur du personnel, formation et perfectionnement</t>
  </si>
  <si>
    <t>2) Salari, stipendi, oneri sociali legali e facoltativi, prestazioni previdenziali, formazione e perfezionamento.</t>
  </si>
  <si>
    <t>2) Wages, salaries, statutory and voluntary social security contributions, employee benefit payments, basic and advanced training.</t>
  </si>
  <si>
    <t>Anteil der Kundinnen und Kunden, die innerhalb 7 Minuten bedient werden</t>
  </si>
  <si>
    <t>Part de clients qui attendent moins de 7 minutes</t>
  </si>
  <si>
    <t>Percentuale dei clienti che attendono fino a 7 minuti</t>
  </si>
  <si>
    <t>Percentage of customers served within 7 minutes</t>
  </si>
  <si>
    <t>befristet</t>
  </si>
  <si>
    <t>temporaire</t>
  </si>
  <si>
    <t>temporaneo</t>
  </si>
  <si>
    <t xml:space="preserve">temporary </t>
  </si>
  <si>
    <t>3) Zinsen und ähnliche Aufwendungen</t>
  </si>
  <si>
    <t>3) Intérêts et charges similaires</t>
  </si>
  <si>
    <t>3) Interessi e altri oneri.</t>
  </si>
  <si>
    <t>3) Interest and similar expenses.</t>
  </si>
  <si>
    <t>Anteil der Kundinnen und Kunden, die innerhalb 10 Minuten bedient werden</t>
  </si>
  <si>
    <t>Part de clients qui attendent moins de 10 minutes</t>
  </si>
  <si>
    <t>Percentuale dei clienti che attendono fino a 10 minuti</t>
  </si>
  <si>
    <t>Percentage of customers served within 10 minutes</t>
  </si>
  <si>
    <t>4) Ertragssteuern</t>
  </si>
  <si>
    <t>4) Impôts sur le bénéfice</t>
  </si>
  <si>
    <t>4) Imposte sull'utile.</t>
  </si>
  <si>
    <t>4) Income taxes.</t>
  </si>
  <si>
    <t>Anteil Ausland</t>
  </si>
  <si>
    <t>Part à l'étranger</t>
  </si>
  <si>
    <t>Quota all' estero</t>
  </si>
  <si>
    <t>Share abroad</t>
  </si>
  <si>
    <t>5) Gewinnabführung an den Bund</t>
  </si>
  <si>
    <t>5) Versement du bénéfice à la Confédération</t>
  </si>
  <si>
    <t>5) Versamento dell'utile alla Confederazione.</t>
  </si>
  <si>
    <t>5) Profit transferred to the Confederation.</t>
  </si>
  <si>
    <t>Logistik und Produktion</t>
  </si>
  <si>
    <t>Logistique et Production</t>
  </si>
  <si>
    <t>Logistica e produzione</t>
  </si>
  <si>
    <t>Logistics and production</t>
  </si>
  <si>
    <t>6) Die Position «Übrige» beinhaltet den Gewinn aus Verkauf von Sachanlagen, den Ertrag aus assozierten Gesellschaften, den Finanzertrag und die latenten Steuern.</t>
  </si>
  <si>
    <t>6) Le poste «Autres» comprend le bénéfice de la vente d'immobilisations corporelles, les produits des sociétés associées, les produits financiers et les impôts latents.</t>
  </si>
  <si>
    <t>6) La voce «altro» comprende gli utili conseguiti dalla vendita di beni materiali, i ricavi derivanti dalle società associate, i ricavi finanziari e le imposte latenti.</t>
  </si>
  <si>
    <t>6) The item “Other” includes the balance from disposals of tangible fixed assets, income from associates, financial income and deferred taxes.</t>
  </si>
  <si>
    <t>Zustellung</t>
  </si>
  <si>
    <t>Distribution</t>
  </si>
  <si>
    <t>Recapito</t>
  </si>
  <si>
    <t>Delivery</t>
  </si>
  <si>
    <t>7) Beantragte Gewinnverwendung der Post (siehe auch Geschäftsbericht Jahresabschluss Die Schweizerische Post AG)</t>
  </si>
  <si>
    <t>7) Proposition d'affectation des bénéfices de la Poste (voir aussi le rapport de gestion, comptes annuels de La Poste Suisse SA).</t>
  </si>
  <si>
    <t>7) Destinazione richiesta degli utili della Posta (vedi anche rapporto di gestione chiusura annuale La Posta Svizzera SA).</t>
  </si>
  <si>
    <t>7) Proposed appropriation of profit for Swiss Post (see also Swiss Post Ltd annual financial statements in Annual Report).</t>
  </si>
  <si>
    <t>Sortierung</t>
  </si>
  <si>
    <t>Tri</t>
  </si>
  <si>
    <t>Spartizione</t>
  </si>
  <si>
    <t>Sorting</t>
  </si>
  <si>
    <t>8) normaliserte Werte 2021, 2017, 2015 und 2013</t>
  </si>
  <si>
    <t>8) Valeurs normalisées 2017, 2015 et 2013</t>
  </si>
  <si>
    <t>8) Valori 2017, 2015 e 2013 normalizzati.</t>
  </si>
  <si>
    <t>8) Normalized figures for 2017, 2015 and 2013.</t>
  </si>
  <si>
    <t>Abwicklung Finanzdienstleistungen</t>
  </si>
  <si>
    <t>Fourniture de services financiers</t>
  </si>
  <si>
    <t>Esecuzione servizi finanziari</t>
  </si>
  <si>
    <t>Handling of financial services</t>
  </si>
  <si>
    <t>9) Vorjahreswerte teilweise angepasst.</t>
  </si>
  <si>
    <t>9) Valeurs de l'exercice précédent partiellement adaptées.</t>
  </si>
  <si>
    <t>9) Valori dell'anno precedente in parte adattati.</t>
  </si>
  <si>
    <t>9) Previous year figures partly adjusted.</t>
  </si>
  <si>
    <t>Trasporto persone</t>
  </si>
  <si>
    <t>Warentransport</t>
  </si>
  <si>
    <t>Trasporto merci</t>
  </si>
  <si>
    <t>Transport of goods</t>
  </si>
  <si>
    <t>Taggerechte Verarbeitung von Zahlungsbelegen von Filialen</t>
  </si>
  <si>
    <t>Traitement des justificatifs des filiales le jour prévu</t>
  </si>
  <si>
    <t>Trattamento puntuale di ricevute di pagamento di filiali</t>
  </si>
  <si>
    <t>Timely processing of payment slips at branches</t>
  </si>
  <si>
    <t>Weitere</t>
  </si>
  <si>
    <t>altri</t>
  </si>
  <si>
    <t>Taggerechte Verarbeitung von Zahlungsbelegen aus Zahlungsaufträgen</t>
  </si>
  <si>
    <t>Traitement des justificatifs des ordres de paiement le jour prévu</t>
  </si>
  <si>
    <t>Trattamento puntuale di ricevute di ordini di pagamento</t>
  </si>
  <si>
    <t>Timely processing of payment slips from payment orders</t>
  </si>
  <si>
    <t>Verkauf</t>
  </si>
  <si>
    <t>Vente</t>
  </si>
  <si>
    <t>Vendita</t>
  </si>
  <si>
    <t>Sales</t>
  </si>
  <si>
    <t>Taggerechte Verarbeitung von Zahlungsbelegen von Filialen (SCHAPO)</t>
  </si>
  <si>
    <t>Traitement des justificatifs des filiales (SCHAPO) le jour prévu</t>
  </si>
  <si>
    <t>Trattamento puntuale di ricevute di pagamento di filiali (SCHAPO)</t>
  </si>
  <si>
    <t>Timely processing of payment slips at branches (SCHAPO)</t>
  </si>
  <si>
    <t>Verkauf operativ</t>
  </si>
  <si>
    <t>Vente opérationnelle</t>
  </si>
  <si>
    <t>Vendite (livello operativo)</t>
  </si>
  <si>
    <t>Sales operations</t>
  </si>
  <si>
    <t>Marketing</t>
  </si>
  <si>
    <t>Informatik</t>
  </si>
  <si>
    <t>Informatique</t>
  </si>
  <si>
    <t>Informatica</t>
  </si>
  <si>
    <t>Infrastruktur und Sicherheit</t>
  </si>
  <si>
    <t>Infrastructure et sécurité</t>
  </si>
  <si>
    <t>Infrastruttura e sicurezza</t>
  </si>
  <si>
    <t>Infrastructure and security</t>
  </si>
  <si>
    <t>Betrieb und Unterhalt, Hausdienst</t>
  </si>
  <si>
    <t>Exploitation et entretien, service domestique</t>
  </si>
  <si>
    <t>Esercizio e manutenzione, servizio di manutenzione</t>
  </si>
  <si>
    <t>Operation and maintenance, facility services</t>
  </si>
  <si>
    <t>Management- und Konzernfunktionen</t>
  </si>
  <si>
    <t>Fonctions de gestion et fonctions Groupe</t>
  </si>
  <si>
    <t>Funzioni direttive e Funzioni Gruppo</t>
  </si>
  <si>
    <t>Management and Group functions</t>
  </si>
  <si>
    <t>Diverse Funktionen</t>
  </si>
  <si>
    <t>Autres fonctions</t>
  </si>
  <si>
    <t>Varie funzioni</t>
  </si>
  <si>
    <t>Miscellaneous functions</t>
  </si>
  <si>
    <t>Aktive User E-Post</t>
  </si>
  <si>
    <t>Utilisateurs actifs E-Post</t>
  </si>
  <si>
    <t>Utenti attivi E-Post</t>
  </si>
  <si>
    <t>Active E-Post users</t>
  </si>
  <si>
    <t>Aktive User Business KLARA</t>
  </si>
  <si>
    <t>Utilisateurs actifs KLARA Business</t>
  </si>
  <si>
    <t>Utenti attivi KLARA Business</t>
  </si>
  <si>
    <t>Active KLARA Business users</t>
  </si>
  <si>
    <t>Anzahl aktiver Stammgemeinschaften EPD</t>
  </si>
  <si>
    <t>Nombre de communautés de référence actives dans les DEP</t>
  </si>
  <si>
    <t>Numero di comunità di riferimento CIP attive</t>
  </si>
  <si>
    <t>Number of active EPR core communities</t>
  </si>
  <si>
    <t>Anzahl Poststellen mit Möglichkeit zur EPD-Eröffnung</t>
  </si>
  <si>
    <t>Nombre d’offices de poste offrant la possibilité d’ouvrir un DEP</t>
  </si>
  <si>
    <t>Numero di uffici postali con possibilità di apertura della CIP</t>
  </si>
  <si>
    <t>Number of post offices with the capacity to open an EPR</t>
  </si>
  <si>
    <t>Anzahl User IncaMail</t>
  </si>
  <si>
    <t>Nombre d’utilisateurs IncaMail</t>
  </si>
  <si>
    <t>Numero di utenti IncaMail</t>
  </si>
  <si>
    <t>Number of IncaMail users</t>
  </si>
  <si>
    <t>Männer</t>
  </si>
  <si>
    <t>Uomini</t>
  </si>
  <si>
    <t>Frauen</t>
  </si>
  <si>
    <t>Donne</t>
  </si>
  <si>
    <t>Beschäftigungsgrad</t>
  </si>
  <si>
    <t>Taux d'occupation</t>
  </si>
  <si>
    <t>Grado di occupazione</t>
  </si>
  <si>
    <t>Level of employment</t>
  </si>
  <si>
    <t>Beschäftigungsgrad unter 50%, gesamt</t>
  </si>
  <si>
    <t>Taux d'occupation inférieur à 50%, total</t>
  </si>
  <si>
    <t>Grado di occupazione inferiore al 50%, complessivo</t>
  </si>
  <si>
    <t>Less than 50% of regular working hours, total</t>
  </si>
  <si>
    <t>Beschäftigungsgrad 50% bis 89%, gesamt</t>
  </si>
  <si>
    <t>Taux d'occupation entre 50% et 89%, total</t>
  </si>
  <si>
    <t>Grado di occupazione dal 50% all'89%, complessivo</t>
  </si>
  <si>
    <t>50% to 89% of regular working hours, total</t>
  </si>
  <si>
    <t>Beschäftigungsgrad ab 90% (Vollzeit), gesamt</t>
  </si>
  <si>
    <t>Taux d'occupation égal ou supérieur à 90% (plein temps), total</t>
  </si>
  <si>
    <t>Grado di occupazione dal 90% (tempo pieno), complessivo</t>
  </si>
  <si>
    <t>90% of regular working hours and over (full time), total</t>
  </si>
  <si>
    <t>Beschäftigungsgrad Männer</t>
  </si>
  <si>
    <t>Taux d'occupation des hommes</t>
  </si>
  <si>
    <t>Grado di occupazione, uomini</t>
  </si>
  <si>
    <t>Level of employment, men</t>
  </si>
  <si>
    <t>Beschäftigungsgrad unter 50%, Männer</t>
  </si>
  <si>
    <t>Taux d'occupation inférieur à 50%, hommes</t>
  </si>
  <si>
    <t>Grado di occupazione inferiore al 50%, uomini</t>
  </si>
  <si>
    <t>Less than 50% of regular working hours, men</t>
  </si>
  <si>
    <t>Beschäftigungsgrad 50% bis 89%, Männer</t>
  </si>
  <si>
    <t>Taux d'occupation entre 50% et 89%, hommes</t>
  </si>
  <si>
    <t>Grado di occupazione dal 50% all'89%, uomini</t>
  </si>
  <si>
    <t>50% to 89% of regular working hours, men</t>
  </si>
  <si>
    <t>Beschäftigungsgrad ab 90% (Vollzeit), Männer</t>
  </si>
  <si>
    <t>Taux d'occupation égal ou supérieur à 90% (plein temps), hommes</t>
  </si>
  <si>
    <t>Grado di occupazione dal 90% (tempo pieno), uomini</t>
  </si>
  <si>
    <t>90% of regular working hours and over (full time), men</t>
  </si>
  <si>
    <t>Beschäftigungsgrad Frauen</t>
  </si>
  <si>
    <t>Taux d'occupation des femmes</t>
  </si>
  <si>
    <t>Grado di occupazione, donne</t>
  </si>
  <si>
    <t>Level of employment, women</t>
  </si>
  <si>
    <t>Beschäftigungsgrad unter 50%, Frauen</t>
  </si>
  <si>
    <t>Taux d'occupation inférieur à 50%, femmes</t>
  </si>
  <si>
    <t>Grado di occupazione inferiore al 50%, donne</t>
  </si>
  <si>
    <t>Less than 50% of regular working hours, women</t>
  </si>
  <si>
    <t>Beschäftigungsgrad 50% bis 89%, Frauen</t>
  </si>
  <si>
    <t>Taux d'occupation entre 50% et 89%, femmes</t>
  </si>
  <si>
    <t>Grado di occupazione dal 50% all'89%, donne</t>
  </si>
  <si>
    <t>50% to 89% of regular working hours, women</t>
  </si>
  <si>
    <t>1) Ab 1.1.2015 ist das Wirtschaftssponsoring expliziter Bestandteil des Sponsoring der Schweizerischen Post.</t>
  </si>
  <si>
    <t>1) Depuis le 1er janvier 2015, le sponsoring économique fait explicitement partie du sponsoring de la Poste.</t>
  </si>
  <si>
    <t>1) Dal 1o gennaio 2015 lo sponsoring nel settore economico fa esplicitamente parte dell'attività di sponsoring della Posta.</t>
  </si>
  <si>
    <t>1) Business sponsoring has been an explicit part of sponsoring at Swiss Post since 1 January 2015.</t>
  </si>
  <si>
    <t>Beschäftigungsgrad ab 90% (Vollzeit), Frauen</t>
  </si>
  <si>
    <t>Taux d'occupation égal ou supérieur à 90% (plein temps), femmes</t>
  </si>
  <si>
    <t>Grado di occupazione dal 90% (tempo pieno), donne</t>
  </si>
  <si>
    <t>90% of regular working hours and over (full time), women</t>
  </si>
  <si>
    <t>Beschäftigungsgrad Kader</t>
  </si>
  <si>
    <t>Taux d'occupation des cadres</t>
  </si>
  <si>
    <t>Grado di occupazione, quadri</t>
  </si>
  <si>
    <t>Level of employment, management</t>
  </si>
  <si>
    <t>Beschäftigungsgrad unter 90% (Teilzeit), Kader</t>
  </si>
  <si>
    <t>Taux d'occupation inférieur à 90% (temps partiel), cadres</t>
  </si>
  <si>
    <t>Grado di occupazione inferiore al 90% (tempo parziale), quadri</t>
  </si>
  <si>
    <t>Less than 90% of regular working hours (part-time), management</t>
  </si>
  <si>
    <t>1) Die Berechnungsmethode zur Ermittlung der Anzahl Orte mit Hausservice wurde 2019 angepasst. Die Werte 2016 - 2018 wurden vergleichbar gemacht.</t>
  </si>
  <si>
    <t>1) La méthode de calcul du nombre de localités proposant le service à domicile a été adaptée en 2019. Les valeurs 2016 - 2018 ont été rendues comparables.</t>
  </si>
  <si>
    <t>1) Il metodo di calcolo per determinare il numero di località con servizio a domicilio è stato modificato nel 2019. I valori 2016 - 2018 sono stati resi raffrontabili.</t>
  </si>
  <si>
    <t>1) The method for calculating the number of locations with home delivery service was changed in 2019. The figures for 2016 to 2018 were made comparable.</t>
  </si>
  <si>
    <t>Beschäftigungsgrad unter 90% (Teilzeit), Kader, Männer</t>
  </si>
  <si>
    <t>Taux d'occupation inférieur à 90% (temps partiel), cadres, hommes</t>
  </si>
  <si>
    <t>Grado di occupazione inferiore al 90% (tempo parziale), quadri, uomini</t>
  </si>
  <si>
    <t>Less than 90% of regular working hours (part-time), management, men</t>
  </si>
  <si>
    <t>2) Ab 2017 werden bei den Geschäftskundenstellen auch die von PostMail und PostLogistics mitberücksichtigt.</t>
  </si>
  <si>
    <t>2) Y compris les points clientèle commerciale de PostMail et de PostLogistics à compter de 2017</t>
  </si>
  <si>
    <t>2) Dal 2017 nei punti clienti commerciali sono considerati anche quelli di PostMail e PostLogistics.</t>
  </si>
  <si>
    <t>2) From 2017 the PostMail and PostLogistics counters for business customers are also taken into consideration.</t>
  </si>
  <si>
    <t>Beschäftigungsgrad unter 90% (Teilzeit), Kader, Frauen</t>
  </si>
  <si>
    <t>Taux d'occupation inférieur à 90% (temps partiel), cadres, femmes</t>
  </si>
  <si>
    <t>Grado di occupazione inferiore al 90% (tempo parziale), quadri, donne</t>
  </si>
  <si>
    <t>Less than 90% of regular working hours (part-time), management, women</t>
  </si>
  <si>
    <t>Befristet</t>
  </si>
  <si>
    <t>Provisoire</t>
  </si>
  <si>
    <t>Temporaneo</t>
  </si>
  <si>
    <t>Temporary</t>
  </si>
  <si>
    <t>Unbefristet</t>
  </si>
  <si>
    <t>Permanente</t>
  </si>
  <si>
    <t>Permanent</t>
  </si>
  <si>
    <t>Bundespersonalgesetz</t>
  </si>
  <si>
    <t>Loi sur le personnel de la Confédération</t>
  </si>
  <si>
    <t>Legge sul personale federale</t>
  </si>
  <si>
    <t>Public Officials Act</t>
  </si>
  <si>
    <t>1) Excluding trainees.</t>
  </si>
  <si>
    <t>GAV Post</t>
  </si>
  <si>
    <t>CCT Poste</t>
  </si>
  <si>
    <t>CCL Posta</t>
  </si>
  <si>
    <t>Swiss Post collective employment contract (CEC)</t>
  </si>
  <si>
    <t>2) Eine Personaleinheit entspricht einer Vollzeitstelle.</t>
  </si>
  <si>
    <t>2) Une unité de personnel correspond à un poste à plein temps.</t>
  </si>
  <si>
    <t>2) Un'unità di personale corrisponde a un impiego a tempo pieno.</t>
  </si>
  <si>
    <t>2) A full-time equivalent equates to one full-time position.</t>
  </si>
  <si>
    <t>Obligationenrecht</t>
  </si>
  <si>
    <t>Code des obligations</t>
  </si>
  <si>
    <t>Codice delle obbligazioni</t>
  </si>
  <si>
    <t>Swiss Code of Obligations</t>
  </si>
  <si>
    <t>3) Jahresdurchschnittswerte</t>
  </si>
  <si>
    <t>3) Valeurs annuelles moyennes</t>
  </si>
  <si>
    <t>3) Valori medi annuali.</t>
  </si>
  <si>
    <t>3) Annual averages.</t>
  </si>
  <si>
    <t>GAV Aushilfen</t>
  </si>
  <si>
    <t>CCT Auxiliaires</t>
  </si>
  <si>
    <t>CCL per il personale ausiliario</t>
  </si>
  <si>
    <t>CEC, auxiliary staff</t>
  </si>
  <si>
    <t>4) Die Anzahl Beschäftigte in den Kantonen basiert ab 2015 auf der STATENT-Auswertung.</t>
  </si>
  <si>
    <t>4) Depuis 2015, le nombre d'employés dans les cantons se fonde sur l'analyse STATENT.</t>
  </si>
  <si>
    <t>4) Dal 2015 il numero di collaboratori nei Cantoni si basa sul rilevamento STATENT.</t>
  </si>
  <si>
    <t>4) From 2015, the number of employees in the cantons is based on the STATENT report.</t>
  </si>
  <si>
    <t>GAV Konzerngesellschaften</t>
  </si>
  <si>
    <t>CCT sociétés du groupe</t>
  </si>
  <si>
    <t>CCL società del gruppo</t>
  </si>
  <si>
    <t>CEC, subsidiaries</t>
  </si>
  <si>
    <t>5) Die Definition der ländlichen Gemeinden stützt sich auf die Räumlichen Typologien des Bundesamt für Statistik BFS.</t>
  </si>
  <si>
    <t>5) La définition des communautés rurales est basée sur les typologies territoriales de l'Office fédéral de la statistique (OFS)</t>
  </si>
  <si>
    <t>5) La definizione delle comunità rurali si basa sulle tipologie territoriali dell' Ufficio federale di statistica (UST)</t>
  </si>
  <si>
    <t>5) The definition of rural communities is based on the territorial typologies of the Federal Statistical Office (FSO)</t>
  </si>
  <si>
    <t>Post CH AG</t>
  </si>
  <si>
    <t>Poste CH SA</t>
  </si>
  <si>
    <t>Posta CH SA</t>
  </si>
  <si>
    <t>Post CH Ltd</t>
  </si>
  <si>
    <t>6)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t>
  </si>
  <si>
    <t>6) Groupe Suisse: données du systèmes du personnel, actuellement sans données sur 1076 unités du personnel ou 5551 personnes des sociétés du groupe Botec Boncourt S.A., Bluesped Logistics Sàrl, Epsilon SA, Direct Mail Company AG, PubliBike SA, Destinas AG, KLARA Business SA, Relatra AG, BPS Speditions-Service AG, Arlesheim, BPS Speditions-Service AG, Pfungen, Walli-Trans AG, ASMIQ AG, notime AG, notime (Suisse) SA, Dialog Verwaltungs-Data AG, SwissSign Group SA, SwissSign AG, Tresorit AG, Bring! Labs AG, Livesystems Group AG, Livesystems AG, Livesystems dooh AG, Iemoli Trasporti SA, InTraLog Hermes AG, InTraLog Overseas AG, Otto Schmidt AG et Steriplus AG.</t>
  </si>
  <si>
    <t>6) Gruppo Svizzera: dati desunti dal sistema del personale, attualmente senza dati su circa 1076 unità di personale, ovvero circa 5551 persone delle società del gruppo Botec Boncourt S.A., BLUESPED LOGISTICS Sàrl, Epsilon SA, Direct Mail Company AG, PubliBike SA, DESTINAS AG, KLARA Business SA, Relatra AG, BPS Speditions-Service AG, Arlesheim, BPS Speditions-Service AG, Pfungen, Walli-Trans AG, ASMIQ AG, notime AG, notime (Schweiz) AG, DIALOG VERWALTUNGS-DATA AG, SwissSign Group AG, SwissSign AG, Tresorit AG, Bring! Labs AG, Livesystems Group SA, Livesystems dooh SA, Iemoli Trasporti SA, InTraLog Hermes AG, InTraLog Overseas AG, Otto Schmidt SA e Steriplus AG.</t>
  </si>
  <si>
    <t>6) Switzerland Group: data from the human resources system, currently excluding data on 1,076 full-time equivalents or 5,551 persons from the subsidiaries Botec Boncourt S.A., BLUESPED LOGISTICS Sàrl, Epsilon SA, Direct Mail Company AG, PubliBike AG, DESTINAS AG, KLARA Business Ltd, Relatra AG, BPS Speditions-Service AG, Arlesheim, BPS Speditions-Service AG, Pfungen, Walli-Trans AG, ASMIQ AG, notime AG, notime (Schweiz) AG, Dialog Verwaltungs-Data AG, SwissSign Group Ltd, SwissSign AG, Tresorit AG, Bring! Labs AG, Livesystems Group AG, Livesystems AG, Livesystems dooh AG, Iemoli Trasporti SA, InTraLog Hermes AG, InTraLog Overseas AG, Otto Schmidt Ltd and Steriplus AG.</t>
  </si>
  <si>
    <t>PostFinance AG</t>
  </si>
  <si>
    <t>PostFinance SA</t>
  </si>
  <si>
    <t>PostFinance Ltd</t>
  </si>
  <si>
    <t>7) Im Segment PostMail (ab 1.1.2021 neu Logistik-Services) wurde bei zwei Tochtergesellschaften die Berechnung des Durchschnittbestands auf Vollzeitstellen (ohne Lernpersonal) überarbeitet, was zur Anpassung des Werts 2018 führte. Im Segment PostAuto (ab 1.1.2021 neu Mobilitäts-Services) wurde das Jahr 2018 aufgrund der Klassifizierung der CarPostal-France-Gruppe als zur Veräusserung gehaltene Abgangsgruppe und aufgegebener Geschäftsbereich angepasst.</t>
  </si>
  <si>
    <t>7) Dans le segment PostMail (désormais rattaché à Services logistiques depuis le 1er janvier 2021), le calcul de l’effectif moyen en équivalents plein temps (hors apprentis) de deux filiales a été remanié, ce qui a entraîné l’ajustement de la valeur de 2018. Dans le segment CarPostal (désormais rattaché à Services logistiques depuis le 1er janvier 2021), la valeur de 2018 a été ajustée suite à la classification du groupe CarPostal France comme groupe sortant détenu en vue de la vente et activité abandonnée.</t>
  </si>
  <si>
    <t>7) Nel segmento PostMail (dal 1º gennaio 2021 Servizi logistici) il calcolo dell’organico medio di due società affiliate in impieghi a tempo pieno (escluso il personale in formazione) è stato modificato con un conseguente adeguamento del valore relativo al 2018. Nel segmento AutoPostale (dal 1º gennaio 2021 Servizi di mobilità) il 2018 è stato adattato per tenere conto della classificazione del gruppo CarPostal France come gruppo alienabile disponibile per la vendita e attività operativa cessata.</t>
  </si>
  <si>
    <t>7) In the PostMail segment (“Logistics Services” from 1 January 2021), the calculation of average FTEs (excluding trainees) was revised for two subsidiaries, resulting in the adjustment of the figure for 2018. In the PostBus segment (“Mobility Services” from 1 January 2021), the figures for 2018 have been adjusted due to the classification of the CarPostal France Group as a disposal group held for sale and a discontinued operation.</t>
  </si>
  <si>
    <t>Konzerngesellschaften Schweiz</t>
  </si>
  <si>
    <t>Sociétés du groupe en Suisse</t>
  </si>
  <si>
    <t>società del gruppo Svizzera</t>
  </si>
  <si>
    <t>Swiss subsidiaries</t>
  </si>
  <si>
    <t>8) Da die Betriebsstätten von SPS in Deutschland und Österreich keine eigenständige Rechtsform haben, werden die Mitarbeiter der Betriebsstätten zum Total Arbeitsplätze der Schweiz gerechnet. Die Anpassung erfolgt rückwirkend per 2019.</t>
  </si>
  <si>
    <t>8) Comme les sites de SPS en Allemagne et en Autriche n’ont pas de forme juridique autonome, les collaborateurs des sites d’exploitation sont comptabilisés dans le total des emplois en Suisse. L’adaptation a lieu avec effet rétroactif depuis 2019.</t>
  </si>
  <si>
    <t>8) Dato che i centri d’esercizio di SPS siti in Germania e Austria non hanno forma giuridica autonoma, il personale dei centri d’esercizio rientra nel computo totale degli impieghi in Svizzera. L’adeguamento si applica con effetto retroattivo al 2019.</t>
  </si>
  <si>
    <t>8) As the SPS operating facilities in Germany and Austria do not have an independent legal form, the employees of these operating facilities are included in the total number of jobs in Switzerland. The adjustment will be retroactive from 2019.</t>
  </si>
  <si>
    <t>Ausländisches Arbeitsrecht</t>
  </si>
  <si>
    <t>Droit du travail étranger</t>
  </si>
  <si>
    <t>Diritto del lavoro estero</t>
  </si>
  <si>
    <t>Foreign labour law</t>
  </si>
  <si>
    <t>Anzahl Lieferanten Schweiz</t>
  </si>
  <si>
    <t>Nombre de fournisseurs Suisse</t>
  </si>
  <si>
    <t>Numero di fornitori (Svizzera)</t>
  </si>
  <si>
    <t>Number of suppliers in Switzerland</t>
  </si>
  <si>
    <t>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2021). Schweiz = 100 (definitionsgemäss).</t>
  </si>
  <si>
    <t>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2018). Suisse = 100 (par définition).</t>
  </si>
  <si>
    <t>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2018). Svizzera = 100 (per definizione)</t>
  </si>
  <si>
    <t>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2018). Switzerland = 100 (by definition).</t>
  </si>
  <si>
    <t>Anzahl Lieferanten Ausland</t>
  </si>
  <si>
    <t>Nombre de fournisseurs Etranger</t>
  </si>
  <si>
    <t>Numero di fornitori (estero)</t>
  </si>
  <si>
    <t>Number of suppliers abroad</t>
  </si>
  <si>
    <t>2) Dem Paketpostindex liegen Pakete der Kategorien «PostPac Priority» und «PostPac Economy» der Gewichtsstufen 1 bis 20 kg zugrunde (ohne Zusatzleistungen). Die Pakete werden nach der Häufigkeit gewichtet, wie sie die Schweizer Konsumentinnen und Konsumenten verschicken. Für den Vergleich werden in den einzelnen Ländern die Preise des (ehemaligen) staatlichen Postunternehmens herangezogen (Stichtag: 1. November 2021). Schweiz = 100 (definitionsgemäss).</t>
  </si>
  <si>
    <t>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2018). Suisse = 100 (par définition).</t>
  </si>
  <si>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2018). Svizzera = 100 (per definizione)</t>
  </si>
  <si>
    <t>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2018). Switzerland = 100 (by definition).</t>
  </si>
  <si>
    <t>Beschaffungsvolumen Konzern</t>
  </si>
  <si>
    <t>Volume d'achats du groupe</t>
  </si>
  <si>
    <t>Volumi d'acquisto del gruppo</t>
  </si>
  <si>
    <t>Group procurement volumes</t>
  </si>
  <si>
    <t>3) Vorjahreswerte teilweise angepasst.</t>
  </si>
  <si>
    <t>3) Valeurs de l'exercice précédent partiellement adaptées.</t>
  </si>
  <si>
    <t>3) Valori dell'anno precedente in parte adattati.</t>
  </si>
  <si>
    <t>3) Previous year figures partly adjusted.</t>
  </si>
  <si>
    <t>Privatkunden</t>
  </si>
  <si>
    <t>Clients privés</t>
  </si>
  <si>
    <t>Clienti privati</t>
  </si>
  <si>
    <t>Private customers</t>
  </si>
  <si>
    <t>1) Rechtzeitig beim Empfänger bedeutet bei der A-Post (Priority) am Folgetag und bei der B-Post (Economy) spätestens am dritten Arbeitstag nach Aufgabe.</t>
  </si>
  <si>
    <t>1) Distribué dans les délais au destinataire signifie, pour le courrier A (Priority), le jour ouvrable suivant le dépôt et, pour le courrier B (Economy), au plus tard trois jours ouvrables après le dépôt.</t>
  </si>
  <si>
    <t>1) Gli invii giungono al destinatario puntualmente quando vengono recapitati il giorno successivo nel caso della Posta A (Priority) o entro il terzo giorno lavorativo successivo all'impostazione nel caso della Posta B (Economy).</t>
  </si>
  <si>
    <t>1) Punctual delivery means the next day for A Mail (Priority) and no later than the third working day after mailing for B Mail (Economy).</t>
  </si>
  <si>
    <t>Kleine und mittlere Unternehmen</t>
  </si>
  <si>
    <t>Petites et moyennes entreprises</t>
  </si>
  <si>
    <t>Piccole e medie imprese</t>
  </si>
  <si>
    <t>Small and medium-sized enterprises</t>
  </si>
  <si>
    <t>Freizeitreisende (PostAuto)</t>
  </si>
  <si>
    <t>Voyageurs de loisirs (CarPostal)</t>
  </si>
  <si>
    <t>Turisti (AutoPostale)</t>
  </si>
  <si>
    <t>Leisure travellers (PostBus)</t>
  </si>
  <si>
    <t>Pendler (PostAuto)</t>
  </si>
  <si>
    <t>Clients pendulaires (CarPostal)</t>
  </si>
  <si>
    <t>Pendolari (AutoPostale)</t>
  </si>
  <si>
    <t>Commuters (PostBus)</t>
  </si>
  <si>
    <t>Geschäftskunden</t>
    <phoneticPr fontId="14" type="noConversion"/>
  </si>
  <si>
    <t>Clients commerciaux</t>
  </si>
  <si>
    <t>Clienti commerciali</t>
  </si>
  <si>
    <t>Business customers</t>
  </si>
  <si>
    <t>1) Ab dem Jahr 2012 besteht Swiss Post International nicht mehr als eigenständiges Segment. Die Werte wurden ab dem 1. Januar 2012 auf die Geschäftsbereiche PostMail und PostLogistics überführt. PostMail und PostLogistics wurden ab dem 1.1.2021 im Segment Logistik-Services zusammengeführt.</t>
  </si>
  <si>
    <t>1) Depuis 2012, Swiss Post International ne constitue plus un segment autonome. Les valeurs la concernant ont été répercutées sur les unités d'affaires PostMail et PostLogistics depuis le 1er janvier 2012. PostMail et PostLogistics font partie du segment Services logistiques depuis le 1er janvier 2021.</t>
  </si>
  <si>
    <t>1) Dall’anno 2012 Swiss Post International non è più un segmento a sé stante. Dal 1º gennaio 2012 i valori sono stati trasferiti alle unità PostMail e PostLogistics. Dal 1º gennaio 2021 PostMail e PostLogistics sono comprese nel segmento Servizi logistici.</t>
  </si>
  <si>
    <t>1) As of 2012, Swiss Post International no longer exists as an independent segment. The figures were transferred to the business units PostMail and PostLogistics on 1 January 2012. PostMail and PostLogistics were merged into the Logistics Services segment on 1 January 2021.</t>
  </si>
  <si>
    <t>1) Die Wartezeiten werden vom Geschäftsbereich PostNetz in 290 Filialen mit Hilfe des Ticketsystems erhoben.</t>
  </si>
  <si>
    <t>1) Les temps d'attente sont relevés par l'unité RéseauPostal au moyen du système de tickets dans 290 filiales.</t>
  </si>
  <si>
    <t>1) I tempi di attesa sono rilevati dall'unità RetePostale in 290 filiali con l'ausilio del sistema ticket.</t>
  </si>
  <si>
    <t>1) The waiting times are compiled by the PostalNetwork business unit in 290 branches using data from the ticket system.</t>
  </si>
  <si>
    <t>2) Vorjahreswerte angepasst</t>
  </si>
  <si>
    <t>2) Valeurs de l'exercice précédent ajustées.</t>
  </si>
  <si>
    <t>2) Valori dell'anno precedente adattati.</t>
  </si>
  <si>
    <t>2) Previous year figures adjusted</t>
  </si>
  <si>
    <t xml:space="preserve">2) Aufgrund der Corona Pandemie waren im 2021 die Ticketsysteme in den meisten Filialen während Monaten ausgeschaltet. Eine aussagekräftige Auswertung ist demzufolge nicht möglich. </t>
  </si>
  <si>
    <t xml:space="preserve">2) En raison de la pandémie de COVID-19, les systèmes à tickets ont été désactivés pendant plusieurs mois en 2021 dans la majorité des filiales. Il n’est donc pas possible d’effectuer une analyse représentative. </t>
  </si>
  <si>
    <t xml:space="preserve">2) A causa della pandemia di coronavirus, nel 2021 i sistemi di gestione delle code sono stati disattivati per diversi mesi nella maggior parte delle filiali. Pertanto, non è possibile fornire una valutazione attendibile. </t>
  </si>
  <si>
    <t xml:space="preserve">2) Due to the coronavirus pandemic, the ticketing systems in most branches were deactivated for several months in 2021. This makes a meaningful analysis impossible. </t>
  </si>
  <si>
    <t>3) Das Passivgeschäft umfasst die Entgegennahme von Kundengeldern.</t>
  </si>
  <si>
    <t>3) Les opérations passives comprennent la prise en charge des fonds des clients.</t>
  </si>
  <si>
    <t>3) Le operazioni passive comprendono l'accettazione di depositi della clientela.</t>
  </si>
  <si>
    <t>3) Deposit-taking business comprises the receipt of customer deposits.</t>
  </si>
  <si>
    <t>4) 2013 provisorischer Ist-Wert (Nov. 2013), Vorjahre angepasst infolge Überführung in PostFinance AG Ende Juni 2013.</t>
  </si>
  <si>
    <t>4) Valeur effective 2013 provisoire (novembre 2013); exercices précédents ajustés après le changement de raison sociale en PostFinance SA fin juin 2013.</t>
  </si>
  <si>
    <t>4) Valore effettivo 2013 provvisorio (nov. 2013), anni precedenti adattati in seguito al cambiamento della ragione sociale in PostFinance SA a fine giugno 2013</t>
  </si>
  <si>
    <t>4) 2013 provisional actual figure (Nov. 2013). Previous years adjusted following transfer to PostFinance Ltd at end of June 2013.</t>
  </si>
  <si>
    <t>5) Absoluter Marktanteil, d.h. Umsatzvolumen der PostAuto AG am Marktvolumen (Umsatz)</t>
  </si>
  <si>
    <t>5) Part de marché absolue: chiffre d’affaires de CarPostal SA par rapport au chiffre d’affaires du marché.</t>
  </si>
  <si>
    <t>5) Quota di mercato assoluta, ovvero volume d’affari di AutoPostale SA sul volume di mercato (fatturato)</t>
  </si>
  <si>
    <t>5) Absolute market share, i.e. PostBus Ltd sales volume as percentage of market volume (revenue).</t>
  </si>
  <si>
    <t>6) Zwischen 2010 bis und mit 2013: inkl. Privatkunden unter Hoheit PostNetz</t>
  </si>
  <si>
    <t>6) Entre 2010 à et avec 2013: y compris les clients privés gérés par RéseauPostal.</t>
  </si>
  <si>
    <t>6) Tra il 2010 e il 2013: incl. clienti privati sotto la responsabilità di RetePostale</t>
  </si>
  <si>
    <t>6) Between 2010 an 2013: including private customers under PostNet</t>
  </si>
  <si>
    <t>7) Ab 2014 werden die Mengen TNT nicht mehr in die Marktanteilsberechnung einbezogen, so dass dieser mit den ausgewiesenen Mengen übereinstimmen. Als Vergleichsgrösse wurde das Jahr 2013 zusätzlich aufbereitet. Die Werte 2005 bis 2012 sind nicht vergleichbar.</t>
  </si>
  <si>
    <t>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t>
  </si>
  <si>
    <t>7) Dal 2014 i volumi TNT non sono più considerati nel calcolo della quota di mercato, in modo che quest'ultima coincida con i volumi presentati. Quale valore di confronto si presenta inoltra il 2013. I valori dal 2005 al 2012 non sono confrontabili.</t>
  </si>
  <si>
    <t>7) From 2014 the TNT volumes are no longer included in the market share calculation, so that a match exists with the quantities shown. The year 2013 has additionally been presented for comparison purposes. The figures from 2005 to 2012 are not comparable.</t>
  </si>
  <si>
    <t>8) Die Erhebung des Marktanteils Passivgeschäft von PostFinance wurde ab 1.1.2016 eingestellt.</t>
  </si>
  <si>
    <t>8) Depuis le 1er janvier 2016, la part de marché des opérations passives de PostFinance n'est plus relevée.</t>
  </si>
  <si>
    <t>8) Il rilevamento della quota di mercato operazioni passive di PostFinance è stato soppresso a partire dal 1o gennaio 2016.</t>
  </si>
  <si>
    <t>8) Market share figures for the deposit-taking business at PostFinance have no longer been recorded since 1 January 2016.</t>
  </si>
  <si>
    <t>9) Kommunikations-Services arbeitet per dato nicht mit Marktanteilen.</t>
  </si>
  <si>
    <t>1) Vorjahreswerte teilweise angepasst.</t>
  </si>
  <si>
    <t>1) Valeurs de l'exercice précédent partiellement adaptées.</t>
  </si>
  <si>
    <t>1) Valori dell'anno precedente in parte adattati.</t>
  </si>
  <si>
    <t>1) Previous year figures partly adjusted.</t>
  </si>
  <si>
    <t>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t>
  </si>
  <si>
    <t>1) Traitement le jour prévu: les ordres de paiement écrits sont traités le jour de leur réception par courrier dans l'un des Operations Centers de PostFinance. Les paiements effectués dans les filiales sont traités le jour ouvrable suivant le versement dans une filiale.</t>
  </si>
  <si>
    <t>1) Trattamento puntuale: gli ordini di pagamento scritti vengono elaborati lo stesso giorno in cui giungono per posta a un Operations Center di PostFinance. I pagamenti effettuati a una filiale vengono elaborati il giorno lavorativo consecutivo al versamento alla filiale.</t>
  </si>
  <si>
    <t>1) Timely processing: Written payment orders are processed on the same day they arrive by post at one of PostFinance's Operations Centers. Payments at branches are processed one working day after the inpayment is made at a branch.</t>
  </si>
  <si>
    <t>2) Die Erhebung zur Taggerechten Verarbeitung von Zahlungsbelegen wurde 2018 eingestellt.</t>
  </si>
  <si>
    <t>2) Le relevé du traitement le jour prévu de titres de paiement a été suspendu en 2018.</t>
  </si>
  <si>
    <t>2) Nel 2018 il rilevamento circa il trattamento puntuale di giustificativi di pagamento è stato sospeso.</t>
  </si>
  <si>
    <t>2) Collection of data regarding timely processing of payment slips was discontinued in 2018.</t>
  </si>
  <si>
    <t>1) Im ausgewiesenen Cashflow 2012 - 2021 werden die Veränderungen der Positionen aus Finanzdienstleistungen (PostFinance) berücksichtigt.</t>
  </si>
  <si>
    <t>1) Le cash-flow 2012–2021 tient compte des variations de postes des services financiers (PostFinance).</t>
  </si>
  <si>
    <t>1) Il cash flow 2012–2021 presentato prende ora in considerazione le variazioni delle voci relative ai servizi finanziari (PostFinance).</t>
  </si>
  <si>
    <t>1) The changes in the items from financial services (PostFinance) are reported in the statement of cash flows for 2012 to 2021.</t>
  </si>
  <si>
    <t>2) Vorjahreswerte teilweise angepasst.</t>
  </si>
  <si>
    <t>2) Valeurs de l'exercice précédent partiellement adaptées.</t>
  </si>
  <si>
    <t>2) Valori dell'anno precedente in parte adattati.</t>
  </si>
  <si>
    <t>2) Previous year figures partly adjusted.</t>
  </si>
  <si>
    <t>1) Depuis 2012, Swiss Post International ne constitue plus un segment autonome. Les valeurs la concernant ont été répercutées sur les unités d'affaires PostMail et PostLogistics à partir du 1er janvier 2012. PostMail et PostLogistics font partie du segment Services logistiques depuis le 1er janvier 2021.</t>
  </si>
  <si>
    <t>2) Die Definition der Briefmenge wurde 2021 angepasst. Sie enthält neu auch die Briefmenge des grenzüberschreitenden Verkehrs und wird 2021 erstmals in dieser Form ausgewiesen. Für die Jahre 2017 bis 2020 wurden die Werte rückwirkend ermittelt.</t>
  </si>
  <si>
    <t>2) La définition du volume des lettres a été modifiée en 2021. Ce volume inclut désormais les lettres internationales et est présenté sous cette forme pour la première fois en 2021. Pour les années 2017 à 2020, les valeurs ont été calculées rétroactivement.</t>
  </si>
  <si>
    <t>2) La definizione del volume delle lettere è stata modificata nel 2021. Questo volume include ora anche il volume delle lettere del traffico transfrontaliero ed è stato rendicontato in questo modo per la prima volta nel 2021. I valori relativi agli anni dal 2017 al 2020 sono stati rilevati retroattivamente.</t>
  </si>
  <si>
    <t>2) The definition of letter volumes was modified in 2021. It now also includes letter volumes from cross-border traffic and will be reported for the first time in this form in 2021. For the years 2017 to 2020, the values have been determined retroactively.</t>
  </si>
  <si>
    <t>3) Ab dem Jahr 2012 besteht Swiss Post International nicht mehr als eigenständiges Segment. Die Geschäftstätigkeiten wurden ab dem 1. Januar 2012 auf die Geschäftsbereiche PostMail und PostLogistics überführt. PostMail und PostLogistics wurden ab dem 1.1.2021 im Segment Logistik-Services zusammengeführt. Die Kenngrössen werden weiterhin erhoben.</t>
  </si>
  <si>
    <t>3) Depuis 2012, Swiss Post International ne constitue plus un segment autonome. Ses activités commerciales ont été transférées vers les unités d’affaires PostMail et PostLogistics depuis le 1er janvier 2012. PostMail et PostLogistics font partie du segment Services logistiques depuis le 1er janvier 2021. Les indicateurs continuent d’être relevés.</t>
  </si>
  <si>
    <t>3) Dall’anno 2012 Swiss Post International non è più un segmento a sé stante. Dal 1º gennaio 2012 le attività sono state trasferite alle unità PostMail e PostLogistics. Dal 1º gennaio 2021 PostMail e PostLogistics sono comprese nel segmento Servizi logistici. I parametri continuano a essere rilevati.</t>
  </si>
  <si>
    <t>3) As of 2012, Swiss Post International no longer exists as an independent segment. The business activities were transferred to the business units PostMail and PostLogistics on 1 January 2012. PostMail and PostLogistics were merged into the Logistics Services segment on 1 January 2021. The key figures continue to be calculated.</t>
  </si>
  <si>
    <t>4) Ab 2010 Swiss Express und nur noch Geschäftskunden, bis 2009 Expresssendungen (Swiss Express "Mond")</t>
  </si>
  <si>
    <t>4) Depuis 2010, Swiss-Express et clients commerciaux uniquement; jusqu'en 2009, envois express (Swiss-Express «Lune»).</t>
  </si>
  <si>
    <t>4) Dal 2010 Swiss-Express e solo clienti commerciali, fino al 2009 invii espresso (Swiss-Express «Luna»)</t>
  </si>
  <si>
    <t>4) From 2010 Swiss Express and only business customers, up to 2009 express consignments (Swiss Express “Moon”).</t>
  </si>
  <si>
    <t>6) Die Kennzahl „bearbeitete Vorgänge“ wurde bis im Jahr 2016 „geführte Telefonate“ benannt. Ab 2017 sind die geführten Telefonate Bestandteil der Kennzahl „bearbeitete Vorgänge“.</t>
  </si>
  <si>
    <t>6) Changement d’intitulé du chiffre clé («Communications téléphoniques» jusqu’en 2016). Depuis 2017, le chiffre clé «Cas traités» englobe les communications téléphoniques.</t>
  </si>
  <si>
    <t>6) L’indice "casi trattati“ è stato denominato sino al 2016 "telefonate effettuate". Dal 2017 le telefonate effettuate sono parte integrante dell’indice "casi trattati".</t>
  </si>
  <si>
    <t>6) The key figure “Cases handled” was referred to as “Telephone calls” up to 2016. From 2017 the telephone calls are included in the figure “Cases handled”.</t>
  </si>
  <si>
    <t>7) PostNetz hat 2019 eine erfolgsneutrale Anpassung im Ausweis des Nettoumsatzes aus Verträgen mit Kunden aus Handelswaren und des dazugehörigen Handelswarenaufwands vorgenommen.</t>
  </si>
  <si>
    <t>7) RéseauPostal a modifié, sans effet sur le résultat, la présentation du chiffre d’affaires net reposant sur les contrats conclus avec des clients dans le domaine des biens commercialisés, ainsi que celle des charges liées à ces biens commercialisés.</t>
  </si>
  <si>
    <t>7) Nel 2019 RetePostale ha apportato una modifica alla presentazione del fatturato netto, senza effetto sul risultato, derivante da contratti con clienti per beni commerciali e dei corrispondenti costi per beni commerciali.</t>
  </si>
  <si>
    <t>7) In 2019, PostalNetwork modified the disclosure of net revenue from contracts with customers from resale merchandise and the associated resale merchandise expenses, without affecting profit or loss.</t>
  </si>
  <si>
    <t>8) Die Kundenvermögensentwicklung löst 2019 den Neugeldzufluss als Kennzahl ab.</t>
  </si>
  <si>
    <t>8) En 2019, l’indicateur de l’évolution du patrimoine des clients remplace celui de l’afflux de nouveaux capitaux.</t>
  </si>
  <si>
    <t>8) Nel 2019 l’andamento dei patrimoni dei clienti viene presentato come nuovo indice in sostituzione dell’afflusso di nuovi fondi.</t>
  </si>
  <si>
    <t>8) Growth in customer assets replaced inflow of new money as a key figure in 2019.</t>
  </si>
  <si>
    <t>9) Der Vorjahreswert 2018 wurde angepasst.</t>
  </si>
  <si>
    <t>9) La valeur de l’exercice 2018 a été ajustée.</t>
  </si>
  <si>
    <t>9) Il valore dell’anno precedente (2018) è stato adeguato.</t>
  </si>
  <si>
    <t>9) The previous year’s figure of 2018 has been adjusted.</t>
  </si>
  <si>
    <t>10) Für das Jahr 2019 wurde erstmals eine angepasste Berechnungsbasis und Berechnungsmethodik verwendet. Ein Vergleich mit den Vorjahren ist deshalb nicht möglich.</t>
  </si>
  <si>
    <t>10) Pour 2019, une base et une méthode de calcul modifiées ont été utilisées pour la première fois. Par conséquent, une comparaison avec les années précédentes n’est pas possible.</t>
  </si>
  <si>
    <t>10) Nel 2019 sono stati adottati per la prima volta una base e un sistema di calcolo modificati. Non è possibile pertanto effettuare un confronto con gli anni precedenti.</t>
  </si>
  <si>
    <t>10) A modified calculation basis and method of calculating was used for the first time in 2019. This means that a comparison with previous years is not possible.</t>
  </si>
  <si>
    <t>11) Werte in der Schweiz</t>
  </si>
  <si>
    <t>11) Valeurs en Suisse</t>
  </si>
  <si>
    <t>11) Valori in Svizzera</t>
  </si>
  <si>
    <t>11) Figures in Switzerland.</t>
  </si>
  <si>
    <t>12) Konzern Schweiz</t>
  </si>
  <si>
    <t>12) Groupe Suisse</t>
  </si>
  <si>
    <t>12) Gruppo Svizzera</t>
  </si>
  <si>
    <t>12) Group in Switzerland.</t>
  </si>
  <si>
    <t>13) Neue Berechnungsgrundlage für 2007, Werte nicht vergleichbar mit Vorjahren</t>
  </si>
  <si>
    <t>13) Nouvelle base de calcul pour 2007; les valeurs ne peuvent pas comparées avec celles des exercices précédents.</t>
  </si>
  <si>
    <t>13) Nuove basi di calcolo per il 2007, valori non confrontabili con quelli degli anni precedenti</t>
  </si>
  <si>
    <t>13) New calculation basis for 2007, figures not comparable with prior years.</t>
  </si>
  <si>
    <t>14) Im Jahr 2019 wurde ein neues Servicemodell und eine Vereinfachung des Leistungskatalogs eingeführt. Die Vergleichbarkeit mit den Vorjahreswerten ist eingeschränkt.</t>
  </si>
  <si>
    <t>14)  En 2019, un nouveau modèle de service a été introduit et le catalogue des prestations a été simplifié. La comparaison avec les valeurs de l’exercice précédent est limitée.</t>
  </si>
  <si>
    <t>14) Nel 2019 è stato introdotto un nuovo modello di servizio con una semplificazione del catalogo delle prestazioni. Di conseguenza, i valori sono raffrontabili soltanto in misura limitata con quelli degli anni precedenti.</t>
  </si>
  <si>
    <t>14) A new service model and simplification of the service catalogue was introduced in 2019. Comparability with the previous year’s figures is limited.</t>
  </si>
  <si>
    <t>15) Im Jahr 2019 wurden die Supporteinsätze neu als vor Ort Einsätze Fieldservice-Techniker definiert. Die Vergleichbarkeit mit den Vorjahren ist eingeschränkt.</t>
  </si>
  <si>
    <t>15) En 2019, les services d’assistance ont été redéfinis techniciens de service sur site. La comparaison avec les valeurs des exercices précédents est limitée.</t>
  </si>
  <si>
    <t>15) Nel 2019 gli interventi di assistenza sono stati ridefiniti come interventi in loco dei tecnici del Servizio sul campo. Di conseguenza, il confronto con gli anni precedenti è possibile soltanto in misura limitata.</t>
  </si>
  <si>
    <t>15) Support calls were redefined as on-site interventions by field service technicians in 2019. Comparability with previous years is limited.</t>
  </si>
  <si>
    <t>16) Der Vorjahreswert 2019 wurde angepasst. Bei den Lebensversicherungen wird ab 2020 das gezillmerte Deckungskapital mit dem Rückkaufwert der Lebensversicherungen ersetzt.</t>
  </si>
  <si>
    <t>17) Ab dem Jahr 2020 werden die Fondsvolumen inkl. Drittfonds ausgewiesen.</t>
  </si>
  <si>
    <t>18) Der Vorjahreswert 2019 wurde angepasst. Die Zählsystematik wurde von Anzahl Sendungen auf Anzahl Packstücke umgestellt. Die Werte 2019 und 2020 sind nicht mit den Vorjahreswerten vergleichbar.</t>
  </si>
  <si>
    <t>19) Wert 2019 angepasst.</t>
  </si>
  <si>
    <t>20) Das Segment Kommunikations-Services wurde in 2021 neu gebildet. Daher liegen keine Vorjahresvergleichswerte vor.</t>
  </si>
  <si>
    <t>20) Le segment Services de communication a été créé en 2021, ce qui explique l’absence de valeurs comparatives pour les exercices précédents.</t>
  </si>
  <si>
    <t>20) Il segmento Servizi di comunicazione è stato creato nel 2021. Per questo motivo non vi sono valori comparativi per gli anni precedenti.</t>
  </si>
  <si>
    <t>20) The Communication Services segment was newly created in 2021. As a result, no comparative values for previous years are available.</t>
  </si>
  <si>
    <t>21) Das Segment Mobilitäts-Services wurde 2021 neu gebildet und die PostAuto AG, die Post Company Cars AG und die PubliBike AG in einem Geschäftsbereich zusammengefasst.</t>
  </si>
  <si>
    <t>21) Le segment Services de mobilité a été créé en 2021 et CarPostal SA, Post Company Cars SA et PubliBike SA ont été réunies au sein d’une même unité d’affaires.</t>
  </si>
  <si>
    <t>21) Il segmento Servizi di mobilità è stato creato nel 2021 mentre AutoPostale SA, Post Company Cars SA e PubliBike SA sono stati raggruppate in un’unica unità operativa.</t>
  </si>
  <si>
    <t>21) The Mobility Services segment was newly created in 2021, and PostBus Ltd, Post Company Cars Ltd and PubliBike AG were merged into a single business unit.</t>
  </si>
  <si>
    <t>22) Die Definition wurde ab 2021 angepasst. Die Vorjahreswerte 2020 wurden zwecks Vergleichbarkeit ebenfalls angepasst.</t>
  </si>
  <si>
    <t>22) La définition a changé depuis 2021. Les valeurs de l’exercice 2020 ont également été ajustées pour permettre la comparaison.</t>
  </si>
  <si>
    <t>22) La definizione è stata modificata nel 2021. I valori dell’anno precedente, ovvero del 2020, sono stati parimenti rettificati ai fini della comparabilità.</t>
  </si>
  <si>
    <t>22) The definition was modified in 2021. The previous year’s values for 2020 have likewise been modified for comparability purposes.</t>
  </si>
  <si>
    <t>23) Die Definition der Paketmenge wurde 2021 angepasst. Sie enthält die Anzahl Pakete In-/Ausland ohne Kurier- und Expresssendungen. Die Werte 2017 bis 2020 wurden angepasst.</t>
  </si>
  <si>
    <t>23) La définition du volume des colis a été modifiée en 2021. Ce volume inclut désormais les colis domestiques et internationaux, hors envois coursier et express. Les valeurs de 2017 à 2020 ont été ajustées en conséquence.</t>
  </si>
  <si>
    <t>23) La definizione del volume dei pacchi è stata modificata nel 2021. Tale valore comprende ora il numero di pacchi Svizzera/estero esclusi gli invii per corriere e gli invii espresso. I valori dal 2017 al 2020 sono stati rettificati.</t>
  </si>
  <si>
    <t>23) The definition of parcel volumes was modified in 2021. It includes the number of domestic/international parcels excluding Courier and Express consignments. The figures for 2017 to 2020 have been adjusted.</t>
  </si>
  <si>
    <t>24) Ab 2018 inkl. SameDay-Sendungen von notime</t>
  </si>
  <si>
    <t>24) Envois SameDay de notime inclus à partir de 2018.</t>
  </si>
  <si>
    <t>24) Dal 2018 incl. gli invii SameDay di notime</t>
  </si>
  <si>
    <t>24) As of 2018, SameDay consignments from notime are included.</t>
  </si>
  <si>
    <t>25) Kategorie im 2021 hinzugefügt und für die Jahre ab 2019 nacherfasst</t>
  </si>
  <si>
    <t>25) Catégorie ajoutée en 2021 et saisie pour les années à partir de 2019.</t>
  </si>
  <si>
    <t>25) Categoria introdotta nel 2021 e registrata a posteriori per gli anni dal 2019</t>
  </si>
  <si>
    <t>25) Category added in 2021 and entered retroactively for 2019 onwards.</t>
  </si>
  <si>
    <t xml:space="preserve">26) Das Segment Logistik-Services ist seit dem 1.1.2021 operativ. Die bisherigen Segmente PostMail und PostLogistics wurden in diesem neuen Segment zusammengeführt. </t>
  </si>
  <si>
    <t xml:space="preserve">26) Le segment Services logistiques est opérationnel depuis le 1er janvier 2021. Ce nouveau segment réunit les anciens segments PostMail et PostLogistics. </t>
  </si>
  <si>
    <t xml:space="preserve">26) Il segmento Servizi logistici è operativo dal 1º gennaio 2021. I precedenti segmenti, PostMail e PostLogistics, sono stati accorpati in questo nuovo segmento. </t>
  </si>
  <si>
    <t xml:space="preserve">26) The Logistics Services segment has been operational since 1 January 2021. The previous segments, PostMail and PostLogistics, have been merged into this new segment. </t>
  </si>
  <si>
    <t>27) Die Werte 2018 bis 2020 wurden angepasst. Die Vergleichbarkeit mit den Vorjahreswerten 2017 und früher ist eingeschränkt.</t>
  </si>
  <si>
    <t>27) Les valeurs de 2018 à 2020 ont été ajustées. La comparaison avec les valeurs de 2017 et des années antérieures est limitée.</t>
  </si>
  <si>
    <t>27) I valori dal 2018 al 2020 sono stati rettificati. Di conseguenza, i valori sono raffrontabili soltanto in misura limitata con quelli del 2017 e degli anni precedenti.</t>
  </si>
  <si>
    <t>27) The figures for 2018 to 2020 have been adjusted. Comparability with the figures for the previous years 2017 and earlier is limited.</t>
  </si>
  <si>
    <t>1) Escluso il personale in formazione.</t>
  </si>
  <si>
    <t>3) Valori medi annuali</t>
  </si>
  <si>
    <t>3) Annual averages</t>
  </si>
  <si>
    <t>4) Im Segment PostMail (ab dem 1.1.2021 neu im Segment Logistik-Services enthalten) wurde bei zwei Tochtergesellschaften die Berechnung des Durchschnittbestands auf Vollzeitstellen (ohne Lernpersonal) überarbeitet, was zur Anpassung des Werts 2018 führte. Im Segment PostAuto (ab dem 1.2021 neu im Segement Mobilitäts-Services enthalten) wurde das Jahr 2018 aufgrund der Klassifizierung der CarPostal-France-Gruppe als zur Veräusserung gehaltene Abgangsgruppe und aufgegebener Geschäftsbereich angepasst.</t>
  </si>
  <si>
    <t>4) Dans le segment PostMail (désormais rattaché au segment Services logistiques depuis le 1er janvier 2021), le calcul de l’effectif moyen en équivalents plein temps (hors apprentis) de deux filiales a été remanié, ce qui a entraîné l’ajustement de la valeur de 2018. Dans le segment CarPostal (désormais rattaché au segment Services de mobilité depuis le 1er janvier 2021), la valeur de 2018 a été ajustée suite à la classification du groupe CarPostal France comme groupe sortant détenu en vue de la vente et activité abandonnée.</t>
  </si>
  <si>
    <t>4) Nel segmento PostMail (compreso nel segmento Servizi logistici dal 1º gennaio 2021) il calcolo dell’organico medio di due società affiliate in impieghi a tempo pieno (escluso il personale in formazione) è stato modificato con un conseguente adeguamento del valore relativo al 2018. Nel segmento AutoPostale (compreso nel segmento Servizi di mobilità dal 1º gennaio 2021) il 2018 è stato adattato per tenere conto della classificazione del gruppo CarPostal France come gruppo alienabile disponibile per la vendita e attività operativa cessata.</t>
  </si>
  <si>
    <t>4) In the PostMail segment (part of the “Logistics Services” segment from 1 January 2021), the calculation of average FTEs (excluding trainees) was revised for two subsidiaries, resulting in the adjustment of the figure for 2018. In the PostBus segment (part of the “Mobility Services” segment from 1 January 2021), the figures for 2018 have been adjusted due to the classification of the CarPostal France Group as a disposal group held for sale and a discontinued operation.</t>
  </si>
  <si>
    <t xml:space="preserve">5) Der Personalbestand enthält auch die Werte des Segments Swiss Post Solutions, das ab Mitte Dezember 2021 zur Veräusserung bestimmt ist. Der Personalbestand in Personaleinheiten exkl. SPS beträgt im Geschäftsjahr 2021 33'207 (VJ: 32'696). Der Personalbestand in Personaleinheiten im Ausland ohne SPS beträgt im GJ 2021 400 (VJ: 215). Die Anzahl Mitarbeiter im Konzern exkl. SPS beträgt im Jahr 2021 46'944 (VJ: 47'254). Die Anzahl Mitarbeiter im Konzern im Ausland exkl. SPS beträgt im Jahr 2021 429 (VJ: 240). </t>
  </si>
  <si>
    <t xml:space="preserve">5) L’effectif intègre également les valeurs du segment Swiss Post Solutions qui a été classé comme destiné à la vente depuis mi-décembre 2021. L’effectif des unités de personnel (hors SPS) s’élève à 33 207 pour l’exercice 2021 (ex. préc.: 32 696). L’effectif des unités de personnel à l’étranger (hors SPS) s’élève à 400 pour l’exercice 2021 (ex. préc.: 215). Le nombre de collaborateurs du groupe (hors SPS) s’élève à 46 944 pour l’année 2021 (ex. préc.: 47 254). Le nombre de collaborateurs du groupe à l’étranger (hors SPS) s’élève à 429 pour l’année 2021 (ex. préc.: 240). </t>
  </si>
  <si>
    <t xml:space="preserve">5) L’organico comprende anche i valori del segmento Swiss Post Solutions, che a metà dicembre 2021 si è deciso di destinare all’alienazione. Nell’anno d’esercizio 2021 l’organico, escl. SPS, si attesta a 33’207 unità di personale (anno precedente: 32’696). Nell’anno d’esercizio 2021 l’organico all’estero, escl. SPS, si attesta a 400 unità di personale (anno precedente: 215). Nel 2021 il numero di collaboratrici e collaboratori del gruppo, escl. SPS, ammonta a 46’944 (anno precedente: 47’254). Nel 2021 il numero di collaboratrici e collaboratori del gruppo all’estero, escl. SPS, ammonta a 429 (anno precedente: 240). </t>
  </si>
  <si>
    <t xml:space="preserve">5) The headcount also includes the values for the Swiss Post Solutions segment, which was earmarked for sale from mid-December 2021. The headcount in full-time equivalents excluding SPS stands at 33,207 in the 2021 financial year (previous year: 32,696). The headcount in full-time equivalents abroad excluding SPS stands at 400 in the 2021 financial year (previous year: 215). The number of Group staff excluding SPS stands at 46,944 in 2021 (previous year: 47,254). The number of Group staff abroad excluding SPS stands at 429 in 2021 (previous year: 240). </t>
  </si>
  <si>
    <t>6) Die Segmente Logistik-Services, Kommunikations-Services und Mobilitäts-Services wurden per 1.1.2021 neu gebildet. Funktionen und Management wurde ebenfalls neu gebildet (bis 2020 als Übrige bezeichnet). Für die Vorjahreswerte 2019 und früher bestehen keine Vergleichswerte.</t>
  </si>
  <si>
    <t>6) Les segments Services logistiques, Services de communication et Services de mobilité existent depuis le 1er janvier 2021. Les fonctions et le management ont également été nouvellement créés (désignés comme autres jusqu’en 2020). Il n’existe aucune valeur de comparaison pour les exercices de 2019 et antérieurs.</t>
  </si>
  <si>
    <t>6) I segmenti Servizi logistici, Servizi di comunicazione e Servizi di mobilità sono stati creati il 1º gennaio 2021, come anche Funzioni e management (che assumeva la designazione di «Altro» fino al 2020). Non sussistono valori comparativi per i valori dell’anno precedente relativi al 2019 e agli esercizi precedenti.</t>
  </si>
  <si>
    <t>6) The Logistics Services, Communication Services and Mobility Services segments were newly created on 1 January 2021. “Functions and management” was also newly created (reported as “Other” until 2020). No comparative values are available for the previous years 2019 and earlier.</t>
  </si>
  <si>
    <t>4) Kader sind Mitarbeitende mit Leitungs-, Spezialisten- und höheren Sachbearbeitungsfunktionen.</t>
  </si>
  <si>
    <t>4) Les cadres sont des collaborateurs qui exercent des fonctions de direction ou de spécialistes ou d'autres fonctions supérieures.</t>
  </si>
  <si>
    <t>4) I quadri sono collaboratori con funzioni direttive, specialistiche o altamente qualificate.</t>
  </si>
  <si>
    <t>4) Members of management are employees with managerial, specialist and higher-level technical/clerical roles.</t>
  </si>
  <si>
    <t>3) Eine Personaleinheit entspricht einer Vollzeitstelle.</t>
  </si>
  <si>
    <t>3) Un'unità di personale corrisponde a un impiego a tempo pieno.</t>
  </si>
  <si>
    <t>3) A full-time equivalent equates to one full-time position.</t>
  </si>
  <si>
    <t>4) Im Segment PostMail (ab dem 1.1.2021 neu im Segment Logistik-Services enthalten) wurde bei zwei Tochtergesellschaften die Berechnung des Durchschnittbestands auf Vollzeitstellen (ohne Lernpersonal) überarbeitet, was zur Anpassung des Werts 2018 führte. Im Segment PostAuto (ab dem 1.1.2021 neu im Segment Mobilitäts-Services enthalten) wurde das Jahr 2018 aufgrund der Klassifizierung der CarPostal-France-Gruppe als zur Veräusserung gehaltene Abgangsgruppe und aufgegebener Geschäftsbereich angepasst.</t>
  </si>
  <si>
    <t>5) PostAuto AG, PostFinance AG, Swiss Post Solutions AG, SecurePost AG, Post Immobilien Management und Services AG, Post Company Cars AG, Presto Presse-Vertriebs AG</t>
  </si>
  <si>
    <t>5) CarPostal SA, PostFinance SA, Swiss Post Solutions SA, SecurePost SA, Poste Immobilier Management et Services SA, Post Company Cars SA, Presto Presse-Vertriebs AG.</t>
  </si>
  <si>
    <t>5) AutoPostale SA, PostFinance SA, Swiss Post Solutions SA, SecurePost SA, Posta Immobili Management e Servizi SA, Post Company Cars SA, Presto Presse-Vertriebs AG</t>
  </si>
  <si>
    <t>5) PostBus Ltd, PostFinance Ltd, Swiss Post Solutions Ltd, SecurePost Ltd, Post Real Estate Management and Services Ltd, Post Company Cars Ltd, Presto Presse-Vertriebs AG.</t>
  </si>
  <si>
    <t>6) Anlässlich der Berichterstattung fürs Jahr 2013 wurden die entsprechenden Zahlen rückwirkend bis 2010 korrigiert, da die Presto Presse-Vertriebs AG bislang unter GAV Aushilfen ausgewiesen wurde.</t>
  </si>
  <si>
    <t>6) Pour le rapport de l'exercice 2013, les chiffres correspondants ont été corrigés rétroactivement jusqu'en 2010, car Presto Presse-Vertriebs AG figurait jusqu'alors sous CCT Auxiliaires.</t>
  </si>
  <si>
    <t>6) In occasione del rapporto per l'anno 2013 le cifre corrispondenti sono state corrette retroattivamente fino al 2010 in quanto Presto Presse-Vertriebs AG figurava nel CCL per personale ausiliario fino a tale data.</t>
  </si>
  <si>
    <t>6) For the 2013 annual reporting, the corresponding figures were corrected with retroactive effect to 2010 as Presto Presse-Vertriebs AG was previously reported under CEC, auxiliary staff.</t>
  </si>
  <si>
    <t>7) Post CH AG ohne in- und ausländische Konzerngesellschaften</t>
  </si>
  <si>
    <t>7) Poste CH SA sans les sociétés du groupe en Suisse et à l'étranger.</t>
  </si>
  <si>
    <t>7) Posta CH SA senza le società del gruppo in Svizzera e all'estero</t>
  </si>
  <si>
    <t>7) Post CH Ltd excluding domestic and foreign subsidiaries</t>
  </si>
  <si>
    <t>8) PostFinance AG inkl. Debitoren Service AG und Twint AG</t>
  </si>
  <si>
    <t>8) PostFinance SA, y compris Débiteurs Services SA et Twint SA.</t>
  </si>
  <si>
    <t>8) PostFinance SA incl. Servizi debitori SA e TWINT AG.</t>
  </si>
  <si>
    <t>8) PostFinance Ltd including Debtors Service Ltd and TWINT Ltd.</t>
  </si>
  <si>
    <t>9)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t>
  </si>
  <si>
    <t>9) Groupe Suisse: données du systèmes du personnel, actuellement sans données sur 1076 unités du personnel ou 5551 personnes des sociétés du groupe Botec Boncourt S.A., Bluesped Logistics Sàrl, Epsilon SA, Direct Mail Company AG, PubliBike SA, Destinas AG, KLARA Business SA, Relatra AG, BPS Speditions-Service AG, Arlesheim, BPS Speditions-Service AG, Pfungen, Walli-Trans AG, ASMIQ AG, notime AG, notime (Suisse) SA, Dialog Verwaltungs-Data AG, SwissSign Group SA, SwissSign AG, Tresorit AG, Bring! Labs AG, Livesystems Group AG, Livesystems AG, Livesystems dooh AG, Iemoli Trasporti SA, InTraLog Hermes AG, InTraLog Overseas AG, Otto Schmidt AG et Steriplus AG.</t>
  </si>
  <si>
    <t>9) Gruppo Svizzera: dati desunti dal sistema del personale, attualmente senza dati su circa 1076 unità di personale, ovvero circa 5551 persone delle società del gruppo Botec Boncourt S.A., BLUESPED LOGISTICS Sàrl, Epsilon SA, Direct Mail Company AG, PubliBike SA, DESTINAS AG, KLARA Business SA, Relatra AG, BPS Speditions-Service AG, Arlesheim, BPS Speditions-Service AG, Pfungen, Walli-Trans AG, ASMIQ AG, notime AG, notime (Schweiz) AG, DIALOG VERWALTUNGS-DATA AG, SwissSign Group AG, SwissSign AG, Tresorit AG, Bring! Labs AG, Livesystems Group SA, Livesystems dooh SA, Iemoli Trasporti SA, InTraLog Hermes AG, InTraLog Overseas AG, Otto Schmidt SA e Steriplus AG.</t>
  </si>
  <si>
    <t>9) Switzerland Group: data from the human resources system, currently excluding data on 1,076 full-time equivalents or 5,551 persons from the subsidiaries Botec Boncourt S.A., BLUESPED LOGISTICS Sàrl, Epsilon SA, Direct Mail Company AG, PubliBike AG, DESTINAS AG, KLARA Business Ltd, Relatra AG, BPS Speditions-Service AG, Arlesheim, BPS Speditions-Service AG, Pfungen, Walli-Trans AG, ASMIQ AG, notime AG, notime (Schweiz) AG, Dialog Verwaltungs-Data AG, SwissSign Group Ltd, SwissSign AG, Tresorit AG, Bring! Labs AG, Livesystems Group AG, Livesystems AG, Livesystems dooh AG, Iemoli Trasporti SA, InTraLog Hermes AG, InTraLog Overseas AG, Otto Schmidt Ltd and Steriplus AG.</t>
  </si>
  <si>
    <t>1) Die Werte ab 1.1.2016 entsprechen dem beschaffungsrelevanten Rechnungsvolumen mit externen Kreditoren (ohne Steuern, Zölle, SUVA, Pensionskasse, sonstige Vorsorge, öffentliche Gebühren, Durchlaufposten, CPD-Sammelkonten, usw.).</t>
  </si>
  <si>
    <t>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t>
  </si>
  <si>
    <t>1)  I valori dal 1o gennaio 2016 corrispondono al volume di fatturazione per gli acquisti con i clienti esterni (senza imposte, dazi doganali, SUVA, cassa pensioni, altra previdenza, tasse pubbliche, partite transitorie di giro, conti collettivi per conti occasionali ecc.).</t>
  </si>
  <si>
    <t>1) The figures from 1 January 2016 include procurement-related invoicing volumes with external creditors (excluding taxes, customs duties, SUVA, pension fund, other employee benefits, public fees, transitory items, CPD collective accounts, etc.).</t>
  </si>
  <si>
    <t>2) Der vermehrte Einsatz von standardisierten Kreditorencordes (MDG-S) führte ab 2019 zur geringeren Anzahl beschaffungsrelevanter Lieferanten.</t>
  </si>
  <si>
    <t>2) L’utilisation accrue de codes créditeurs (MDG-S) a eu pour effet à partir de 2019 une baisse du nombre des fournisseurs pertinents pour les achats.</t>
  </si>
  <si>
    <t>2) Il maggiore ricorso a codici creditori standardizzati (MDG-S) si è tradotto a partire dal 2019 in un numero inferiore di fornitori rilevanti a livello di acquisti.</t>
  </si>
  <si>
    <t>2) The increased use of standardized accounts payable codes (MDG-S) resulted in a lower number of procurement-relevant suppliers from 2019.</t>
  </si>
  <si>
    <t>1) Mit der Kundenzufriedenheitsmessung werden die Kundinnen und Kunden jährlich über ihre Zufriedenheit mit den Dienstleistungen der Post befragt. Die Resultate wurden bis 31.12.2015 in einem durchschnittlichen Indexwert aus Erwartungserfüllung, Nähe zum idealen Dienstleister und Gesamtzufriedenheit abgebildet. Ab 1.1.2016 wird der Indexwert der Gesamtzufriedenheit ausgewiesen.</t>
  </si>
  <si>
    <t>1) La satisfaction des clients vis-à-vis des prestations de la Poste est mesurée chaque année au moyen d’une enquête ad hoc. Jusqu’au 31.12.2015, les résultats de cette enquête étaient présentés sous la forme d’une valeur d’indices moyenne exprimant la satisfaction des attentes, la proximité avec le prestataire idéal et la satisfaction globale. Depuis le 1.1.2016, la valeur d’indice correspond à la satisfaction globale.</t>
  </si>
  <si>
    <t xml:space="preserve">1) Il rilevamento della soddisfazione della clientela analizza ogni anno qual è il grado di soddisfazione dei clienti nei confronti dei servizi della Posta. Fino al 31 dicembre 2015 i risultati sono stati rappresentati in un valore indicizzato medio formato da Soddisfazione delle aspettative, Vicinanza all’ideale e Soddisfazione complessiva. Dall’1º gennaio 2016 viene rappresentato l’indice della Soddisfazione complessiva. </t>
  </si>
  <si>
    <t>1) The customer satisfaction survey rates customers’ satisfaction with Swiss Post services on an annual basis. Until 31.12.2015, the results were stated as an average index figure based on fulfilment of expectations, proximity to the ideal service provider and overall satisfaction. From 1.1.2016, the index figure of overall satisfaction will be stated.</t>
  </si>
  <si>
    <t>2) Seit 2019 befragt PostNetz seine Kundinnen und Kunden nur noch online. Der Vorjahreswert 2018 wurde zur besseren Vergleichbarkeit angepasst. Die Werte vor 2018 sind nicht vergleichbar.</t>
  </si>
  <si>
    <t>2) Depuis 2019, RéseauPostal réalise son enquête auprès de la clientèle uniquement en ligne. La valeur de l’exercice 2018 a été ajustée à des fins de comparabilité. Les valeurs antérieures à 2018 ne sont pas comparables.</t>
  </si>
  <si>
    <t>2) Dal 2019 RetePostale effettua con i suoi clienti solo sondaggi online. Il valore dell’anno precedente (2018) è stato adattato per una migliore comparabilità. I valori precedenti al 2018 non sono raffrontabili.</t>
  </si>
  <si>
    <t>2) Since 2019 PostalNetwork has only conducted its customer survey online. The prior-year figure for 2018 was modified for better comparability. The figures before 2018 are not comparable.</t>
  </si>
  <si>
    <t>3) Aufgrund einer neuen Erhebungsmethode 2018 kann hier kein zum Vorjahr vergleichbarer Wert ausgewiesen werden.</t>
  </si>
  <si>
    <t>3) En raison de l'introduction d'une nouvelle méthode de relevé en 2018, aucune valeur offrant une base de comparaison avec l'année antérieure ne peut être proposée.</t>
  </si>
  <si>
    <t>3) A causa dell’introduzione nel 2018 di un nuovo metodo di rilevamento non è possibile indicare un valore comparabile con quello dell'anno precedente.</t>
  </si>
  <si>
    <t>3) Due to a new survey method, a figure comparable to that of the previous year cannot be given here.</t>
  </si>
  <si>
    <t>4) Aufgrund von Änderungen in der Stichprobenziehung sind die Resultate des Jahres 2015 nicht mit jenen der Vorjahre vergleichbar.</t>
  </si>
  <si>
    <t>4) Le tirage au sort de l'échantillon ayant été modifié; les résultats de 2015 ne peuvent donc pas être comparés avec ceux des années précédentes.</t>
  </si>
  <si>
    <t>4) A causa di variazioni nel campionamento, i risultati del 2015 non sono confrontabili con quelli degli anni precedenti.</t>
  </si>
  <si>
    <t>4) The 2015 results are not comparable with those of previous years due to changes in the sampling procedure.</t>
  </si>
  <si>
    <t>5)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</si>
  <si>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5)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t>
  </si>
  <si>
    <t>5)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</si>
  <si>
    <t>5)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t>
  </si>
  <si>
    <t>6) Kommunikations-Services erfasst die Kundenzufriedenheit noch nicht systematisch.</t>
  </si>
  <si>
    <t>6) Services de communication ne saisit pas encore systématiquement la satisfaction de la clientèle.</t>
  </si>
  <si>
    <t>6) Servizi di comunicazione non rileva ancora sistematicamente la soddisfazione dei clienti.</t>
  </si>
  <si>
    <t>6) Communication Services does not yet systematically record customer satisfaction.</t>
  </si>
  <si>
    <t xml:space="preserve">7) Aufgrund einer Änderung in der Stichprobenzusammensetzung lassen sich ab 2021 die beiden Kundentypen Freizeitreisende und Pendler nicht mehr unterscheiden, es wird nur noch ein Wert PostAuto ausgewiesen. Kein Vergleich zum Vorjahr möglich. </t>
  </si>
  <si>
    <t xml:space="preserve">7) En raison d’une modification de la composition des échantillons, il n’est plus possible depuis 2021 de faire la distinction entre les deux types de clients, à savoir les voyageurs de loisirs et les pendulaires. Une seule valeur CarPostal est désormais recensée. Aucune comparaison n’est possible avec l’année précédente. </t>
  </si>
  <si>
    <t xml:space="preserve">7) A causa di una modifica nella composizione dei campioni, dal 2021 non si possono più distinguere le due tipologie di clienti, ovvero turisti e pendolari, e per AutoPostale viene riportato un solo valore. Non è possibile alcun confronto con l’anno precedente. </t>
  </si>
  <si>
    <t xml:space="preserve">7) Due to a change in the sample composition, the two customer types “Leisure travellers” and “Commuters” can no longer be differentiated from each other from 2021; only one figure for PostBus is reported. No comparison with the previous year possible. </t>
  </si>
  <si>
    <t xml:space="preserve">8) Das Segment Logistik-Services ist seit dem 1.1.2021 operativ. Die bisherigen Segmente PostMail und PostLogistics wurden in diesem neuen Segment zusammengeführt. </t>
  </si>
  <si>
    <t xml:space="preserve">8) Le segment Services logistiques est opérationnel depuis le 1er janvier 2021. Ce nouveau segment réunit les anciens segments PostMail et PostLogistics. </t>
  </si>
  <si>
    <t xml:space="preserve">8) Il segmento Servizi logistici è operativo dal 1º gennaio 2021. I precedenti segmenti, PostMail e PostLogistics, sono stati accorpati in questo nuovo segmento. </t>
  </si>
  <si>
    <t xml:space="preserve">8) The Logistics Services segment has been operational since 1 January 2021. The previous segments, PostMail and PostLogistics, have been merged into this new segment. </t>
  </si>
  <si>
    <t>19) Valeur de 2019 ajustée.</t>
  </si>
  <si>
    <t>19) Valore 2019 adattato.</t>
  </si>
  <si>
    <t>19) 2019 figure adjusted</t>
  </si>
  <si>
    <t>9) À ce jour, Services de communication ne travaille pas avec des parts de marché.</t>
  </si>
  <si>
    <t>9) Ad oggi Servizi di comunicazione non opera con quote di mercato.</t>
  </si>
  <si>
    <t>9) Communication Services does not currently work with market shares.</t>
  </si>
  <si>
    <t xml:space="preserve">Chaîne d'approvisionnement </t>
  </si>
  <si>
    <t>1) Pas de modifications rétroactives, car la valeur ajoutée, les produits d’exploitation et les postes de travail ne sont pas modifiés rétroactivement (p. ex. lors d’acquisitions)</t>
  </si>
  <si>
    <t>1) Keine rückwirkenden Änderungen, da Wertschöpfung, Betriebsertrag und Arbeitsplätze nicht rückwirkend geändert werden (z.B. bei Akquisitionen)</t>
  </si>
  <si>
    <t>1) No retroactive changes, as value creation, operating income and jobs are not changed retroactively (e.g. in the event of acquisitions)</t>
  </si>
  <si>
    <t>1) Nessuna modifica con effetto retroattivo in quanto creazione di valore, ricavi d’esercizio e posti di lavoro non subiscono modifiche retroattive (ad es. in caso di acquisizioni)</t>
  </si>
  <si>
    <t>Mix energetico per l’azionamento dei veicoli</t>
  </si>
  <si>
    <t>Mix énergétique pour la propulsion du véhicule</t>
  </si>
  <si>
    <t>Energy mix for vehicle propulsion</t>
  </si>
  <si>
    <t>102 – Divulgations générales</t>
  </si>
  <si>
    <t>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</si>
</sst>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 #,##0_ ;_ * \-#,##0_ ;_ * &quot;-&quot;??_ ;_ @_ "/>
    <numFmt numFmtId="165" formatCode="0.0"/>
    <numFmt numFmtId="166" formatCode="_ * #,##0.0_ ;_ * \-#,##0.0_ ;_ * &quot;-&quot;??_ ;_ @_ "/>
    <numFmt numFmtId="167" formatCode="#,##0.0"/>
    <numFmt numFmtId="168" formatCode="0.000"/>
    <numFmt numFmtId="169" formatCode="0.000000000"/>
    <numFmt numFmtId="170" formatCode="0.00000000000"/>
  </numFmts>
  <fonts count="61" x14ac:knownFonts="1">
    <font>
      <sz val="10"/>
      <color theme="1"/>
      <name val="Frutiger 45 Light"/>
      <family val="2"/>
    </font>
    <font>
      <sz val="10"/>
      <color theme="1"/>
      <name val="Frutiger 45 Light"/>
      <family val="2"/>
    </font>
    <font>
      <b/>
      <sz val="10"/>
      <color theme="0"/>
      <name val="Frutiger 45 Light"/>
      <family val="2"/>
    </font>
    <font>
      <b/>
      <sz val="10"/>
      <color theme="1"/>
      <name val="Frutiger 45 Light"/>
      <family val="2"/>
    </font>
    <font>
      <sz val="10"/>
      <color theme="0"/>
      <name val="Frutiger 45 Light"/>
      <family val="2"/>
    </font>
    <font>
      <sz val="16"/>
      <color theme="1"/>
      <name val="Frutiger 45 Light"/>
      <family val="2"/>
    </font>
    <font>
      <b/>
      <sz val="16"/>
      <color theme="1"/>
      <name val="Frutiger 45 Light"/>
      <family val="2"/>
    </font>
    <font>
      <b/>
      <sz val="16"/>
      <color theme="0"/>
      <name val="Frutiger 45 Light"/>
      <family val="2"/>
    </font>
    <font>
      <sz val="16"/>
      <color theme="0"/>
      <name val="Frutiger 45 Light"/>
      <family val="2"/>
    </font>
    <font>
      <u/>
      <sz val="10"/>
      <color theme="10"/>
      <name val="Frutiger 45 Light"/>
      <family val="2"/>
    </font>
    <font>
      <b/>
      <sz val="9"/>
      <color theme="0"/>
      <name val="Frutiger 45 Light"/>
      <family val="2"/>
    </font>
    <font>
      <sz val="9"/>
      <color theme="0"/>
      <name val="Frutiger 45 Light"/>
      <family val="2"/>
    </font>
    <font>
      <b/>
      <sz val="10"/>
      <name val="Frutiger 45 Light"/>
      <family val="2"/>
    </font>
    <font>
      <b/>
      <vertAlign val="superscript"/>
      <sz val="10"/>
      <name val="Frutiger 45 Light"/>
      <family val="2"/>
    </font>
    <font>
      <sz val="10"/>
      <name val="Frutiger 45 Light"/>
      <family val="2"/>
    </font>
    <font>
      <vertAlign val="superscript"/>
      <sz val="10"/>
      <name val="Frutiger 45 Light"/>
      <family val="2"/>
    </font>
    <font>
      <sz val="10"/>
      <color indexed="8"/>
      <name val="Frutiger 45 Light"/>
      <family val="2"/>
    </font>
    <font>
      <b/>
      <sz val="10"/>
      <color rgb="FFC00000"/>
      <name val="Frutiger 45 Light"/>
      <family val="2"/>
    </font>
    <font>
      <sz val="10"/>
      <color theme="10"/>
      <name val="Frutiger 45 Light"/>
      <family val="2"/>
    </font>
    <font>
      <sz val="8"/>
      <color theme="1"/>
      <name val="Frutiger 45 Light"/>
      <family val="2"/>
    </font>
    <font>
      <sz val="8"/>
      <name val="Frutiger 45 Light"/>
      <family val="2"/>
    </font>
    <font>
      <b/>
      <sz val="16"/>
      <name val="Frutiger 45 Light"/>
      <family val="2"/>
    </font>
    <font>
      <sz val="16"/>
      <name val="Frutiger 45 Light"/>
      <family val="2"/>
    </font>
    <font>
      <b/>
      <strike/>
      <sz val="10"/>
      <name val="Frutiger 45 Light"/>
      <family val="2"/>
    </font>
    <font>
      <strike/>
      <sz val="10"/>
      <name val="Frutiger 45 Light"/>
      <family val="2"/>
    </font>
    <font>
      <vertAlign val="subscript"/>
      <sz val="10"/>
      <color theme="1"/>
      <name val="Frutiger 45 Light"/>
      <family val="2"/>
    </font>
    <font>
      <b/>
      <sz val="10"/>
      <color theme="1"/>
      <name val="Wingdings 3"/>
      <family val="1"/>
      <charset val="2"/>
    </font>
    <font>
      <b/>
      <sz val="10"/>
      <name val="Wingdings 3"/>
      <family val="1"/>
      <charset val="2"/>
    </font>
    <font>
      <u/>
      <sz val="10"/>
      <color theme="10"/>
      <name val="Wingdings 3"/>
      <family val="1"/>
      <charset val="2"/>
    </font>
    <font>
      <u/>
      <sz val="10"/>
      <name val="Wingdings 3"/>
      <family val="1"/>
      <charset val="2"/>
    </font>
    <font>
      <sz val="10"/>
      <name val="Wingdings 3"/>
      <family val="1"/>
      <charset val="2"/>
    </font>
    <font>
      <b/>
      <sz val="16"/>
      <name val="Wingdings 3"/>
      <family val="1"/>
      <charset val="2"/>
    </font>
    <font>
      <sz val="16"/>
      <name val="Wingdings 3"/>
      <family val="1"/>
      <charset val="2"/>
    </font>
    <font>
      <b/>
      <u/>
      <sz val="16"/>
      <name val="Wingdings 3"/>
      <family val="1"/>
      <charset val="2"/>
    </font>
    <font>
      <u/>
      <sz val="16"/>
      <name val="Wingdings 3"/>
      <family val="1"/>
      <charset val="2"/>
    </font>
    <font>
      <b/>
      <u/>
      <sz val="10"/>
      <name val="Wingdings 3"/>
      <family val="1"/>
      <charset val="2"/>
    </font>
    <font>
      <b/>
      <sz val="16"/>
      <color theme="1"/>
      <name val="Wingdings 3"/>
      <family val="1"/>
      <charset val="2"/>
    </font>
    <font>
      <sz val="16"/>
      <color theme="1"/>
      <name val="Wingdings 3"/>
      <family val="1"/>
      <charset val="2"/>
    </font>
    <font>
      <sz val="10"/>
      <color theme="1"/>
      <name val="Wingdings 3"/>
      <family val="1"/>
      <charset val="2"/>
    </font>
    <font>
      <b/>
      <u/>
      <sz val="10"/>
      <color theme="10"/>
      <name val="Frutiger 45 Light"/>
      <family val="2"/>
    </font>
    <font>
      <b/>
      <sz val="11"/>
      <color theme="10"/>
      <name val="Frutiger 45 Light"/>
      <family val="2"/>
    </font>
    <font>
      <b/>
      <sz val="11"/>
      <name val="Frutiger 45 Light"/>
      <family val="2"/>
    </font>
    <font>
      <b/>
      <sz val="11"/>
      <color theme="0"/>
      <name val="Frutiger 45 Light"/>
      <family val="2"/>
    </font>
    <font>
      <sz val="9"/>
      <name val="Frutiger 45 Light"/>
      <family val="2"/>
    </font>
    <font>
      <sz val="8"/>
      <color theme="1"/>
      <name val="Wingdings 3"/>
      <family val="1"/>
      <charset val="2"/>
    </font>
    <font>
      <sz val="8"/>
      <color theme="1"/>
      <name val="Frutiger 45 Light"/>
      <family val="2"/>
      <scheme val="major"/>
    </font>
    <font>
      <sz val="8"/>
      <name val="Frutiger 45 Light"/>
      <family val="2"/>
      <scheme val="major"/>
    </font>
    <font>
      <b/>
      <vertAlign val="superscript"/>
      <sz val="10"/>
      <color theme="1"/>
      <name val="Frutiger 45 Light"/>
      <family val="2"/>
    </font>
    <font>
      <sz val="10"/>
      <color rgb="FFFF0000"/>
      <name val="Frutiger 45 Light"/>
      <family val="2"/>
    </font>
    <font>
      <sz val="11"/>
      <color theme="1"/>
      <name val="Frutiger 45 Light"/>
      <family val="2"/>
      <scheme val="minor"/>
    </font>
    <font>
      <sz val="10"/>
      <color theme="1"/>
      <name val="Frutiger 45 Light"/>
      <family val="2"/>
      <scheme val="minor"/>
    </font>
    <font>
      <sz val="8"/>
      <color rgb="FFFF0000"/>
      <name val="Frutiger 45 Light"/>
      <family val="2"/>
    </font>
    <font>
      <sz val="10"/>
      <color rgb="FF000000"/>
      <name val="Frutiger 45 Light"/>
      <family val="2"/>
    </font>
    <font>
      <sz val="10"/>
      <color rgb="FF00B050"/>
      <name val="Frutiger 45 Light"/>
      <family val="2"/>
    </font>
    <font>
      <sz val="10"/>
      <color rgb="FF92D050"/>
      <name val="Frutiger 45 Light"/>
      <family val="2"/>
    </font>
    <font>
      <sz val="10"/>
      <color rgb="FFFF0000"/>
      <name val="Wingdings 3"/>
      <family val="1"/>
      <charset val="2"/>
    </font>
    <font>
      <sz val="8"/>
      <color rgb="FFFF0000"/>
      <name val="Wingdings 3"/>
      <family val="1"/>
      <charset val="2"/>
    </font>
    <font>
      <u/>
      <sz val="10"/>
      <color rgb="FFFF0000"/>
      <name val="Wingdings 3"/>
      <family val="1"/>
      <charset val="2"/>
    </font>
    <font>
      <u/>
      <sz val="10"/>
      <color theme="1"/>
      <name val="Wingdings 3"/>
      <family val="1"/>
      <charset val="2"/>
    </font>
    <font>
      <u/>
      <sz val="10"/>
      <name val="Frutiger 45 Light"/>
      <family val="2"/>
    </font>
    <font>
      <i/>
      <sz val="10"/>
      <color rgb="FF44546A"/>
      <name val="Arial"/>
      <family val="2"/>
    </font>
  </fonts>
  <fills count="9">
    <fill>
      <patternFill patternType="none"/>
    </fill>
    <fill>
      <patternFill patternType="gray125"/>
    </fill>
    <fill>
      <patternFill patternType="solid">
        <fgColor rgb="FF004976"/>
        <bgColor indexed="64"/>
      </patternFill>
    </fill>
    <fill>
      <patternFill patternType="solid">
        <fgColor rgb="FF99D5D2"/>
        <bgColor indexed="64"/>
      </patternFill>
    </fill>
    <fill>
      <patternFill patternType="solid">
        <fgColor rgb="FFD8AAAC"/>
        <bgColor indexed="64"/>
      </patternFill>
    </fill>
    <fill>
      <patternFill patternType="solid">
        <fgColor rgb="FF99B6C8"/>
        <bgColor indexed="64"/>
      </patternFill>
    </fill>
    <fill>
      <patternFill patternType="solid">
        <fgColor rgb="FFBAADC9"/>
        <bgColor indexed="64"/>
      </patternFill>
    </fill>
    <fill>
      <patternFill patternType="solid">
        <fgColor theme="0"/>
        <bgColor indexed="64"/>
      </patternFill>
    </fill>
    <fill>
      <patternFill patternType="solid">
        <fgColor rgb="FF92D050"/>
        <bgColor indexed="64"/>
      </patternFill>
    </fill>
  </fills>
  <borders count="6">
    <border>
      <left/>
      <right/>
      <top/>
      <bottom/>
      <diagonal/>
    </border>
    <border>
      <left style="thin">
        <color theme="0"/>
      </left>
      <right/>
      <top/>
      <bottom/>
      <diagonal/>
    </border>
    <border>
      <left style="thin">
        <color auto="1"/>
      </left>
      <right/>
      <top/>
      <bottom/>
      <diagonal/>
    </border>
    <border>
      <left/>
      <right style="thin">
        <color auto="1"/>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s>
  <cellStyleXfs count="11">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4" fillId="0" borderId="0"/>
    <xf numFmtId="9" fontId="1" fillId="0" borderId="0" applyFont="0" applyFill="0" applyBorder="0" applyAlignment="0" applyProtection="0"/>
    <xf numFmtId="0" fontId="14" fillId="0" borderId="0"/>
    <xf numFmtId="0" fontId="49" fillId="0" borderId="0"/>
    <xf numFmtId="43" fontId="49" fillId="0" borderId="0" applyFont="0" applyFill="0" applyBorder="0" applyAlignment="0" applyProtection="0"/>
    <xf numFmtId="9" fontId="49" fillId="0" borderId="0" applyFont="0" applyFill="0" applyBorder="0" applyAlignment="0" applyProtection="0"/>
    <xf numFmtId="43" fontId="1" fillId="0" borderId="0" applyFont="0" applyFill="0" applyBorder="0" applyAlignment="0" applyProtection="0"/>
    <xf numFmtId="43" fontId="49" fillId="0" borderId="0" applyFont="0" applyFill="0" applyBorder="0" applyAlignment="0" applyProtection="0"/>
  </cellStyleXfs>
  <cellXfs count="408">
    <xf numFmtId="0" fontId="0" fillId="0" borderId="0" xfId="0"/>
    <xf numFmtId="0" fontId="0" fillId="0" borderId="0" xfId="0" applyProtection="1">
      <protection hidden="1"/>
    </xf>
    <xf numFmtId="0" fontId="12" fillId="0" borderId="0" xfId="0" applyFont="1" applyProtection="1">
      <protection hidden="1"/>
    </xf>
    <xf numFmtId="0" fontId="18" fillId="0" borderId="0" xfId="2" applyFont="1" applyFill="1" applyAlignment="1" applyProtection="1">
      <alignment horizontal="left"/>
      <protection hidden="1"/>
    </xf>
    <xf numFmtId="0" fontId="14" fillId="0" borderId="0" xfId="0" applyFont="1" applyAlignment="1" applyProtection="1">
      <alignment horizontal="left"/>
      <protection hidden="1"/>
    </xf>
    <xf numFmtId="0" fontId="18" fillId="0" borderId="0" xfId="2" applyFont="1" applyProtection="1">
      <protection hidden="1"/>
    </xf>
    <xf numFmtId="0" fontId="3" fillId="0" borderId="0" xfId="0" applyFont="1" applyProtection="1">
      <protection hidden="1"/>
    </xf>
    <xf numFmtId="0" fontId="12" fillId="0" borderId="0" xfId="0" applyFont="1" applyAlignment="1" applyProtection="1">
      <alignment horizontal="right"/>
      <protection hidden="1"/>
    </xf>
    <xf numFmtId="0" fontId="0" fillId="0" borderId="0" xfId="0" applyAlignment="1" applyProtection="1">
      <alignment horizontal="left"/>
      <protection hidden="1"/>
    </xf>
    <xf numFmtId="0" fontId="0" fillId="0" borderId="0" xfId="0" applyAlignment="1" applyProtection="1">
      <alignment horizontal="right"/>
      <protection hidden="1"/>
    </xf>
    <xf numFmtId="0" fontId="9" fillId="0" borderId="0" xfId="2" applyFill="1" applyAlignment="1" applyProtection="1">
      <alignment horizontal="right"/>
      <protection hidden="1"/>
    </xf>
    <xf numFmtId="0" fontId="14" fillId="0" borderId="0" xfId="0" applyFont="1" applyAlignment="1" applyProtection="1">
      <alignment horizontal="right"/>
      <protection hidden="1"/>
    </xf>
    <xf numFmtId="3" fontId="14" fillId="0" borderId="0" xfId="0" applyNumberFormat="1" applyFont="1" applyAlignment="1" applyProtection="1">
      <alignment horizontal="right"/>
      <protection hidden="1"/>
    </xf>
    <xf numFmtId="0" fontId="0" fillId="0" borderId="0" xfId="0" applyAlignment="1" applyProtection="1">
      <alignment horizontal="left" indent="1"/>
      <protection hidden="1"/>
    </xf>
    <xf numFmtId="165" fontId="14" fillId="0" borderId="0" xfId="0" applyNumberFormat="1" applyFont="1" applyAlignment="1" applyProtection="1">
      <alignment horizontal="right"/>
      <protection hidden="1"/>
    </xf>
    <xf numFmtId="3" fontId="0" fillId="0" borderId="0" xfId="0" applyNumberFormat="1" applyAlignment="1" applyProtection="1">
      <alignment horizontal="right"/>
      <protection hidden="1"/>
    </xf>
    <xf numFmtId="0" fontId="14" fillId="0" borderId="0" xfId="0" applyFont="1" applyProtection="1">
      <protection hidden="1"/>
    </xf>
    <xf numFmtId="0" fontId="14" fillId="0" borderId="0" xfId="0" applyFont="1" applyAlignment="1" applyProtection="1">
      <alignment horizontal="left" indent="1"/>
      <protection hidden="1"/>
    </xf>
    <xf numFmtId="0" fontId="19" fillId="0" borderId="0" xfId="0" applyFont="1" applyProtection="1">
      <protection hidden="1"/>
    </xf>
    <xf numFmtId="0" fontId="20" fillId="0" borderId="0" xfId="0" applyFont="1" applyAlignment="1" applyProtection="1">
      <alignment horizontal="left" vertical="top"/>
      <protection hidden="1"/>
    </xf>
    <xf numFmtId="0" fontId="20" fillId="0" borderId="0" xfId="0" applyFont="1" applyAlignment="1" applyProtection="1">
      <alignment horizontal="left" vertical="top" wrapText="1"/>
      <protection hidden="1"/>
    </xf>
    <xf numFmtId="0" fontId="12" fillId="0" borderId="0" xfId="0" applyFont="1" applyAlignment="1" applyProtection="1">
      <alignment wrapText="1"/>
      <protection hidden="1"/>
    </xf>
    <xf numFmtId="0" fontId="14" fillId="0" borderId="0" xfId="0" applyFont="1" applyAlignment="1" applyProtection="1">
      <alignment wrapText="1"/>
      <protection hidden="1"/>
    </xf>
    <xf numFmtId="0" fontId="17" fillId="0" borderId="0" xfId="0" applyFont="1" applyProtection="1">
      <protection hidden="1"/>
    </xf>
    <xf numFmtId="0" fontId="3" fillId="0" borderId="0" xfId="0" applyFont="1" applyAlignment="1" applyProtection="1">
      <alignment wrapText="1"/>
      <protection hidden="1"/>
    </xf>
    <xf numFmtId="0" fontId="14" fillId="0" borderId="0" xfId="0" applyFont="1"/>
    <xf numFmtId="0" fontId="0" fillId="0" borderId="0" xfId="0" applyAlignment="1" applyProtection="1">
      <alignment horizontal="left" indent="2"/>
      <protection hidden="1"/>
    </xf>
    <xf numFmtId="0" fontId="5" fillId="0" borderId="0" xfId="0" applyFont="1" applyAlignment="1" applyProtection="1">
      <alignment horizontal="right" vertical="center"/>
      <protection hidden="1"/>
    </xf>
    <xf numFmtId="0" fontId="3" fillId="0" borderId="0" xfId="0" applyFont="1" applyAlignment="1" applyProtection="1">
      <alignment horizontal="right"/>
      <protection hidden="1"/>
    </xf>
    <xf numFmtId="0" fontId="20" fillId="0" borderId="0" xfId="0" applyFont="1" applyAlignment="1" applyProtection="1">
      <alignment horizontal="right" vertical="top" wrapText="1"/>
      <protection hidden="1"/>
    </xf>
    <xf numFmtId="0" fontId="20" fillId="0" borderId="0" xfId="0" applyFont="1" applyAlignment="1" applyProtection="1">
      <alignment horizontal="right"/>
      <protection hidden="1"/>
    </xf>
    <xf numFmtId="0" fontId="20" fillId="0" borderId="0" xfId="0" applyFont="1" applyAlignment="1" applyProtection="1">
      <alignment horizontal="right" vertical="top"/>
      <protection hidden="1"/>
    </xf>
    <xf numFmtId="0" fontId="5" fillId="0" borderId="0" xfId="0" applyFont="1" applyAlignment="1" applyProtection="1">
      <alignment horizontal="right" vertical="center" indent="1"/>
      <protection hidden="1"/>
    </xf>
    <xf numFmtId="0" fontId="3" fillId="0" borderId="0" xfId="0" applyFont="1" applyAlignment="1" applyProtection="1">
      <alignment horizontal="right" indent="1"/>
      <protection hidden="1"/>
    </xf>
    <xf numFmtId="0" fontId="0" fillId="0" borderId="0" xfId="0" applyAlignment="1" applyProtection="1">
      <alignment horizontal="right" indent="1"/>
      <protection hidden="1"/>
    </xf>
    <xf numFmtId="0" fontId="20" fillId="0" borderId="0" xfId="0" applyFont="1" applyAlignment="1" applyProtection="1">
      <alignment horizontal="right" vertical="top" wrapText="1" indent="1"/>
      <protection hidden="1"/>
    </xf>
    <xf numFmtId="0" fontId="20" fillId="0" borderId="0" xfId="0" applyFont="1" applyAlignment="1" applyProtection="1">
      <alignment horizontal="right" indent="1"/>
      <protection hidden="1"/>
    </xf>
    <xf numFmtId="0" fontId="20" fillId="0" borderId="0" xfId="0" applyFont="1" applyAlignment="1" applyProtection="1">
      <alignment horizontal="right" vertical="top" indent="1"/>
      <protection hidden="1"/>
    </xf>
    <xf numFmtId="0" fontId="26" fillId="0" borderId="0" xfId="0" applyFont="1" applyProtection="1">
      <protection hidden="1"/>
    </xf>
    <xf numFmtId="0" fontId="28" fillId="0" borderId="0" xfId="2" applyFont="1" applyAlignment="1" applyProtection="1">
      <alignment horizontal="right"/>
      <protection hidden="1"/>
    </xf>
    <xf numFmtId="0" fontId="29" fillId="0" borderId="0" xfId="2" applyFont="1" applyAlignment="1" applyProtection="1">
      <alignment horizontal="right"/>
      <protection hidden="1"/>
    </xf>
    <xf numFmtId="0" fontId="30" fillId="0" borderId="0" xfId="2" applyFont="1" applyAlignment="1" applyProtection="1">
      <alignment horizontal="right"/>
      <protection hidden="1"/>
    </xf>
    <xf numFmtId="0" fontId="0" fillId="0" borderId="0" xfId="0" applyAlignment="1" applyProtection="1">
      <alignment vertical="top"/>
      <protection hidden="1"/>
    </xf>
    <xf numFmtId="0" fontId="29" fillId="0" borderId="0" xfId="2" applyFont="1" applyAlignment="1" applyProtection="1">
      <alignment horizontal="right" vertical="top"/>
      <protection hidden="1"/>
    </xf>
    <xf numFmtId="0" fontId="30" fillId="0" borderId="0" xfId="2" applyFont="1" applyAlignment="1" applyProtection="1">
      <alignment horizontal="right" vertical="top"/>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Protection="1">
      <protection hidden="1"/>
    </xf>
    <xf numFmtId="0" fontId="14" fillId="0" borderId="0" xfId="3" applyProtection="1">
      <protection hidden="1"/>
    </xf>
    <xf numFmtId="164" fontId="0" fillId="0" borderId="0" xfId="1" applyNumberFormat="1" applyFont="1" applyFill="1" applyAlignment="1" applyProtection="1">
      <alignment horizontal="right"/>
      <protection hidden="1"/>
    </xf>
    <xf numFmtId="0" fontId="14" fillId="0" borderId="0" xfId="3" applyAlignment="1" applyProtection="1">
      <alignment horizontal="left" indent="1"/>
      <protection hidden="1"/>
    </xf>
    <xf numFmtId="166" fontId="0" fillId="0" borderId="0" xfId="1" applyNumberFormat="1" applyFont="1" applyFill="1" applyAlignment="1" applyProtection="1">
      <alignment horizontal="right"/>
      <protection hidden="1"/>
    </xf>
    <xf numFmtId="0" fontId="14" fillId="0" borderId="0" xfId="3" applyAlignment="1" applyProtection="1">
      <alignment horizontal="left"/>
      <protection hidden="1"/>
    </xf>
    <xf numFmtId="0" fontId="33" fillId="0" borderId="0" xfId="0" applyFont="1" applyAlignment="1" applyProtection="1">
      <alignment horizontal="right" vertical="center"/>
      <protection hidden="1"/>
    </xf>
    <xf numFmtId="0" fontId="34" fillId="0" borderId="0" xfId="0" applyFont="1" applyAlignment="1" applyProtection="1">
      <alignment horizontal="right" vertical="center"/>
      <protection hidden="1"/>
    </xf>
    <xf numFmtId="0" fontId="35" fillId="0" borderId="0" xfId="0" applyFont="1" applyAlignment="1" applyProtection="1">
      <alignment horizontal="right"/>
      <protection hidden="1"/>
    </xf>
    <xf numFmtId="0" fontId="29" fillId="0" borderId="0" xfId="0" applyFont="1" applyAlignment="1" applyProtection="1">
      <alignment horizontal="right"/>
      <protection hidden="1"/>
    </xf>
    <xf numFmtId="0" fontId="29" fillId="0" borderId="0" xfId="0" applyFont="1" applyAlignment="1" applyProtection="1">
      <alignment horizontal="right" vertical="top"/>
      <protection hidden="1"/>
    </xf>
    <xf numFmtId="0" fontId="31"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27" fillId="0" borderId="0" xfId="0" applyFont="1" applyAlignment="1" applyProtection="1">
      <alignment horizontal="right"/>
      <protection hidden="1"/>
    </xf>
    <xf numFmtId="0" fontId="30" fillId="0" borderId="0" xfId="0" applyFont="1" applyAlignment="1" applyProtection="1">
      <alignment horizontal="right"/>
      <protection hidden="1"/>
    </xf>
    <xf numFmtId="0" fontId="30" fillId="0" borderId="0" xfId="0" applyFont="1" applyAlignment="1" applyProtection="1">
      <alignment horizontal="right" vertical="top"/>
      <protection hidden="1"/>
    </xf>
    <xf numFmtId="0" fontId="36" fillId="0" borderId="0" xfId="0" applyFont="1" applyAlignment="1" applyProtection="1">
      <alignment horizontal="right" vertical="center"/>
      <protection hidden="1"/>
    </xf>
    <xf numFmtId="0" fontId="37" fillId="0" borderId="0" xfId="0" applyFont="1" applyAlignment="1" applyProtection="1">
      <alignment horizontal="right" vertical="center"/>
      <protection hidden="1"/>
    </xf>
    <xf numFmtId="0" fontId="26" fillId="0" borderId="0" xfId="0" applyFont="1" applyAlignment="1" applyProtection="1">
      <alignment horizontal="right"/>
      <protection hidden="1"/>
    </xf>
    <xf numFmtId="0" fontId="38" fillId="0" borderId="0" xfId="0" applyFont="1" applyAlignment="1" applyProtection="1">
      <alignment horizontal="right"/>
      <protection hidden="1"/>
    </xf>
    <xf numFmtId="0" fontId="6" fillId="0" borderId="0" xfId="0" applyFont="1" applyAlignment="1" applyProtection="1">
      <alignment horizontal="right" vertical="center"/>
      <protection hidden="1"/>
    </xf>
    <xf numFmtId="0" fontId="9" fillId="0" borderId="0" xfId="2" applyNumberFormat="1" applyFill="1" applyAlignment="1" applyProtection="1">
      <alignment horizontal="right"/>
      <protection hidden="1"/>
    </xf>
    <xf numFmtId="0" fontId="12" fillId="0" borderId="0" xfId="0" applyFont="1" applyAlignment="1" applyProtection="1">
      <alignment horizontal="right" vertical="top" wrapText="1"/>
      <protection hidden="1"/>
    </xf>
    <xf numFmtId="0" fontId="21" fillId="0" borderId="0" xfId="0" applyFont="1" applyAlignment="1" applyProtection="1">
      <alignment horizontal="right" vertical="center"/>
      <protection hidden="1"/>
    </xf>
    <xf numFmtId="0" fontId="22" fillId="0" borderId="0" xfId="0" applyFont="1" applyAlignment="1" applyProtection="1">
      <alignment horizontal="right" vertical="center"/>
      <protection hidden="1"/>
    </xf>
    <xf numFmtId="0" fontId="3" fillId="0" borderId="0" xfId="0" applyFont="1" applyAlignment="1" applyProtection="1">
      <alignment horizontal="right" vertical="top"/>
      <protection hidden="1"/>
    </xf>
    <xf numFmtId="0" fontId="0" fillId="0" borderId="0" xfId="0" applyAlignment="1" applyProtection="1">
      <alignment horizontal="right" vertical="top"/>
      <protection hidden="1"/>
    </xf>
    <xf numFmtId="0" fontId="12" fillId="0" borderId="0" xfId="0" applyFont="1" applyAlignment="1" applyProtection="1">
      <alignment horizontal="right" vertical="top"/>
      <protection hidden="1"/>
    </xf>
    <xf numFmtId="0" fontId="14" fillId="0" borderId="0" xfId="0" applyFont="1" applyAlignment="1" applyProtection="1">
      <alignment horizontal="right" vertical="top"/>
      <protection hidden="1"/>
    </xf>
    <xf numFmtId="3" fontId="3" fillId="0" borderId="0" xfId="0" applyNumberFormat="1" applyFont="1" applyAlignment="1" applyProtection="1">
      <alignment horizontal="right"/>
      <protection hidden="1"/>
    </xf>
    <xf numFmtId="3" fontId="12" fillId="0" borderId="0" xfId="0" applyNumberFormat="1" applyFont="1" applyAlignment="1" applyProtection="1">
      <alignment horizontal="right"/>
      <protection hidden="1"/>
    </xf>
    <xf numFmtId="0" fontId="3" fillId="0" borderId="0" xfId="0" applyFont="1" applyAlignment="1" applyProtection="1">
      <alignment vertical="top"/>
      <protection hidden="1"/>
    </xf>
    <xf numFmtId="0" fontId="9" fillId="0" borderId="0" xfId="2" applyFill="1" applyAlignment="1" applyProtection="1">
      <alignment horizontal="right" vertical="top"/>
      <protection hidden="1"/>
    </xf>
    <xf numFmtId="0" fontId="39" fillId="0" borderId="0" xfId="2" applyFont="1" applyFill="1" applyAlignment="1" applyProtection="1">
      <alignment horizontal="right" vertical="top"/>
      <protection hidden="1"/>
    </xf>
    <xf numFmtId="0" fontId="12" fillId="3" borderId="0" xfId="0" applyFont="1" applyFill="1" applyAlignment="1" applyProtection="1">
      <alignment horizontal="right" vertical="top"/>
      <protection hidden="1"/>
    </xf>
    <xf numFmtId="0" fontId="14" fillId="3" borderId="0" xfId="0" applyFont="1" applyFill="1" applyAlignment="1" applyProtection="1">
      <alignment horizontal="right"/>
      <protection hidden="1"/>
    </xf>
    <xf numFmtId="0" fontId="14" fillId="3" borderId="0" xfId="0" applyFont="1" applyFill="1" applyAlignment="1" applyProtection="1">
      <alignment horizontal="right" vertical="top"/>
      <protection hidden="1"/>
    </xf>
    <xf numFmtId="0" fontId="3" fillId="3" borderId="0" xfId="0" applyFont="1" applyFill="1" applyAlignment="1" applyProtection="1">
      <alignment horizontal="right"/>
      <protection hidden="1"/>
    </xf>
    <xf numFmtId="0" fontId="1" fillId="0" borderId="0" xfId="1" applyNumberFormat="1" applyFont="1" applyFill="1" applyAlignment="1" applyProtection="1">
      <alignment horizontal="right"/>
      <protection hidden="1"/>
    </xf>
    <xf numFmtId="0" fontId="14" fillId="0" borderId="0" xfId="0" quotePrefix="1" applyFont="1" applyAlignment="1" applyProtection="1">
      <alignment horizontal="right"/>
      <protection hidden="1"/>
    </xf>
    <xf numFmtId="0" fontId="0" fillId="3" borderId="0" xfId="0" applyFill="1" applyAlignment="1" applyProtection="1">
      <alignment horizontal="right"/>
      <protection hidden="1"/>
    </xf>
    <xf numFmtId="0" fontId="14" fillId="0" borderId="0" xfId="1" applyNumberFormat="1" applyFont="1" applyFill="1" applyAlignment="1" applyProtection="1">
      <alignment horizontal="right"/>
      <protection hidden="1"/>
    </xf>
    <xf numFmtId="0" fontId="3" fillId="0" borderId="0" xfId="1" applyNumberFormat="1" applyFont="1" applyFill="1" applyAlignment="1" applyProtection="1">
      <alignment horizontal="right"/>
      <protection hidden="1"/>
    </xf>
    <xf numFmtId="0" fontId="12" fillId="3" borderId="0" xfId="0" applyFont="1" applyFill="1" applyAlignment="1" applyProtection="1">
      <alignment horizontal="right"/>
      <protection hidden="1"/>
    </xf>
    <xf numFmtId="0" fontId="41" fillId="0" borderId="2" xfId="0" applyFont="1" applyBorder="1" applyAlignment="1" applyProtection="1">
      <alignment horizontal="left" vertical="center" indent="1"/>
      <protection locked="0"/>
    </xf>
    <xf numFmtId="0" fontId="4" fillId="2" borderId="0" xfId="0" applyFont="1" applyFill="1" applyAlignment="1" applyProtection="1">
      <alignment vertical="top"/>
      <protection hidden="1"/>
    </xf>
    <xf numFmtId="0" fontId="18" fillId="0" borderId="0" xfId="2" applyFont="1" applyFill="1" applyProtection="1">
      <protection hidden="1"/>
    </xf>
    <xf numFmtId="0" fontId="12" fillId="0" borderId="0" xfId="0" applyFont="1" applyAlignment="1" applyProtection="1">
      <alignment horizontal="left" indent="1"/>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0" fillId="0" borderId="0" xfId="1" applyNumberFormat="1" applyFont="1" applyFill="1" applyAlignment="1" applyProtection="1">
      <alignment horizontal="right"/>
      <protection hidden="1"/>
    </xf>
    <xf numFmtId="0" fontId="14" fillId="0" borderId="0" xfId="1" applyNumberFormat="1" applyFont="1" applyFill="1" applyBorder="1" applyAlignment="1" applyProtection="1">
      <alignment horizontal="right"/>
      <protection hidden="1"/>
    </xf>
    <xf numFmtId="0" fontId="0" fillId="0" borderId="0" xfId="1" quotePrefix="1" applyNumberFormat="1" applyFont="1" applyFill="1" applyAlignment="1" applyProtection="1">
      <alignment horizontal="right"/>
      <protection hidden="1"/>
    </xf>
    <xf numFmtId="0" fontId="0" fillId="0" borderId="0" xfId="0" quotePrefix="1" applyAlignment="1" applyProtection="1">
      <alignment horizontal="right"/>
      <protection hidden="1"/>
    </xf>
    <xf numFmtId="0" fontId="0" fillId="0" borderId="0" xfId="0" quotePrefix="1" applyAlignment="1" applyProtection="1">
      <alignment horizontal="right" indent="1"/>
      <protection hidden="1"/>
    </xf>
    <xf numFmtId="0" fontId="41" fillId="0" borderId="0" xfId="0" applyFont="1" applyAlignment="1" applyProtection="1">
      <alignment horizontal="left" vertical="center" indent="1"/>
      <protection hidden="1"/>
    </xf>
    <xf numFmtId="0" fontId="0" fillId="0" borderId="0" xfId="0" applyAlignment="1" applyProtection="1">
      <alignment wrapText="1"/>
      <protection hidden="1"/>
    </xf>
    <xf numFmtId="0" fontId="16" fillId="0" borderId="0" xfId="0" applyFont="1" applyAlignment="1" applyProtection="1">
      <alignment wrapText="1"/>
      <protection hidden="1"/>
    </xf>
    <xf numFmtId="0" fontId="1" fillId="0" borderId="0" xfId="0" applyFont="1" applyAlignment="1" applyProtection="1">
      <alignment horizontal="right"/>
      <protection hidden="1"/>
    </xf>
    <xf numFmtId="0" fontId="14" fillId="0" borderId="0" xfId="1" quotePrefix="1" applyNumberFormat="1" applyFont="1" applyFill="1" applyAlignment="1" applyProtection="1">
      <alignment horizontal="right"/>
      <protection hidden="1"/>
    </xf>
    <xf numFmtId="0" fontId="1" fillId="0" borderId="0" xfId="0" quotePrefix="1" applyFont="1" applyAlignment="1" applyProtection="1">
      <alignment horizontal="right"/>
      <protection hidden="1"/>
    </xf>
    <xf numFmtId="0" fontId="1" fillId="0" borderId="0" xfId="0" applyFont="1" applyProtection="1">
      <protection hidden="1"/>
    </xf>
    <xf numFmtId="0" fontId="16" fillId="0" borderId="0" xfId="0" applyFont="1" applyAlignment="1" applyProtection="1">
      <alignment horizontal="right"/>
      <protection hidden="1"/>
    </xf>
    <xf numFmtId="0" fontId="1" fillId="0" borderId="0" xfId="1" applyNumberFormat="1" applyFont="1" applyFill="1" applyProtection="1">
      <protection hidden="1"/>
    </xf>
    <xf numFmtId="0" fontId="16" fillId="0" borderId="0" xfId="1" applyNumberFormat="1" applyFont="1" applyFill="1" applyProtection="1">
      <protection hidden="1"/>
    </xf>
    <xf numFmtId="0" fontId="0" fillId="0" borderId="0" xfId="1" applyNumberFormat="1" applyFont="1" applyAlignment="1" applyProtection="1">
      <alignment horizontal="right"/>
      <protection hidden="1"/>
    </xf>
    <xf numFmtId="0" fontId="28" fillId="0" borderId="0" xfId="2" applyFont="1" applyProtection="1">
      <protection hidden="1"/>
    </xf>
    <xf numFmtId="0" fontId="0" fillId="0" borderId="0" xfId="0" applyAlignment="1" applyProtection="1">
      <alignment horizontal="left" wrapText="1"/>
      <protection hidden="1"/>
    </xf>
    <xf numFmtId="0" fontId="0" fillId="0" borderId="0" xfId="0" applyAlignment="1" applyProtection="1">
      <alignment horizontal="right" vertical="center"/>
      <protection hidden="1"/>
    </xf>
    <xf numFmtId="0" fontId="14" fillId="0" borderId="0" xfId="0" applyFont="1" applyAlignment="1" applyProtection="1">
      <alignment horizontal="right" vertical="top" wrapText="1"/>
      <protection hidden="1"/>
    </xf>
    <xf numFmtId="0" fontId="18" fillId="0" borderId="0" xfId="2" applyNumberFormat="1" applyFont="1" applyProtection="1">
      <protection hidden="1"/>
    </xf>
    <xf numFmtId="0" fontId="28" fillId="0" borderId="0" xfId="2" applyNumberFormat="1" applyFont="1" applyAlignment="1" applyProtection="1">
      <alignment horizontal="right" vertical="top"/>
      <protection hidden="1"/>
    </xf>
    <xf numFmtId="0" fontId="12" fillId="0" borderId="0" xfId="0" applyFont="1" applyAlignment="1" applyProtection="1">
      <alignment horizontal="left"/>
      <protection hidden="1"/>
    </xf>
    <xf numFmtId="0" fontId="14" fillId="0" borderId="0" xfId="0" applyFont="1" applyAlignment="1" applyProtection="1">
      <alignment horizontal="left" indent="2"/>
      <protection hidden="1"/>
    </xf>
    <xf numFmtId="0" fontId="14" fillId="0" borderId="0" xfId="0" applyFont="1" applyAlignment="1" applyProtection="1">
      <alignment horizontal="left" indent="4"/>
      <protection hidden="1"/>
    </xf>
    <xf numFmtId="0" fontId="14" fillId="0" borderId="0" xfId="0" applyFont="1" applyAlignment="1" applyProtection="1">
      <alignment horizontal="left" indent="3"/>
      <protection hidden="1"/>
    </xf>
    <xf numFmtId="0" fontId="23" fillId="0" borderId="0" xfId="0" applyFont="1" applyAlignment="1" applyProtection="1">
      <alignment horizontal="left"/>
      <protection hidden="1"/>
    </xf>
    <xf numFmtId="0" fontId="23" fillId="0" borderId="0" xfId="0" applyFont="1" applyProtection="1">
      <protection hidden="1"/>
    </xf>
    <xf numFmtId="0" fontId="24" fillId="0" borderId="0" xfId="0" applyFont="1" applyProtection="1">
      <protection hidden="1"/>
    </xf>
    <xf numFmtId="0" fontId="28" fillId="0" borderId="0" xfId="2" applyNumberFormat="1" applyFont="1" applyAlignment="1" applyProtection="1">
      <alignment horizontal="right"/>
      <protection hidden="1"/>
    </xf>
    <xf numFmtId="0" fontId="14" fillId="0" borderId="0" xfId="0" applyFont="1" applyAlignment="1" applyProtection="1">
      <alignment horizontal="left" vertical="top" indent="1"/>
      <protection hidden="1"/>
    </xf>
    <xf numFmtId="0" fontId="14" fillId="0" borderId="0" xfId="0" applyFont="1" applyAlignment="1" applyProtection="1">
      <alignment vertical="top" wrapText="1"/>
      <protection hidden="1"/>
    </xf>
    <xf numFmtId="0" fontId="14" fillId="0" borderId="0" xfId="0" applyFont="1" applyAlignment="1" applyProtection="1">
      <alignment horizontal="left" vertical="top" indent="2"/>
      <protection hidden="1"/>
    </xf>
    <xf numFmtId="0" fontId="0" fillId="0" borderId="0" xfId="0" applyAlignment="1" applyProtection="1">
      <alignment horizontal="left" indent="3"/>
      <protection hidden="1"/>
    </xf>
    <xf numFmtId="165" fontId="1" fillId="0" borderId="0" xfId="0" applyNumberFormat="1" applyFont="1" applyAlignment="1" applyProtection="1">
      <alignment horizontal="right"/>
      <protection hidden="1"/>
    </xf>
    <xf numFmtId="1" fontId="1" fillId="0" borderId="0" xfId="0" applyNumberFormat="1" applyFont="1" applyAlignment="1" applyProtection="1">
      <alignment horizontal="right"/>
      <protection hidden="1"/>
    </xf>
    <xf numFmtId="0" fontId="0" fillId="0" borderId="0" xfId="0" applyAlignment="1" applyProtection="1">
      <alignment horizontal="left" indent="4"/>
      <protection hidden="1"/>
    </xf>
    <xf numFmtId="0" fontId="14" fillId="0" borderId="0" xfId="0" applyFont="1" applyAlignment="1" applyProtection="1">
      <alignment horizontal="left" wrapText="1" indent="3"/>
      <protection hidden="1"/>
    </xf>
    <xf numFmtId="2" fontId="1" fillId="0" borderId="0" xfId="0" applyNumberFormat="1" applyFont="1" applyProtection="1">
      <protection hidden="1"/>
    </xf>
    <xf numFmtId="2" fontId="1" fillId="0" borderId="0" xfId="0" applyNumberFormat="1" applyFont="1" applyAlignment="1" applyProtection="1">
      <alignment horizontal="right"/>
      <protection hidden="1"/>
    </xf>
    <xf numFmtId="165" fontId="1" fillId="0" borderId="0" xfId="0" applyNumberFormat="1" applyFont="1" applyProtection="1">
      <protection hidden="1"/>
    </xf>
    <xf numFmtId="3" fontId="1" fillId="0" borderId="0" xfId="0" applyNumberFormat="1" applyFont="1" applyProtection="1">
      <protection hidden="1"/>
    </xf>
    <xf numFmtId="3" fontId="1" fillId="0" borderId="0" xfId="0" applyNumberFormat="1" applyFont="1" applyAlignment="1" applyProtection="1">
      <alignment horizontal="right"/>
      <protection hidden="1"/>
    </xf>
    <xf numFmtId="0" fontId="12" fillId="4" borderId="0" xfId="0" applyFont="1" applyFill="1" applyAlignment="1" applyProtection="1">
      <alignment horizontal="right"/>
      <protection hidden="1"/>
    </xf>
    <xf numFmtId="0" fontId="14" fillId="4" borderId="0" xfId="0" applyFont="1" applyFill="1" applyAlignment="1" applyProtection="1">
      <alignment horizontal="right" vertical="top"/>
      <protection hidden="1"/>
    </xf>
    <xf numFmtId="0" fontId="14" fillId="4" borderId="0" xfId="0" applyFont="1" applyFill="1" applyAlignment="1" applyProtection="1">
      <alignment horizontal="right"/>
      <protection hidden="1"/>
    </xf>
    <xf numFmtId="0" fontId="0" fillId="4" borderId="0" xfId="0" applyFill="1" applyAlignment="1" applyProtection="1">
      <alignment horizontal="right"/>
      <protection hidden="1"/>
    </xf>
    <xf numFmtId="0" fontId="3" fillId="4" borderId="0" xfId="0" applyFont="1" applyFill="1" applyAlignment="1" applyProtection="1">
      <alignment horizontal="right"/>
      <protection hidden="1"/>
    </xf>
    <xf numFmtId="0" fontId="12" fillId="5" borderId="0" xfId="0" applyFont="1" applyFill="1" applyAlignment="1" applyProtection="1">
      <alignment horizontal="right" vertical="top"/>
      <protection hidden="1"/>
    </xf>
    <xf numFmtId="0" fontId="12" fillId="5" borderId="0" xfId="0" applyFont="1" applyFill="1" applyAlignment="1" applyProtection="1">
      <alignment horizontal="right"/>
      <protection hidden="1"/>
    </xf>
    <xf numFmtId="0" fontId="12" fillId="6" borderId="0" xfId="0" applyFont="1" applyFill="1" applyAlignment="1" applyProtection="1">
      <alignment horizontal="right"/>
      <protection hidden="1"/>
    </xf>
    <xf numFmtId="0" fontId="1" fillId="0" borderId="0" xfId="0" applyFont="1" applyAlignment="1" applyProtection="1">
      <alignment horizontal="left" indent="1"/>
      <protection hidden="1"/>
    </xf>
    <xf numFmtId="0" fontId="43" fillId="0" borderId="0" xfId="0" applyFont="1" applyAlignment="1" applyProtection="1">
      <alignment horizontal="left" vertical="top"/>
      <protection hidden="1"/>
    </xf>
    <xf numFmtId="165" fontId="14" fillId="0" borderId="0" xfId="0" quotePrefix="1" applyNumberFormat="1" applyFont="1" applyAlignment="1" applyProtection="1">
      <alignment horizontal="right"/>
      <protection hidden="1"/>
    </xf>
    <xf numFmtId="165" fontId="14" fillId="0" borderId="0" xfId="0" applyNumberFormat="1" applyFont="1" applyProtection="1">
      <protection hidden="1"/>
    </xf>
    <xf numFmtId="0" fontId="14" fillId="0" borderId="0" xfId="0" applyFont="1" applyAlignment="1" applyProtection="1">
      <alignment horizontal="left" wrapText="1"/>
      <protection hidden="1"/>
    </xf>
    <xf numFmtId="165" fontId="0" fillId="0" borderId="0" xfId="0" applyNumberFormat="1" applyProtection="1">
      <protection hidden="1"/>
    </xf>
    <xf numFmtId="165" fontId="1" fillId="0" borderId="0" xfId="4" applyNumberFormat="1" applyFont="1" applyFill="1" applyBorder="1" applyAlignment="1" applyProtection="1">
      <alignment horizontal="right"/>
      <protection hidden="1"/>
    </xf>
    <xf numFmtId="165" fontId="1" fillId="0" borderId="0" xfId="4" applyNumberFormat="1" applyFont="1" applyFill="1" applyBorder="1" applyProtection="1">
      <protection hidden="1"/>
    </xf>
    <xf numFmtId="0" fontId="0" fillId="0" borderId="0" xfId="0" applyAlignment="1" applyProtection="1">
      <alignment horizontal="left" wrapText="1" indent="1"/>
      <protection hidden="1"/>
    </xf>
    <xf numFmtId="1" fontId="1" fillId="0" borderId="0" xfId="0" applyNumberFormat="1" applyFont="1" applyProtection="1">
      <protection hidden="1"/>
    </xf>
    <xf numFmtId="49" fontId="5"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right"/>
      <protection hidden="1"/>
    </xf>
    <xf numFmtId="49" fontId="0" fillId="0" borderId="0" xfId="0" applyNumberFormat="1" applyAlignment="1" applyProtection="1">
      <alignment horizontal="right"/>
      <protection hidden="1"/>
    </xf>
    <xf numFmtId="49" fontId="12" fillId="0" borderId="0" xfId="0" applyNumberFormat="1" applyFont="1" applyAlignment="1" applyProtection="1">
      <alignment horizontal="right"/>
      <protection hidden="1"/>
    </xf>
    <xf numFmtId="49" fontId="14" fillId="0" borderId="0" xfId="0" applyNumberFormat="1" applyFont="1" applyAlignment="1" applyProtection="1">
      <alignment horizontal="right"/>
      <protection hidden="1"/>
    </xf>
    <xf numFmtId="49" fontId="20" fillId="0" borderId="0" xfId="0" applyNumberFormat="1" applyFont="1" applyAlignment="1" applyProtection="1">
      <alignment horizontal="right" vertical="top"/>
      <protection hidden="1"/>
    </xf>
    <xf numFmtId="49" fontId="1" fillId="0" borderId="0" xfId="0" applyNumberFormat="1" applyFont="1" applyAlignment="1" applyProtection="1">
      <alignment horizontal="right"/>
      <protection hidden="1"/>
    </xf>
    <xf numFmtId="49" fontId="20" fillId="0" borderId="0" xfId="0" applyNumberFormat="1" applyFont="1" applyAlignment="1" applyProtection="1">
      <alignment horizontal="right"/>
      <protection hidden="1"/>
    </xf>
    <xf numFmtId="0" fontId="14" fillId="0" borderId="0" xfId="1" applyNumberFormat="1" applyFont="1" applyFill="1" applyAlignment="1" applyProtection="1">
      <alignment horizontal="right" vertical="top"/>
      <protection hidden="1"/>
    </xf>
    <xf numFmtId="0" fontId="11" fillId="2" borderId="0" xfId="0" applyFont="1" applyFill="1" applyAlignment="1" applyProtection="1">
      <alignment vertical="top" wrapText="1"/>
      <protection hidden="1"/>
    </xf>
    <xf numFmtId="0" fontId="4" fillId="2" borderId="0" xfId="2" applyFont="1" applyFill="1" applyAlignment="1" applyProtection="1">
      <alignment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left" vertical="top" wrapText="1"/>
      <protection hidden="1"/>
    </xf>
    <xf numFmtId="0" fontId="4" fillId="2" borderId="0" xfId="2" applyFont="1" applyFill="1" applyAlignment="1">
      <alignment vertical="top"/>
    </xf>
    <xf numFmtId="0" fontId="11" fillId="2" borderId="0" xfId="0" applyFont="1" applyFill="1" applyAlignment="1" applyProtection="1">
      <alignment vertical="center" wrapText="1"/>
      <protection hidden="1"/>
    </xf>
    <xf numFmtId="0" fontId="10" fillId="2" borderId="0" xfId="0" applyFont="1" applyFill="1" applyAlignment="1" applyProtection="1">
      <alignment vertical="top" wrapText="1"/>
      <protection hidden="1"/>
    </xf>
    <xf numFmtId="0" fontId="42" fillId="2" borderId="1" xfId="0" applyFont="1" applyFill="1" applyBorder="1" applyAlignment="1" applyProtection="1">
      <alignment horizontal="left" vertical="center" wrapText="1" indent="1"/>
      <protection locked="0"/>
    </xf>
    <xf numFmtId="0" fontId="11" fillId="2" borderId="0" xfId="0" applyFont="1" applyFill="1" applyAlignment="1" applyProtection="1">
      <alignment horizontal="left" vertical="center" indent="1"/>
      <protection hidden="1"/>
    </xf>
    <xf numFmtId="0" fontId="11" fillId="2" borderId="0" xfId="0" applyFont="1" applyFill="1" applyAlignment="1" applyProtection="1">
      <alignment horizontal="left" vertical="top" indent="1"/>
      <protection hidden="1"/>
    </xf>
    <xf numFmtId="0" fontId="10" fillId="2" borderId="0" xfId="2" applyFont="1" applyFill="1" applyAlignment="1" applyProtection="1">
      <alignment horizontal="left" vertical="top" indent="1"/>
      <protection hidden="1"/>
    </xf>
    <xf numFmtId="0" fontId="0" fillId="0" borderId="0" xfId="0" applyAlignment="1" applyProtection="1">
      <alignment horizontal="left" wrapText="1" indent="2"/>
      <protection hidden="1"/>
    </xf>
    <xf numFmtId="0" fontId="14" fillId="0" borderId="0" xfId="0" applyFont="1" applyAlignment="1" applyProtection="1">
      <alignment horizontal="left" vertical="top"/>
      <protection hidden="1"/>
    </xf>
    <xf numFmtId="0" fontId="43" fillId="0" borderId="0" xfId="0" applyFont="1" applyAlignment="1" applyProtection="1">
      <alignment horizontal="right" vertical="top"/>
      <protection hidden="1"/>
    </xf>
    <xf numFmtId="0" fontId="11" fillId="2" borderId="0" xfId="0" applyFont="1" applyFill="1" applyAlignment="1" applyProtection="1">
      <alignment horizontal="left" vertical="top" wrapText="1" indent="1"/>
      <protection hidden="1"/>
    </xf>
    <xf numFmtId="0" fontId="7" fillId="2" borderId="0" xfId="0" applyFont="1" applyFill="1" applyAlignment="1" applyProtection="1">
      <alignment horizontal="left" vertical="center" wrapText="1" indent="1"/>
      <protection hidden="1"/>
    </xf>
    <xf numFmtId="0" fontId="11" fillId="2" borderId="0" xfId="0" applyFont="1" applyFill="1" applyAlignment="1" applyProtection="1">
      <alignment horizontal="left" vertical="center" wrapText="1" indent="1"/>
      <protection hidden="1"/>
    </xf>
    <xf numFmtId="0" fontId="10" fillId="2" borderId="0" xfId="2" applyFont="1" applyFill="1" applyAlignment="1" applyProtection="1">
      <alignment horizontal="left" vertical="top" wrapText="1" indent="1"/>
      <protection hidden="1"/>
    </xf>
    <xf numFmtId="0" fontId="3" fillId="0" borderId="0" xfId="0" applyFont="1" applyAlignment="1" applyProtection="1">
      <alignment horizontal="left" indent="1"/>
      <protection hidden="1"/>
    </xf>
    <xf numFmtId="0" fontId="44" fillId="0" borderId="0" xfId="0" applyFont="1" applyAlignment="1" applyProtection="1">
      <alignment horizontal="right"/>
      <protection hidden="1"/>
    </xf>
    <xf numFmtId="0" fontId="19" fillId="0" borderId="0" xfId="0" applyFont="1" applyAlignment="1" applyProtection="1">
      <alignment horizontal="right"/>
      <protection hidden="1"/>
    </xf>
    <xf numFmtId="0" fontId="20" fillId="0" borderId="0" xfId="1" applyNumberFormat="1" applyFont="1" applyFill="1" applyAlignment="1" applyProtection="1">
      <alignment horizontal="right"/>
      <protection hidden="1"/>
    </xf>
    <xf numFmtId="0" fontId="45" fillId="0" borderId="0" xfId="0" applyFont="1" applyAlignment="1" applyProtection="1">
      <alignment horizontal="right"/>
      <protection hidden="1"/>
    </xf>
    <xf numFmtId="0" fontId="45" fillId="0" borderId="0" xfId="0" applyFont="1" applyProtection="1">
      <protection hidden="1"/>
    </xf>
    <xf numFmtId="0" fontId="45" fillId="0" borderId="0" xfId="0" applyFont="1" applyAlignment="1" applyProtection="1">
      <alignment horizontal="right" indent="1"/>
      <protection hidden="1"/>
    </xf>
    <xf numFmtId="0" fontId="46" fillId="0" borderId="0" xfId="0" applyFont="1" applyAlignment="1" applyProtection="1">
      <alignment horizontal="right"/>
      <protection hidden="1"/>
    </xf>
    <xf numFmtId="0" fontId="19" fillId="0" borderId="0" xfId="0" applyFont="1" applyAlignment="1" applyProtection="1">
      <alignment horizontal="right" indent="1"/>
      <protection hidden="1"/>
    </xf>
    <xf numFmtId="0" fontId="3" fillId="6" borderId="0" xfId="0" applyFont="1" applyFill="1" applyAlignment="1" applyProtection="1">
      <alignment horizontal="right"/>
      <protection hidden="1"/>
    </xf>
    <xf numFmtId="1" fontId="0" fillId="0" borderId="0" xfId="1" applyNumberFormat="1" applyFont="1" applyFill="1" applyAlignment="1" applyProtection="1">
      <alignment horizontal="right"/>
      <protection hidden="1"/>
    </xf>
    <xf numFmtId="1" fontId="0" fillId="0" borderId="0" xfId="0" applyNumberFormat="1" applyAlignment="1" applyProtection="1">
      <alignment horizontal="right"/>
      <protection hidden="1"/>
    </xf>
    <xf numFmtId="165" fontId="14" fillId="0" borderId="0" xfId="1" applyNumberFormat="1" applyFont="1" applyFill="1" applyAlignment="1" applyProtection="1">
      <alignment horizontal="right"/>
      <protection hidden="1"/>
    </xf>
    <xf numFmtId="165" fontId="0" fillId="0" borderId="0" xfId="1" applyNumberFormat="1" applyFont="1" applyFill="1" applyAlignment="1" applyProtection="1">
      <alignment horizontal="right"/>
      <protection hidden="1"/>
    </xf>
    <xf numFmtId="165" fontId="0" fillId="0" borderId="0" xfId="0" quotePrefix="1" applyNumberFormat="1" applyAlignment="1" applyProtection="1">
      <alignment horizontal="right"/>
      <protection hidden="1"/>
    </xf>
    <xf numFmtId="1" fontId="14" fillId="6" borderId="0" xfId="0" applyNumberFormat="1" applyFont="1" applyFill="1" applyAlignment="1" applyProtection="1">
      <alignment horizontal="right" vertical="top"/>
      <protection hidden="1"/>
    </xf>
    <xf numFmtId="1" fontId="0" fillId="6" borderId="0" xfId="0" applyNumberFormat="1" applyFill="1" applyProtection="1">
      <protection hidden="1"/>
    </xf>
    <xf numFmtId="0" fontId="3" fillId="6" borderId="0" xfId="0" applyFont="1" applyFill="1" applyProtection="1">
      <protection hidden="1"/>
    </xf>
    <xf numFmtId="0" fontId="0" fillId="6" borderId="0" xfId="0" applyFill="1" applyProtection="1">
      <protection hidden="1"/>
    </xf>
    <xf numFmtId="0" fontId="0" fillId="6" borderId="0" xfId="0" quotePrefix="1" applyFill="1" applyAlignment="1" applyProtection="1">
      <alignment horizontal="right"/>
      <protection hidden="1"/>
    </xf>
    <xf numFmtId="4" fontId="0" fillId="0" borderId="0" xfId="0" applyNumberFormat="1" applyAlignment="1" applyProtection="1">
      <alignment horizontal="right"/>
      <protection hidden="1"/>
    </xf>
    <xf numFmtId="4" fontId="14" fillId="0" borderId="0" xfId="0" applyNumberFormat="1" applyFont="1" applyAlignment="1" applyProtection="1">
      <alignment horizontal="right" vertical="top"/>
      <protection hidden="1"/>
    </xf>
    <xf numFmtId="4" fontId="14" fillId="3" borderId="0" xfId="0" applyNumberFormat="1" applyFont="1" applyFill="1" applyAlignment="1" applyProtection="1">
      <alignment horizontal="right" vertical="top"/>
      <protection hidden="1"/>
    </xf>
    <xf numFmtId="4" fontId="14" fillId="0" borderId="0" xfId="0" applyNumberFormat="1" applyFont="1" applyAlignment="1" applyProtection="1">
      <alignment horizontal="right"/>
      <protection hidden="1"/>
    </xf>
    <xf numFmtId="4" fontId="14" fillId="3" borderId="0" xfId="0" applyNumberFormat="1" applyFont="1" applyFill="1" applyAlignment="1" applyProtection="1">
      <alignment horizontal="right"/>
      <protection hidden="1"/>
    </xf>
    <xf numFmtId="1" fontId="14" fillId="0" borderId="0" xfId="0" applyNumberFormat="1" applyFont="1" applyAlignment="1" applyProtection="1">
      <alignment horizontal="right"/>
      <protection hidden="1"/>
    </xf>
    <xf numFmtId="1" fontId="14" fillId="3" borderId="0" xfId="0" applyNumberFormat="1" applyFont="1" applyFill="1" applyAlignment="1" applyProtection="1">
      <alignment horizontal="right"/>
      <protection hidden="1"/>
    </xf>
    <xf numFmtId="3" fontId="1" fillId="0" borderId="0" xfId="1" applyNumberFormat="1" applyFont="1" applyFill="1" applyAlignment="1" applyProtection="1">
      <alignment horizontal="right"/>
      <protection hidden="1"/>
    </xf>
    <xf numFmtId="3" fontId="14" fillId="4" borderId="0" xfId="0" applyNumberFormat="1" applyFont="1" applyFill="1" applyAlignment="1" applyProtection="1">
      <alignment horizontal="right"/>
      <protection hidden="1"/>
    </xf>
    <xf numFmtId="3" fontId="14" fillId="0" borderId="0" xfId="0" applyNumberFormat="1" applyFont="1" applyAlignment="1" applyProtection="1">
      <alignment horizontal="right" vertical="top"/>
      <protection hidden="1"/>
    </xf>
    <xf numFmtId="3" fontId="14" fillId="4" borderId="0" xfId="0" applyNumberFormat="1" applyFont="1" applyFill="1" applyAlignment="1" applyProtection="1">
      <alignment horizontal="right" vertical="top"/>
      <protection hidden="1"/>
    </xf>
    <xf numFmtId="3" fontId="14" fillId="0" borderId="0" xfId="0" quotePrefix="1" applyNumberFormat="1" applyFont="1" applyAlignment="1" applyProtection="1">
      <alignment horizontal="right"/>
      <protection hidden="1"/>
    </xf>
    <xf numFmtId="3" fontId="0" fillId="4" borderId="0" xfId="0" applyNumberFormat="1" applyFill="1" applyAlignment="1" applyProtection="1">
      <alignment horizontal="right"/>
      <protection hidden="1"/>
    </xf>
    <xf numFmtId="167" fontId="0" fillId="0" borderId="0" xfId="0" applyNumberFormat="1" applyAlignment="1" applyProtection="1">
      <alignment horizontal="right"/>
      <protection hidden="1"/>
    </xf>
    <xf numFmtId="1" fontId="12" fillId="0" borderId="0" xfId="0" applyNumberFormat="1" applyFont="1" applyAlignment="1" applyProtection="1">
      <alignment horizontal="right"/>
      <protection hidden="1"/>
    </xf>
    <xf numFmtId="1" fontId="3" fillId="0" borderId="0" xfId="0" applyNumberFormat="1" applyFont="1" applyAlignment="1" applyProtection="1">
      <alignment horizontal="right"/>
      <protection hidden="1"/>
    </xf>
    <xf numFmtId="1" fontId="3" fillId="0" borderId="0" xfId="0" applyNumberFormat="1" applyFont="1" applyProtection="1">
      <protection hidden="1"/>
    </xf>
    <xf numFmtId="1" fontId="14" fillId="0" borderId="0" xfId="0" applyNumberFormat="1" applyFont="1" applyAlignment="1" applyProtection="1">
      <alignment horizontal="right" vertical="top"/>
      <protection hidden="1"/>
    </xf>
    <xf numFmtId="1" fontId="0" fillId="0" borderId="0" xfId="0" applyNumberFormat="1" applyProtection="1">
      <protection hidden="1"/>
    </xf>
    <xf numFmtId="1" fontId="0" fillId="0" borderId="0" xfId="0" quotePrefix="1" applyNumberFormat="1" applyAlignment="1" applyProtection="1">
      <alignment horizontal="right"/>
      <protection hidden="1"/>
    </xf>
    <xf numFmtId="167" fontId="14" fillId="0" borderId="0" xfId="0" quotePrefix="1" applyNumberFormat="1" applyFont="1" applyAlignment="1" applyProtection="1">
      <alignment horizontal="right"/>
      <protection hidden="1"/>
    </xf>
    <xf numFmtId="167" fontId="14" fillId="0" borderId="0" xfId="1" quotePrefix="1" applyNumberFormat="1" applyFont="1" applyFill="1" applyAlignment="1" applyProtection="1">
      <alignment horizontal="right"/>
      <protection hidden="1"/>
    </xf>
    <xf numFmtId="167" fontId="14" fillId="0" borderId="0" xfId="1" applyNumberFormat="1" applyFont="1" applyFill="1" applyAlignment="1" applyProtection="1">
      <alignment horizontal="right"/>
      <protection hidden="1"/>
    </xf>
    <xf numFmtId="167" fontId="0" fillId="0" borderId="0" xfId="1" applyNumberFormat="1" applyFont="1" applyFill="1" applyAlignment="1" applyProtection="1">
      <alignment horizontal="right"/>
      <protection hidden="1"/>
    </xf>
    <xf numFmtId="167" fontId="0" fillId="0" borderId="0" xfId="0" quotePrefix="1" applyNumberFormat="1" applyAlignment="1" applyProtection="1">
      <alignment horizontal="right"/>
      <protection hidden="1"/>
    </xf>
    <xf numFmtId="167" fontId="14" fillId="0" borderId="0" xfId="0" applyNumberFormat="1" applyFont="1" applyAlignment="1" applyProtection="1">
      <alignment horizontal="right"/>
      <protection hidden="1"/>
    </xf>
    <xf numFmtId="167" fontId="1" fillId="0" borderId="0" xfId="0" quotePrefix="1" applyNumberFormat="1" applyFont="1" applyAlignment="1" applyProtection="1">
      <alignment horizontal="right"/>
      <protection hidden="1"/>
    </xf>
    <xf numFmtId="167" fontId="1" fillId="0" borderId="0" xfId="0" applyNumberFormat="1" applyFont="1" applyAlignment="1" applyProtection="1">
      <alignment horizontal="right"/>
      <protection hidden="1"/>
    </xf>
    <xf numFmtId="165" fontId="1" fillId="0" borderId="0" xfId="0" quotePrefix="1" applyNumberFormat="1" applyFont="1" applyAlignment="1" applyProtection="1">
      <alignment horizontal="right"/>
      <protection hidden="1"/>
    </xf>
    <xf numFmtId="1" fontId="14" fillId="0" borderId="0" xfId="0" quotePrefix="1" applyNumberFormat="1" applyFont="1" applyAlignment="1" applyProtection="1">
      <alignment horizontal="right"/>
      <protection hidden="1"/>
    </xf>
    <xf numFmtId="1" fontId="1" fillId="0" borderId="0" xfId="0" quotePrefix="1" applyNumberFormat="1" applyFont="1" applyAlignment="1" applyProtection="1">
      <alignment horizontal="right"/>
      <protection hidden="1"/>
    </xf>
    <xf numFmtId="167" fontId="14" fillId="0" borderId="0" xfId="0" applyNumberFormat="1" applyFont="1" applyProtection="1">
      <protection hidden="1"/>
    </xf>
    <xf numFmtId="167" fontId="14" fillId="0" borderId="0" xfId="1" applyNumberFormat="1" applyFont="1" applyFill="1" applyBorder="1" applyAlignment="1" applyProtection="1">
      <alignment horizontal="right"/>
      <protection hidden="1"/>
    </xf>
    <xf numFmtId="167" fontId="1" fillId="0" borderId="0" xfId="0" applyNumberFormat="1" applyFont="1" applyProtection="1">
      <protection hidden="1"/>
    </xf>
    <xf numFmtId="167" fontId="0" fillId="0" borderId="0" xfId="0" applyNumberFormat="1" applyProtection="1">
      <protection hidden="1"/>
    </xf>
    <xf numFmtId="167" fontId="1" fillId="0" borderId="0" xfId="1" applyNumberFormat="1" applyFont="1" applyFill="1" applyAlignment="1" applyProtection="1">
      <alignment horizontal="right"/>
      <protection hidden="1"/>
    </xf>
    <xf numFmtId="1" fontId="1" fillId="0" borderId="0" xfId="1" applyNumberFormat="1" applyFont="1" applyFill="1" applyAlignment="1" applyProtection="1">
      <alignment horizontal="right"/>
      <protection hidden="1"/>
    </xf>
    <xf numFmtId="3" fontId="0" fillId="0" borderId="0" xfId="0" applyNumberFormat="1" applyProtection="1">
      <protection hidden="1"/>
    </xf>
    <xf numFmtId="3" fontId="16" fillId="0" borderId="0" xfId="0" applyNumberFormat="1" applyFont="1" applyAlignment="1" applyProtection="1">
      <alignment horizontal="right"/>
      <protection hidden="1"/>
    </xf>
    <xf numFmtId="3" fontId="0" fillId="0" borderId="0" xfId="0" quotePrefix="1" applyNumberFormat="1" applyAlignment="1" applyProtection="1">
      <alignment horizontal="right"/>
      <protection hidden="1"/>
    </xf>
    <xf numFmtId="3" fontId="14" fillId="6" borderId="0" xfId="0" applyNumberFormat="1" applyFont="1" applyFill="1" applyAlignment="1" applyProtection="1">
      <alignment horizontal="right" vertical="top"/>
      <protection hidden="1"/>
    </xf>
    <xf numFmtId="167" fontId="14" fillId="0" borderId="0" xfId="0" applyNumberFormat="1" applyFont="1" applyAlignment="1" applyProtection="1">
      <alignment horizontal="right" vertical="top"/>
      <protection hidden="1"/>
    </xf>
    <xf numFmtId="167" fontId="0" fillId="0" borderId="0" xfId="1" quotePrefix="1" applyNumberFormat="1" applyFont="1" applyFill="1" applyAlignment="1" applyProtection="1">
      <alignment horizontal="right"/>
      <protection hidden="1"/>
    </xf>
    <xf numFmtId="4" fontId="1" fillId="0" borderId="0" xfId="0" applyNumberFormat="1" applyFont="1" applyProtection="1">
      <protection hidden="1"/>
    </xf>
    <xf numFmtId="4" fontId="1" fillId="0" borderId="0" xfId="0" applyNumberFormat="1" applyFont="1" applyAlignment="1" applyProtection="1">
      <alignment horizontal="right"/>
      <protection hidden="1"/>
    </xf>
    <xf numFmtId="4" fontId="1" fillId="0" borderId="0" xfId="1" applyNumberFormat="1" applyFont="1" applyFill="1" applyAlignment="1" applyProtection="1">
      <alignment horizontal="right"/>
      <protection hidden="1"/>
    </xf>
    <xf numFmtId="3" fontId="1" fillId="0" borderId="0" xfId="0" quotePrefix="1" applyNumberFormat="1" applyFont="1" applyAlignment="1" applyProtection="1">
      <alignment horizontal="right"/>
      <protection hidden="1"/>
    </xf>
    <xf numFmtId="4" fontId="14" fillId="0" borderId="0" xfId="0" quotePrefix="1" applyNumberFormat="1" applyFont="1" applyAlignment="1" applyProtection="1">
      <alignment horizontal="right"/>
      <protection hidden="1"/>
    </xf>
    <xf numFmtId="4" fontId="1" fillId="0" borderId="0" xfId="0" quotePrefix="1" applyNumberFormat="1" applyFont="1" applyAlignment="1" applyProtection="1">
      <alignment horizontal="right"/>
      <protection hidden="1"/>
    </xf>
    <xf numFmtId="2" fontId="0" fillId="0" borderId="0" xfId="0" applyNumberFormat="1" applyAlignment="1" applyProtection="1">
      <alignment horizontal="right"/>
      <protection hidden="1"/>
    </xf>
    <xf numFmtId="0" fontId="29" fillId="0" borderId="0" xfId="2" applyFont="1" applyFill="1" applyAlignment="1" applyProtection="1">
      <alignment horizontal="right"/>
      <protection hidden="1"/>
    </xf>
    <xf numFmtId="2" fontId="1" fillId="0" borderId="0" xfId="1" applyNumberFormat="1" applyFont="1" applyFill="1" applyAlignment="1" applyProtection="1">
      <alignment horizontal="right"/>
      <protection hidden="1"/>
    </xf>
    <xf numFmtId="2" fontId="14" fillId="0" borderId="0" xfId="0" applyNumberFormat="1" applyFont="1" applyAlignment="1" applyProtection="1">
      <alignment horizontal="right"/>
      <protection hidden="1"/>
    </xf>
    <xf numFmtId="2" fontId="14" fillId="0" borderId="0" xfId="0" quotePrefix="1" applyNumberFormat="1" applyFont="1" applyAlignment="1" applyProtection="1">
      <alignment horizontal="right"/>
      <protection hidden="1"/>
    </xf>
    <xf numFmtId="164" fontId="1" fillId="0" borderId="0" xfId="1" applyNumberFormat="1" applyFont="1" applyFill="1" applyAlignment="1" applyProtection="1">
      <alignment horizontal="right"/>
      <protection hidden="1"/>
    </xf>
    <xf numFmtId="1" fontId="14" fillId="0" borderId="0" xfId="1" applyNumberFormat="1" applyFont="1" applyFill="1" applyProtection="1">
      <protection hidden="1"/>
    </xf>
    <xf numFmtId="1" fontId="14" fillId="0" borderId="0" xfId="1" applyNumberFormat="1" applyFont="1" applyFill="1" applyAlignment="1" applyProtection="1">
      <alignment horizontal="right"/>
      <protection hidden="1"/>
    </xf>
    <xf numFmtId="3" fontId="14" fillId="0" borderId="0" xfId="1" applyNumberFormat="1" applyFont="1" applyFill="1" applyProtection="1">
      <protection hidden="1"/>
    </xf>
    <xf numFmtId="3" fontId="14" fillId="0" borderId="0" xfId="1" applyNumberFormat="1" applyFont="1" applyFill="1" applyAlignment="1" applyProtection="1">
      <alignment horizontal="right"/>
      <protection hidden="1"/>
    </xf>
    <xf numFmtId="3" fontId="0" fillId="6" borderId="0" xfId="0" quotePrefix="1" applyNumberFormat="1" applyFill="1" applyAlignment="1" applyProtection="1">
      <alignment horizontal="right"/>
      <protection hidden="1"/>
    </xf>
    <xf numFmtId="3" fontId="0" fillId="5" borderId="0" xfId="0" applyNumberFormat="1" applyFill="1" applyAlignment="1" applyProtection="1">
      <alignment horizontal="right"/>
      <protection hidden="1"/>
    </xf>
    <xf numFmtId="0" fontId="50" fillId="0" borderId="0" xfId="0" applyFont="1" applyAlignment="1" applyProtection="1">
      <alignment horizontal="right"/>
      <protection hidden="1"/>
    </xf>
    <xf numFmtId="0" fontId="21" fillId="7" borderId="0" xfId="0" applyFont="1" applyFill="1" applyAlignment="1" applyProtection="1">
      <alignment horizontal="right" vertical="center"/>
      <protection hidden="1"/>
    </xf>
    <xf numFmtId="0" fontId="22" fillId="7" borderId="0" xfId="0" applyFont="1" applyFill="1" applyAlignment="1" applyProtection="1">
      <alignment horizontal="right" vertical="center"/>
      <protection hidden="1"/>
    </xf>
    <xf numFmtId="0" fontId="12" fillId="7" borderId="0" xfId="0" applyFont="1" applyFill="1" applyAlignment="1" applyProtection="1">
      <alignment horizontal="right"/>
      <protection hidden="1"/>
    </xf>
    <xf numFmtId="0" fontId="14" fillId="7" borderId="0" xfId="0" applyFont="1" applyFill="1" applyAlignment="1" applyProtection="1">
      <alignment horizontal="right"/>
      <protection hidden="1"/>
    </xf>
    <xf numFmtId="0" fontId="12" fillId="7" borderId="0" xfId="0" applyFont="1" applyFill="1" applyAlignment="1" applyProtection="1">
      <alignment horizontal="right" vertical="top"/>
      <protection hidden="1"/>
    </xf>
    <xf numFmtId="0" fontId="14" fillId="7" borderId="0" xfId="0" applyFont="1" applyFill="1" applyAlignment="1" applyProtection="1">
      <alignment horizontal="right" vertical="top"/>
      <protection hidden="1"/>
    </xf>
    <xf numFmtId="1" fontId="0" fillId="7" borderId="0" xfId="0" applyNumberFormat="1" applyFill="1" applyAlignment="1" applyProtection="1">
      <alignment horizontal="right"/>
      <protection hidden="1"/>
    </xf>
    <xf numFmtId="0" fontId="0" fillId="7" borderId="0" xfId="0" quotePrefix="1" applyFill="1" applyAlignment="1" applyProtection="1">
      <alignment horizontal="right"/>
      <protection hidden="1"/>
    </xf>
    <xf numFmtId="165" fontId="0" fillId="7" borderId="0" xfId="0" applyNumberFormat="1" applyFill="1" applyAlignment="1" applyProtection="1">
      <alignment horizontal="right"/>
      <protection hidden="1"/>
    </xf>
    <xf numFmtId="167" fontId="0" fillId="7" borderId="0" xfId="0" applyNumberFormat="1" applyFill="1" applyAlignment="1" applyProtection="1">
      <alignment horizontal="right"/>
      <protection hidden="1"/>
    </xf>
    <xf numFmtId="167" fontId="0" fillId="7" borderId="0" xfId="0" quotePrefix="1" applyNumberFormat="1" applyFill="1" applyAlignment="1" applyProtection="1">
      <alignment horizontal="right"/>
      <protection hidden="1"/>
    </xf>
    <xf numFmtId="3" fontId="0" fillId="7" borderId="0" xfId="0" applyNumberFormat="1" applyFill="1" applyAlignment="1" applyProtection="1">
      <alignment horizontal="right"/>
      <protection hidden="1"/>
    </xf>
    <xf numFmtId="0" fontId="14" fillId="7" borderId="0" xfId="0" quotePrefix="1" applyFont="1" applyFill="1" applyAlignment="1" applyProtection="1">
      <alignment horizontal="right"/>
      <protection hidden="1"/>
    </xf>
    <xf numFmtId="0" fontId="14" fillId="7" borderId="0" xfId="1" applyNumberFormat="1" applyFont="1" applyFill="1" applyAlignment="1" applyProtection="1">
      <alignment horizontal="right"/>
      <protection hidden="1"/>
    </xf>
    <xf numFmtId="167" fontId="14" fillId="7" borderId="0" xfId="1" applyNumberFormat="1" applyFont="1" applyFill="1" applyAlignment="1" applyProtection="1">
      <alignment horizontal="right"/>
      <protection hidden="1"/>
    </xf>
    <xf numFmtId="165" fontId="14" fillId="7" borderId="0" xfId="0" applyNumberFormat="1" applyFont="1" applyFill="1" applyAlignment="1" applyProtection="1">
      <alignment horizontal="right"/>
      <protection hidden="1"/>
    </xf>
    <xf numFmtId="1" fontId="14" fillId="7" borderId="0" xfId="0" applyNumberFormat="1" applyFont="1" applyFill="1" applyAlignment="1" applyProtection="1">
      <alignment horizontal="right" vertical="top"/>
      <protection hidden="1"/>
    </xf>
    <xf numFmtId="1" fontId="14" fillId="7" borderId="0" xfId="0" quotePrefix="1" applyNumberFormat="1" applyFont="1" applyFill="1" applyAlignment="1" applyProtection="1">
      <alignment horizontal="right" vertical="top"/>
      <protection hidden="1"/>
    </xf>
    <xf numFmtId="0" fontId="48" fillId="0" borderId="0" xfId="0" applyFont="1" applyAlignment="1" applyProtection="1">
      <alignment horizontal="left"/>
      <protection hidden="1"/>
    </xf>
    <xf numFmtId="167" fontId="0" fillId="0" borderId="0" xfId="0" applyNumberFormat="1" applyAlignment="1">
      <alignment horizontal="right"/>
    </xf>
    <xf numFmtId="0" fontId="14" fillId="7" borderId="0" xfId="0" applyFont="1" applyFill="1" applyProtection="1">
      <protection hidden="1"/>
    </xf>
    <xf numFmtId="0" fontId="20" fillId="7" borderId="0" xfId="0" applyFont="1" applyFill="1" applyProtection="1">
      <protection hidden="1"/>
    </xf>
    <xf numFmtId="0" fontId="12" fillId="7" borderId="0" xfId="0" applyFont="1" applyFill="1" applyProtection="1">
      <protection hidden="1"/>
    </xf>
    <xf numFmtId="0" fontId="0" fillId="7" borderId="0" xfId="0" applyFill="1" applyProtection="1">
      <protection hidden="1"/>
    </xf>
    <xf numFmtId="0" fontId="20" fillId="7" borderId="0" xfId="0" applyFont="1" applyFill="1" applyAlignment="1" applyProtection="1">
      <alignment horizontal="left"/>
      <protection hidden="1"/>
    </xf>
    <xf numFmtId="0" fontId="50" fillId="7" borderId="0" xfId="0" applyFont="1" applyFill="1" applyAlignment="1" applyProtection="1">
      <alignment horizontal="right"/>
      <protection hidden="1"/>
    </xf>
    <xf numFmtId="0" fontId="0" fillId="7" borderId="0" xfId="0" applyFill="1" applyAlignment="1" applyProtection="1">
      <alignment vertical="top"/>
      <protection hidden="1"/>
    </xf>
    <xf numFmtId="0" fontId="0" fillId="7" borderId="0" xfId="0" applyFill="1" applyAlignment="1" applyProtection="1">
      <alignment horizontal="left"/>
      <protection hidden="1"/>
    </xf>
    <xf numFmtId="0" fontId="0" fillId="7" borderId="0" xfId="0" applyFill="1" applyAlignment="1" applyProtection="1">
      <alignment horizontal="left" vertical="top"/>
      <protection hidden="1"/>
    </xf>
    <xf numFmtId="0" fontId="3" fillId="7" borderId="0" xfId="0" applyFont="1" applyFill="1" applyProtection="1">
      <protection hidden="1"/>
    </xf>
    <xf numFmtId="0" fontId="0" fillId="7" borderId="0" xfId="0" applyFill="1" applyAlignment="1" applyProtection="1">
      <alignment horizontal="left" indent="1"/>
      <protection hidden="1"/>
    </xf>
    <xf numFmtId="0" fontId="0" fillId="7" borderId="0" xfId="0" applyFill="1" applyAlignment="1" applyProtection="1">
      <alignment horizontal="left" vertical="top" indent="1"/>
      <protection hidden="1"/>
    </xf>
    <xf numFmtId="49" fontId="48" fillId="0" borderId="0" xfId="0" applyNumberFormat="1" applyFont="1" applyAlignment="1" applyProtection="1">
      <alignment horizontal="right"/>
      <protection hidden="1"/>
    </xf>
    <xf numFmtId="0" fontId="20" fillId="0" borderId="0" xfId="0" applyFont="1" applyAlignment="1" applyProtection="1">
      <alignment horizontal="left"/>
      <protection hidden="1"/>
    </xf>
    <xf numFmtId="0" fontId="14" fillId="0" borderId="0" xfId="0" applyFont="1" applyAlignment="1" applyProtection="1">
      <alignment horizontal="right" indent="1"/>
      <protection hidden="1"/>
    </xf>
    <xf numFmtId="165" fontId="0" fillId="0" borderId="0" xfId="0" applyNumberFormat="1" applyAlignment="1" applyProtection="1">
      <alignment horizontal="right"/>
      <protection hidden="1"/>
    </xf>
    <xf numFmtId="1" fontId="14" fillId="5" borderId="0" xfId="0" applyNumberFormat="1" applyFont="1" applyFill="1" applyAlignment="1" applyProtection="1">
      <alignment horizontal="right" vertical="top"/>
      <protection hidden="1"/>
    </xf>
    <xf numFmtId="165" fontId="0" fillId="6" borderId="0" xfId="0" applyNumberFormat="1" applyFill="1" applyAlignment="1" applyProtection="1">
      <alignment horizontal="right"/>
      <protection hidden="1"/>
    </xf>
    <xf numFmtId="0" fontId="0" fillId="7" borderId="0" xfId="0" applyFill="1" applyAlignment="1" applyProtection="1">
      <alignment horizontal="right"/>
      <protection hidden="1"/>
    </xf>
    <xf numFmtId="165" fontId="0" fillId="0" borderId="0" xfId="0" applyNumberFormat="1" applyAlignment="1">
      <alignment horizontal="right"/>
    </xf>
    <xf numFmtId="0" fontId="48" fillId="0" borderId="0" xfId="0" applyFont="1" applyAlignment="1" applyProtection="1">
      <alignment horizontal="left" indent="1"/>
      <protection hidden="1"/>
    </xf>
    <xf numFmtId="0" fontId="48" fillId="0" borderId="0" xfId="0" applyFont="1"/>
    <xf numFmtId="168" fontId="0" fillId="5" borderId="0" xfId="0" applyNumberFormat="1" applyFill="1" applyAlignment="1" applyProtection="1">
      <alignment horizontal="right"/>
      <protection hidden="1"/>
    </xf>
    <xf numFmtId="0" fontId="14" fillId="5" borderId="0" xfId="0" applyFont="1" applyFill="1" applyAlignment="1" applyProtection="1">
      <alignment horizontal="right" vertical="top"/>
      <protection hidden="1"/>
    </xf>
    <xf numFmtId="0" fontId="14" fillId="5" borderId="0" xfId="0" applyFont="1" applyFill="1" applyAlignment="1" applyProtection="1">
      <alignment horizontal="right"/>
      <protection hidden="1"/>
    </xf>
    <xf numFmtId="0" fontId="0" fillId="5" borderId="0" xfId="0" applyFill="1" applyAlignment="1" applyProtection="1">
      <alignment horizontal="right"/>
      <protection hidden="1"/>
    </xf>
    <xf numFmtId="0" fontId="14" fillId="6" borderId="0" xfId="0" applyFont="1" applyFill="1" applyAlignment="1" applyProtection="1">
      <alignment horizontal="right"/>
      <protection hidden="1"/>
    </xf>
    <xf numFmtId="0" fontId="14" fillId="6" borderId="0" xfId="0" applyFont="1" applyFill="1" applyAlignment="1" applyProtection="1">
      <alignment horizontal="right" vertical="top"/>
      <protection hidden="1"/>
    </xf>
    <xf numFmtId="0" fontId="0" fillId="6" borderId="0" xfId="0" applyFill="1" applyAlignment="1" applyProtection="1">
      <alignment horizontal="right"/>
      <protection hidden="1"/>
    </xf>
    <xf numFmtId="0" fontId="0" fillId="5" borderId="0" xfId="0" applyFill="1"/>
    <xf numFmtId="1" fontId="0" fillId="5" borderId="0" xfId="0" applyNumberFormat="1" applyFill="1"/>
    <xf numFmtId="0" fontId="48" fillId="0" borderId="0" xfId="0" applyFont="1" applyProtection="1">
      <protection hidden="1"/>
    </xf>
    <xf numFmtId="0" fontId="48" fillId="6" borderId="0" xfId="0" applyFont="1" applyFill="1" applyAlignment="1" applyProtection="1">
      <alignment horizontal="right"/>
      <protection hidden="1"/>
    </xf>
    <xf numFmtId="0" fontId="48" fillId="0" borderId="0" xfId="0" applyFont="1" applyAlignment="1" applyProtection="1">
      <alignment horizontal="right"/>
      <protection hidden="1"/>
    </xf>
    <xf numFmtId="1" fontId="0" fillId="5" borderId="0" xfId="0" applyNumberFormat="1" applyFill="1" applyAlignment="1" applyProtection="1">
      <alignment horizontal="right"/>
      <protection hidden="1"/>
    </xf>
    <xf numFmtId="165" fontId="0" fillId="3" borderId="0" xfId="0" applyNumberFormat="1" applyFill="1" applyAlignment="1" applyProtection="1">
      <alignment horizontal="right"/>
      <protection hidden="1"/>
    </xf>
    <xf numFmtId="4" fontId="0" fillId="3" borderId="0" xfId="0" applyNumberFormat="1" applyFill="1" applyAlignment="1" applyProtection="1">
      <alignment horizontal="right"/>
      <protection hidden="1"/>
    </xf>
    <xf numFmtId="3" fontId="14" fillId="3" borderId="0" xfId="0" applyNumberFormat="1" applyFont="1" applyFill="1" applyAlignment="1" applyProtection="1">
      <alignment horizontal="right" vertical="top"/>
      <protection hidden="1"/>
    </xf>
    <xf numFmtId="2" fontId="0" fillId="3" borderId="0" xfId="0" applyNumberFormat="1" applyFill="1" applyAlignment="1" applyProtection="1">
      <alignment horizontal="right"/>
      <protection hidden="1"/>
    </xf>
    <xf numFmtId="0" fontId="19" fillId="7" borderId="0" xfId="0" applyFont="1" applyFill="1" applyProtection="1">
      <protection hidden="1"/>
    </xf>
    <xf numFmtId="0" fontId="19" fillId="7" borderId="0" xfId="0" applyFont="1" applyFill="1" applyAlignment="1" applyProtection="1">
      <alignment horizontal="left"/>
      <protection hidden="1"/>
    </xf>
    <xf numFmtId="0" fontId="19" fillId="0" borderId="0" xfId="0" applyFont="1" applyAlignment="1" applyProtection="1">
      <alignment horizontal="left"/>
      <protection hidden="1"/>
    </xf>
    <xf numFmtId="3" fontId="0" fillId="0" borderId="0" xfId="0" applyNumberFormat="1" applyAlignment="1" applyProtection="1">
      <alignment horizontal="right" vertical="top"/>
      <protection hidden="1"/>
    </xf>
    <xf numFmtId="1" fontId="0" fillId="0" borderId="0" xfId="0" applyNumberFormat="1" applyAlignment="1" applyProtection="1">
      <alignment horizontal="right" vertical="top"/>
      <protection hidden="1"/>
    </xf>
    <xf numFmtId="167" fontId="0" fillId="6" borderId="0" xfId="0" quotePrefix="1" applyNumberFormat="1" applyFill="1" applyAlignment="1" applyProtection="1">
      <alignment horizontal="right"/>
      <protection hidden="1"/>
    </xf>
    <xf numFmtId="0" fontId="19" fillId="0" borderId="0" xfId="0" applyFont="1" applyAlignment="1" applyProtection="1">
      <alignment horizontal="left" indent="1"/>
      <protection hidden="1"/>
    </xf>
    <xf numFmtId="0" fontId="53" fillId="0" borderId="0" xfId="0" applyFont="1" applyAlignment="1" applyProtection="1">
      <alignment horizontal="left"/>
      <protection hidden="1"/>
    </xf>
    <xf numFmtId="3" fontId="54" fillId="0" borderId="0" xfId="0" applyNumberFormat="1" applyFont="1" applyAlignment="1" applyProtection="1">
      <alignment horizontal="left"/>
      <protection hidden="1"/>
    </xf>
    <xf numFmtId="165" fontId="0" fillId="0" borderId="0" xfId="0" applyNumberFormat="1"/>
    <xf numFmtId="0" fontId="53" fillId="0" borderId="0" xfId="0" applyFont="1" applyProtection="1">
      <protection hidden="1"/>
    </xf>
    <xf numFmtId="0" fontId="55" fillId="0" borderId="0" xfId="0" applyFont="1" applyAlignment="1" applyProtection="1">
      <alignment horizontal="right"/>
      <protection hidden="1"/>
    </xf>
    <xf numFmtId="0" fontId="48" fillId="0" borderId="0" xfId="0" applyFont="1" applyAlignment="1" applyProtection="1">
      <alignment horizontal="right" indent="1"/>
      <protection hidden="1"/>
    </xf>
    <xf numFmtId="164" fontId="48" fillId="0" borderId="0" xfId="1" applyNumberFormat="1" applyFont="1" applyFill="1" applyAlignment="1" applyProtection="1">
      <alignment horizontal="right"/>
      <protection hidden="1"/>
    </xf>
    <xf numFmtId="0" fontId="0" fillId="7" borderId="0" xfId="0" applyFill="1" applyAlignment="1" applyProtection="1">
      <alignment horizontal="left" indent="3"/>
      <protection hidden="1"/>
    </xf>
    <xf numFmtId="0" fontId="56" fillId="0" borderId="0" xfId="0" applyFont="1" applyAlignment="1" applyProtection="1">
      <alignment horizontal="right"/>
      <protection hidden="1"/>
    </xf>
    <xf numFmtId="0" fontId="51" fillId="0" borderId="0" xfId="0" applyFont="1" applyAlignment="1" applyProtection="1">
      <alignment horizontal="left" vertical="top"/>
      <protection hidden="1"/>
    </xf>
    <xf numFmtId="0" fontId="51" fillId="0" borderId="0" xfId="0" applyFont="1" applyAlignment="1" applyProtection="1">
      <alignment horizontal="right"/>
      <protection hidden="1"/>
    </xf>
    <xf numFmtId="0" fontId="51" fillId="0" borderId="0" xfId="1" applyNumberFormat="1" applyFont="1" applyFill="1" applyAlignment="1" applyProtection="1">
      <alignment horizontal="right"/>
      <protection hidden="1"/>
    </xf>
    <xf numFmtId="0" fontId="51" fillId="0" borderId="0" xfId="0" applyFont="1" applyProtection="1">
      <protection hidden="1"/>
    </xf>
    <xf numFmtId="1" fontId="0" fillId="6" borderId="0" xfId="0" quotePrefix="1" applyNumberFormat="1" applyFill="1" applyAlignment="1" applyProtection="1">
      <alignment horizontal="right"/>
      <protection hidden="1"/>
    </xf>
    <xf numFmtId="0" fontId="51" fillId="0" borderId="0" xfId="0" applyFont="1" applyAlignment="1" applyProtection="1">
      <alignment horizontal="left" vertical="top" wrapText="1"/>
      <protection hidden="1"/>
    </xf>
    <xf numFmtId="0" fontId="51" fillId="0" borderId="0" xfId="0" applyFont="1" applyAlignment="1" applyProtection="1">
      <alignment horizontal="right" vertical="top" wrapText="1"/>
      <protection hidden="1"/>
    </xf>
    <xf numFmtId="0" fontId="51" fillId="0" borderId="0" xfId="0" applyFont="1" applyAlignment="1" applyProtection="1">
      <alignment horizontal="right" vertical="top" wrapText="1" indent="1"/>
      <protection hidden="1"/>
    </xf>
    <xf numFmtId="0" fontId="57" fillId="0" borderId="0" xfId="0" applyFont="1" applyAlignment="1" applyProtection="1">
      <alignment horizontal="right"/>
      <protection hidden="1"/>
    </xf>
    <xf numFmtId="49" fontId="51" fillId="0" borderId="0" xfId="0" applyNumberFormat="1" applyFont="1" applyAlignment="1" applyProtection="1">
      <alignment horizontal="right" vertical="top"/>
      <protection hidden="1"/>
    </xf>
    <xf numFmtId="0" fontId="51" fillId="0" borderId="0" xfId="0" applyFont="1" applyAlignment="1" applyProtection="1">
      <alignment horizontal="right" vertical="top"/>
      <protection hidden="1"/>
    </xf>
    <xf numFmtId="0" fontId="48" fillId="0" borderId="0" xfId="1" applyNumberFormat="1" applyFont="1" applyFill="1" applyAlignment="1" applyProtection="1">
      <alignment horizontal="right"/>
      <protection hidden="1"/>
    </xf>
    <xf numFmtId="0" fontId="1" fillId="0" borderId="0" xfId="1" quotePrefix="1" applyNumberFormat="1" applyFont="1" applyFill="1" applyAlignment="1" applyProtection="1">
      <alignment horizontal="right"/>
      <protection hidden="1"/>
    </xf>
    <xf numFmtId="0" fontId="6"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left"/>
      <protection hidden="1"/>
    </xf>
    <xf numFmtId="0" fontId="3" fillId="0" borderId="0" xfId="0" applyFont="1" applyAlignment="1" applyProtection="1">
      <alignment horizontal="left" vertical="top"/>
      <protection hidden="1"/>
    </xf>
    <xf numFmtId="0" fontId="0" fillId="0" borderId="0" xfId="0" applyAlignment="1" applyProtection="1">
      <alignment horizontal="left" vertical="top"/>
      <protection hidden="1"/>
    </xf>
    <xf numFmtId="0" fontId="14" fillId="0" borderId="0" xfId="3" applyAlignment="1" applyProtection="1">
      <alignment horizontal="left" indent="2"/>
      <protection hidden="1"/>
    </xf>
    <xf numFmtId="0" fontId="58" fillId="0" borderId="0" xfId="0" applyFont="1" applyAlignment="1" applyProtection="1">
      <alignment horizontal="right"/>
      <protection hidden="1"/>
    </xf>
    <xf numFmtId="165" fontId="0" fillId="5" borderId="0" xfId="0" applyNumberFormat="1" applyFill="1"/>
    <xf numFmtId="167" fontId="0" fillId="5" borderId="0" xfId="0" applyNumberFormat="1" applyFill="1" applyAlignment="1" applyProtection="1">
      <alignment horizontal="right"/>
      <protection hidden="1"/>
    </xf>
    <xf numFmtId="0" fontId="0" fillId="0" borderId="0" xfId="0" applyAlignment="1">
      <alignment horizontal="right"/>
    </xf>
    <xf numFmtId="49" fontId="52" fillId="0" borderId="0" xfId="0" applyNumberFormat="1" applyFont="1" applyAlignment="1" applyProtection="1">
      <alignment horizontal="right"/>
      <protection hidden="1"/>
    </xf>
    <xf numFmtId="167" fontId="14" fillId="5" borderId="0" xfId="1" applyNumberFormat="1" applyFont="1" applyFill="1" applyAlignment="1" applyProtection="1">
      <alignment horizontal="right"/>
      <protection hidden="1"/>
    </xf>
    <xf numFmtId="165" fontId="14" fillId="5" borderId="0" xfId="0" applyNumberFormat="1" applyFont="1" applyFill="1" applyAlignment="1" applyProtection="1">
      <alignment horizontal="right"/>
      <protection hidden="1"/>
    </xf>
    <xf numFmtId="3" fontId="14" fillId="6" borderId="0" xfId="0" applyNumberFormat="1" applyFont="1" applyFill="1" applyAlignment="1" applyProtection="1">
      <alignment horizontal="right"/>
      <protection hidden="1"/>
    </xf>
    <xf numFmtId="167" fontId="14" fillId="6" borderId="0" xfId="0" applyNumberFormat="1" applyFont="1" applyFill="1" applyAlignment="1" applyProtection="1">
      <alignment horizontal="right" vertical="top"/>
      <protection hidden="1"/>
    </xf>
    <xf numFmtId="167" fontId="14" fillId="6" borderId="0" xfId="0" applyNumberFormat="1" applyFont="1" applyFill="1" applyAlignment="1" applyProtection="1">
      <alignment horizontal="right"/>
      <protection hidden="1"/>
    </xf>
    <xf numFmtId="167" fontId="14" fillId="6" borderId="0" xfId="4" applyNumberFormat="1" applyFont="1" applyFill="1" applyAlignment="1" applyProtection="1">
      <alignment horizontal="right"/>
      <protection hidden="1"/>
    </xf>
    <xf numFmtId="3" fontId="14" fillId="6" borderId="0" xfId="4" applyNumberFormat="1" applyFont="1" applyFill="1" applyAlignment="1" applyProtection="1">
      <alignment horizontal="right"/>
      <protection hidden="1"/>
    </xf>
    <xf numFmtId="1" fontId="14" fillId="6" borderId="0" xfId="0" applyNumberFormat="1" applyFont="1" applyFill="1" applyAlignment="1" applyProtection="1">
      <alignment horizontal="right"/>
      <protection hidden="1"/>
    </xf>
    <xf numFmtId="165" fontId="0" fillId="6" borderId="0" xfId="0" applyNumberFormat="1" applyFill="1" applyAlignment="1">
      <alignment horizontal="right"/>
    </xf>
    <xf numFmtId="167" fontId="0" fillId="6" borderId="0" xfId="0" applyNumberFormat="1" applyFill="1" applyAlignment="1">
      <alignment horizontal="right"/>
    </xf>
    <xf numFmtId="1" fontId="3" fillId="6" borderId="0" xfId="0" applyNumberFormat="1" applyFont="1" applyFill="1" applyAlignment="1" applyProtection="1">
      <alignment horizontal="right"/>
      <protection hidden="1"/>
    </xf>
    <xf numFmtId="1" fontId="3" fillId="6" borderId="0" xfId="0" applyNumberFormat="1" applyFont="1" applyFill="1" applyProtection="1">
      <protection hidden="1"/>
    </xf>
    <xf numFmtId="3" fontId="0" fillId="6" borderId="0" xfId="0" applyNumberFormat="1" applyFill="1" applyAlignment="1" applyProtection="1">
      <alignment horizontal="right"/>
      <protection hidden="1"/>
    </xf>
    <xf numFmtId="0" fontId="59" fillId="0" borderId="0" xfId="2" applyFont="1" applyFill="1" applyAlignment="1" applyProtection="1">
      <alignment horizontal="right"/>
      <protection hidden="1"/>
    </xf>
    <xf numFmtId="168" fontId="0" fillId="0" borderId="0" xfId="0" applyNumberFormat="1" applyAlignment="1" applyProtection="1">
      <alignment horizontal="right"/>
      <protection hidden="1"/>
    </xf>
    <xf numFmtId="0" fontId="0" fillId="5" borderId="0" xfId="0" applyFill="1" applyAlignment="1">
      <alignment horizontal="right"/>
    </xf>
    <xf numFmtId="165" fontId="14" fillId="6" borderId="0" xfId="0" quotePrefix="1" applyNumberFormat="1" applyFont="1" applyFill="1" applyAlignment="1" applyProtection="1">
      <alignment horizontal="right"/>
      <protection hidden="1"/>
    </xf>
    <xf numFmtId="165" fontId="14" fillId="6" borderId="0" xfId="0" applyNumberFormat="1" applyFont="1" applyFill="1" applyAlignment="1" applyProtection="1">
      <alignment horizontal="right"/>
      <protection hidden="1"/>
    </xf>
    <xf numFmtId="167" fontId="0" fillId="4" borderId="0" xfId="0" applyNumberFormat="1" applyFill="1" applyAlignment="1" applyProtection="1">
      <alignment horizontal="right"/>
      <protection hidden="1"/>
    </xf>
    <xf numFmtId="4" fontId="0" fillId="4" borderId="0" xfId="0" applyNumberFormat="1" applyFill="1" applyAlignment="1" applyProtection="1">
      <alignment horizontal="right"/>
      <protection hidden="1"/>
    </xf>
    <xf numFmtId="2" fontId="0" fillId="4" borderId="0" xfId="0" applyNumberFormat="1" applyFill="1" applyAlignment="1" applyProtection="1">
      <alignment horizontal="right"/>
      <protection hidden="1"/>
    </xf>
    <xf numFmtId="169" fontId="0" fillId="4" borderId="0" xfId="0" applyNumberFormat="1" applyFill="1" applyAlignment="1" applyProtection="1">
      <alignment horizontal="right"/>
      <protection hidden="1"/>
    </xf>
    <xf numFmtId="170" fontId="0" fillId="4" borderId="0" xfId="0" applyNumberFormat="1" applyFill="1" applyAlignment="1" applyProtection="1">
      <alignment horizontal="right"/>
      <protection hidden="1"/>
    </xf>
    <xf numFmtId="0" fontId="60" fillId="0" borderId="0" xfId="0" applyFont="1"/>
    <xf numFmtId="0" fontId="0" fillId="8" borderId="0" xfId="0" applyFill="1" applyAlignment="1" applyProtection="1">
      <alignment horizontal="right"/>
      <protection hidden="1"/>
    </xf>
    <xf numFmtId="0" fontId="14" fillId="8" borderId="0" xfId="0" applyFont="1" applyFill="1" applyAlignment="1" applyProtection="1">
      <alignment horizontal="right"/>
      <protection hidden="1"/>
    </xf>
    <xf numFmtId="0" fontId="0" fillId="0" borderId="4" xfId="0" applyBorder="1"/>
    <xf numFmtId="0" fontId="0" fillId="0" borderId="5" xfId="0" applyBorder="1"/>
    <xf numFmtId="0" fontId="14" fillId="0" borderId="4" xfId="0" applyFont="1" applyBorder="1"/>
    <xf numFmtId="0" fontId="14" fillId="0" borderId="0" xfId="0" applyNumberFormat="1" applyFont="1" applyAlignment="1" applyProtection="1">
      <alignment horizontal="right"/>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wrapText="1"/>
      <protection hidden="1"/>
    </xf>
    <xf numFmtId="0" fontId="40" fillId="0" borderId="0" xfId="2" applyFont="1" applyAlignment="1" applyProtection="1">
      <alignment horizontal="right" vertical="center" wrapText="1" indent="1"/>
      <protection hidden="1"/>
    </xf>
    <xf numFmtId="0" fontId="40" fillId="0" borderId="3" xfId="2" applyFont="1" applyBorder="1" applyAlignment="1" applyProtection="1">
      <alignment horizontal="right" vertical="center" wrapText="1" indent="1"/>
      <protection hidden="1"/>
    </xf>
    <xf numFmtId="0" fontId="12" fillId="0" borderId="0" xfId="0" applyFont="1" applyAlignment="1" applyProtection="1">
      <alignment vertical="top"/>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cellXfs>
  <cellStyles count="11">
    <cellStyle name="Komma 2" xfId="7" xr:uid="{00000000-0005-0000-0000-000000000000}"/>
    <cellStyle name="Komma 2 2" xfId="10" xr:uid="{00000000-0005-0000-0000-000001000000}"/>
    <cellStyle name="Komma 3" xfId="9" xr:uid="{00000000-0005-0000-0000-000002000000}"/>
    <cellStyle name="Lien hypertexte" xfId="2" builtinId="8"/>
    <cellStyle name="Milliers" xfId="1" builtinId="3"/>
    <cellStyle name="Normal" xfId="0" builtinId="0"/>
    <cellStyle name="Pourcentage" xfId="4" builtinId="5"/>
    <cellStyle name="Prozent 2" xfId="8" xr:uid="{00000000-0005-0000-0000-000007000000}"/>
    <cellStyle name="Standard 2" xfId="6" xr:uid="{00000000-0005-0000-0000-000008000000}"/>
    <cellStyle name="Standard 2 2" xfId="5" xr:uid="{00000000-0005-0000-0000-000009000000}"/>
    <cellStyle name="Standard 7" xfId="3" xr:uid="{00000000-0005-0000-0000-00000A000000}"/>
  </cellStyles>
  <dxfs count="1003">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3" formatCode="#,##0"/>
    </dxf>
    <dxf>
      <fill>
        <patternFill>
          <bgColor theme="2" tint="0.59996337778862885"/>
        </patternFill>
      </fill>
    </dxf>
    <dxf>
      <numFmt numFmtId="3" formatCode="#,##0"/>
    </dxf>
    <dxf>
      <numFmt numFmtId="167" formatCode="#,##0.0"/>
    </dxf>
    <dxf>
      <numFmt numFmtId="3" formatCode="#,##0"/>
    </dxf>
    <dxf>
      <fill>
        <patternFill>
          <bgColor theme="2" tint="0.59996337778862885"/>
        </patternFill>
      </fill>
    </dxf>
    <dxf>
      <numFmt numFmtId="3" formatCode="#,##0"/>
    </dxf>
    <dxf>
      <numFmt numFmtId="167" formatCode="#,##0.0"/>
    </dxf>
    <dxf>
      <numFmt numFmtId="3" formatCode="#,##0"/>
    </dxf>
    <dxf>
      <fill>
        <patternFill>
          <bgColor theme="2" tint="0.59996337778862885"/>
        </patternFill>
      </fill>
    </dxf>
    <dxf>
      <numFmt numFmtId="3" formatCode="#,##0"/>
    </dxf>
    <dxf>
      <numFmt numFmtId="167" formatCode="#,##0.0"/>
    </dxf>
    <dxf>
      <numFmt numFmtId="3" formatCode="#,##0"/>
    </dxf>
    <dxf>
      <fill>
        <patternFill>
          <bgColor theme="2" tint="0.59996337778862885"/>
        </patternFill>
      </fill>
    </dxf>
    <dxf>
      <numFmt numFmtId="4" formatCode="#,##0.00"/>
    </dxf>
    <dxf>
      <numFmt numFmtId="3" formatCode="#,##0"/>
    </dxf>
    <dxf>
      <numFmt numFmtId="167" formatCode="#,##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3" formatCode="#,##0"/>
    </dxf>
    <dxf>
      <numFmt numFmtId="167" formatCode="#,##0.0"/>
    </dxf>
    <dxf>
      <numFmt numFmtId="167" formatCode="#,##0.0"/>
    </dxf>
    <dxf>
      <numFmt numFmtId="167" formatCode="#,##0.0"/>
    </dxf>
    <dxf>
      <numFmt numFmtId="167" formatCode="#,##0.0"/>
    </dxf>
    <dxf>
      <numFmt numFmtId="167" formatCode="#,##0.0"/>
    </dxf>
    <dxf>
      <numFmt numFmtId="3" formatCode="#,##0"/>
    </dxf>
    <dxf>
      <numFmt numFmtId="4" formatCode="#,##0.00"/>
    </dxf>
    <dxf>
      <numFmt numFmtId="167" formatCode="#,##0.0"/>
    </dxf>
    <dxf>
      <numFmt numFmtId="3" formatCode="#,##0"/>
    </dxf>
    <dxf>
      <fill>
        <patternFill>
          <bgColor theme="2" tint="0.59996337778862885"/>
        </patternFill>
      </fill>
    </dxf>
    <dxf>
      <numFmt numFmtId="167" formatCode="#,##0.0"/>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3" formatCode="#,##0"/>
    </dxf>
    <dxf>
      <numFmt numFmtId="4" formatCode="#,##0.00"/>
    </dxf>
    <dxf>
      <numFmt numFmtId="167" formatCode="#,##0.0"/>
    </dxf>
    <dxf>
      <numFmt numFmtId="3" formatCode="#,##0"/>
    </dxf>
    <dxf>
      <fill>
        <patternFill>
          <bgColor theme="2" tint="0.59996337778862885"/>
        </patternFill>
      </fill>
    </dxf>
    <dxf>
      <numFmt numFmtId="167" formatCode="#,##0.0"/>
    </dxf>
    <dxf>
      <numFmt numFmtId="3" formatCode="#,##0"/>
    </dxf>
    <dxf>
      <numFmt numFmtId="4" formatCode="#,##0.00"/>
    </dxf>
    <dxf>
      <numFmt numFmtId="167" formatCode="#,##0.0"/>
    </dxf>
    <dxf>
      <numFmt numFmtId="3" formatCode="#,##0"/>
    </dxf>
    <dxf>
      <fill>
        <patternFill>
          <bgColor theme="2" tint="0.59996337778862885"/>
        </patternFill>
      </fill>
    </dxf>
    <dxf>
      <numFmt numFmtId="3" formatCode="#,##0"/>
    </dxf>
    <dxf>
      <numFmt numFmtId="4" formatCode="#,##0.00"/>
    </dxf>
    <dxf>
      <numFmt numFmtId="167" formatCode="#,##0.0"/>
    </dxf>
    <dxf>
      <numFmt numFmtId="3" formatCode="#,##0"/>
    </dxf>
    <dxf>
      <fill>
        <patternFill>
          <bgColor theme="2" tint="0.59996337778862885"/>
        </patternFill>
      </fill>
    </dxf>
    <dxf>
      <numFmt numFmtId="3" formatCode="#,##0"/>
    </dxf>
    <dxf>
      <numFmt numFmtId="4" formatCode="#,##0.00"/>
    </dxf>
    <dxf>
      <numFmt numFmtId="167" formatCode="#,##0.0"/>
    </dxf>
    <dxf>
      <numFmt numFmtId="3" formatCode="#,##0"/>
    </dxf>
    <dxf>
      <fill>
        <patternFill>
          <bgColor theme="2" tint="0.59996337778862885"/>
        </patternFill>
      </fill>
    </dxf>
    <dxf>
      <numFmt numFmtId="3" formatCode="#,##0"/>
    </dxf>
    <dxf>
      <numFmt numFmtId="4" formatCode="#,##0.00"/>
    </dxf>
    <dxf>
      <numFmt numFmtId="167" formatCode="#,##0.0"/>
    </dxf>
    <dxf>
      <numFmt numFmtId="3" formatCode="#,##0"/>
    </dxf>
    <dxf>
      <numFmt numFmtId="3" formatCode="#,##0"/>
    </dxf>
    <dxf>
      <numFmt numFmtId="4" formatCode="#,##0.00"/>
    </dxf>
    <dxf>
      <numFmt numFmtId="167" formatCode="#,##0.0"/>
    </dxf>
    <dxf>
      <numFmt numFmtId="3" formatCode="#,##0"/>
    </dxf>
    <dxf>
      <fill>
        <patternFill>
          <bgColor theme="2" tint="0.59996337778862885"/>
        </patternFill>
      </fill>
    </dxf>
    <dxf>
      <numFmt numFmtId="3" formatCode="#,##0"/>
    </dxf>
    <dxf>
      <numFmt numFmtId="4" formatCode="#,##0.00"/>
    </dxf>
    <dxf>
      <numFmt numFmtId="167" formatCode="#,##0.0"/>
    </dxf>
    <dxf>
      <numFmt numFmtId="3" formatCode="#,##0"/>
    </dxf>
    <dxf>
      <fill>
        <patternFill>
          <bgColor theme="2" tint="0.59996337778862885"/>
        </patternFill>
      </fill>
    </dxf>
    <dxf>
      <numFmt numFmtId="3" formatCode="#,##0"/>
    </dxf>
    <dxf>
      <numFmt numFmtId="4" formatCode="#,##0.00"/>
    </dxf>
    <dxf>
      <numFmt numFmtId="167" formatCode="#,##0.0"/>
    </dxf>
    <dxf>
      <numFmt numFmtId="3" formatCode="#,##0"/>
    </dxf>
    <dxf>
      <numFmt numFmtId="3" formatCode="#,##0"/>
    </dxf>
    <dxf>
      <numFmt numFmtId="4" formatCode="#,##0.00"/>
    </dxf>
    <dxf>
      <numFmt numFmtId="167" formatCode="#,##0.0"/>
    </dxf>
    <dxf>
      <numFmt numFmtId="3" formatCode="#,##0"/>
    </dxf>
    <dxf>
      <fill>
        <patternFill>
          <bgColor theme="2" tint="0.59996337778862885"/>
        </patternFill>
      </fill>
    </dxf>
    <dxf>
      <numFmt numFmtId="3" formatCode="#,##0"/>
    </dxf>
    <dxf>
      <numFmt numFmtId="4" formatCode="#,##0.00"/>
    </dxf>
    <dxf>
      <numFmt numFmtId="167" formatCode="#,##0.0"/>
    </dxf>
    <dxf>
      <numFmt numFmtId="3" formatCode="#,##0"/>
    </dxf>
    <dxf>
      <fill>
        <patternFill>
          <bgColor theme="2" tint="0.59996337778862885"/>
        </patternFill>
      </fill>
    </dxf>
    <dxf>
      <numFmt numFmtId="3" formatCode="#,##0"/>
    </dxf>
    <dxf>
      <numFmt numFmtId="4" formatCode="#,##0.00"/>
    </dxf>
    <dxf>
      <numFmt numFmtId="167" formatCode="#,##0.0"/>
    </dxf>
    <dxf>
      <numFmt numFmtId="3" formatCode="#,##0"/>
    </dxf>
    <dxf>
      <fill>
        <patternFill>
          <bgColor theme="2" tint="0.59996337778862885"/>
        </patternFill>
      </fill>
    </dxf>
    <dxf>
      <numFmt numFmtId="3" formatCode="#,##0"/>
    </dxf>
    <dxf>
      <numFmt numFmtId="4" formatCode="#,##0.00"/>
    </dxf>
    <dxf>
      <numFmt numFmtId="167" formatCode="#,##0.0"/>
    </dxf>
    <dxf>
      <numFmt numFmtId="3" formatCode="#,##0"/>
    </dxf>
    <dxf>
      <fill>
        <patternFill>
          <bgColor theme="2" tint="0.59996337778862885"/>
        </patternFill>
      </fill>
    </dxf>
    <dxf>
      <numFmt numFmtId="167" formatCode="#,##0.0"/>
    </dxf>
    <dxf>
      <numFmt numFmtId="3" formatCode="#,##0"/>
    </dxf>
    <dxf>
      <numFmt numFmtId="4" formatCode="#,##0.00"/>
    </dxf>
    <dxf>
      <numFmt numFmtId="167" formatCode="#,##0.0"/>
    </dxf>
    <dxf>
      <numFmt numFmtId="3" formatCode="#,##0"/>
    </dxf>
    <dxf>
      <fill>
        <patternFill>
          <bgColor theme="2" tint="0.59996337778862885"/>
        </patternFill>
      </fill>
    </dxf>
    <dxf>
      <numFmt numFmtId="3" formatCode="#,##0"/>
    </dxf>
    <dxf>
      <numFmt numFmtId="4" formatCode="#,##0.00"/>
    </dxf>
    <dxf>
      <numFmt numFmtId="167" formatCode="#,##0.0"/>
    </dxf>
    <dxf>
      <numFmt numFmtId="3" formatCode="#,##0"/>
    </dxf>
    <dxf>
      <numFmt numFmtId="167" formatCode="#,##0.0"/>
    </dxf>
    <dxf>
      <numFmt numFmtId="167" formatCode="#,##0.0"/>
    </dxf>
    <dxf>
      <numFmt numFmtId="3" formatCode="#,##0"/>
    </dxf>
    <dxf>
      <numFmt numFmtId="167" formatCode="#,##0.0"/>
    </dxf>
    <dxf>
      <numFmt numFmtId="167" formatCode="#,##0.0"/>
    </dxf>
    <dxf>
      <numFmt numFmtId="167" formatCode="#,##0.0"/>
    </dxf>
    <dxf>
      <numFmt numFmtId="167" formatCode="#,##0.0"/>
    </dxf>
    <dxf>
      <numFmt numFmtId="3" formatCode="#,##0"/>
    </dxf>
    <dxf>
      <numFmt numFmtId="4" formatCode="#,##0.00"/>
    </dxf>
    <dxf>
      <numFmt numFmtId="167" formatCode="#,##0.0"/>
    </dxf>
    <dxf>
      <numFmt numFmtId="3" formatCode="#,##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s>
  <tableStyles count="0" defaultTableStyle="TableStyleMedium2" defaultPivotStyle="PivotStyleLight16"/>
  <colors>
    <mruColors>
      <color rgb="FF99D5D2"/>
      <color rgb="FFD8AAAC"/>
      <color rgb="FFBAADC9"/>
      <color rgb="FF99B6C8"/>
      <color rgb="FF99CCFF"/>
      <color rgb="FF004976"/>
      <color rgb="FF66C0BC"/>
      <color rgb="FF006D68"/>
      <color rgb="FF523178"/>
      <color rgb="FF9E2A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prachen" displayName="Sprachen" ref="A1:B5" totalsRowShown="0">
  <autoFilter ref="A1:B5" xr:uid="{00000000-0009-0000-0100-000003000000}"/>
  <tableColumns count="2">
    <tableColumn id="1" xr3:uid="{00000000-0010-0000-0000-000001000000}" name="Sprache"/>
    <tableColumn id="2" xr3:uid="{00000000-0010-0000-0000-000002000000}" name="Sprache ID"/>
  </tableColumns>
  <tableStyleInfo name="TableStyleMedium4"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extbausteine_102" displayName="Textbausteine_102" ref="M1:Q347" totalsRowShown="0" headerRowDxfId="35" dataDxfId="34">
  <autoFilter ref="M1:Q347" xr:uid="{00000000-0009-0000-0100-00000B000000}"/>
  <tableColumns count="5">
    <tableColumn id="1" xr3:uid="{00000000-0010-0000-0900-000001000000}" name="Text ID" dataDxfId="33">
      <calculatedColumnFormula>ROW()-1</calculatedColumnFormula>
    </tableColumn>
    <tableColumn id="2" xr3:uid="{00000000-0010-0000-0900-000002000000}" name="De" dataDxfId="32"/>
    <tableColumn id="3" xr3:uid="{00000000-0010-0000-0900-000003000000}" name="Fr" dataDxfId="31"/>
    <tableColumn id="4" xr3:uid="{00000000-0010-0000-0900-000004000000}" name="It" dataDxfId="30"/>
    <tableColumn id="5" xr3:uid="{00000000-0010-0000-0900-000005000000}" name="En" dataDxfId="29"/>
  </tableColumns>
  <tableStyleInfo name="TableStyleMedium4"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A000000}" name="Textbausteine_401" displayName="Textbausteine_401" ref="AW1:BA156" totalsRowShown="0" headerRowDxfId="28" dataDxfId="27">
  <autoFilter ref="AW1:BA156" xr:uid="{00000000-0009-0000-0100-00000D000000}"/>
  <tableColumns count="5">
    <tableColumn id="1" xr3:uid="{00000000-0010-0000-0A00-000001000000}" name="Text ID" dataDxfId="26">
      <calculatedColumnFormula>ROW()-1</calculatedColumnFormula>
    </tableColumn>
    <tableColumn id="2" xr3:uid="{00000000-0010-0000-0A00-000002000000}" name="De" dataDxfId="25"/>
    <tableColumn id="3" xr3:uid="{00000000-0010-0000-0A00-000003000000}" name="Fr" dataDxfId="24"/>
    <tableColumn id="4" xr3:uid="{00000000-0010-0000-0A00-000004000000}" name="It" dataDxfId="23"/>
    <tableColumn id="5" xr3:uid="{00000000-0010-0000-0A00-000005000000}" name="En" dataDxfId="22"/>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B000000}" name="Textbausteine_403" displayName="Textbausteine_403" ref="BC1:BH151" totalsRowShown="0" headerRowDxfId="21" dataDxfId="20">
  <autoFilter ref="BC1:BH151" xr:uid="{00000000-0009-0000-0100-00000E000000}"/>
  <tableColumns count="6">
    <tableColumn id="1" xr3:uid="{00000000-0010-0000-0B00-000001000000}" name="Text ID" dataDxfId="19">
      <calculatedColumnFormula>ROW()-1</calculatedColumnFormula>
    </tableColumn>
    <tableColumn id="2" xr3:uid="{00000000-0010-0000-0B00-000002000000}" name="De" dataDxfId="18"/>
    <tableColumn id="3" xr3:uid="{00000000-0010-0000-0B00-000003000000}" name="Fr" dataDxfId="17"/>
    <tableColumn id="4" xr3:uid="{00000000-0010-0000-0B00-000004000000}" name="It" dataDxfId="16"/>
    <tableColumn id="5" xr3:uid="{00000000-0010-0000-0B00-000005000000}" name="En" dataDxfId="15"/>
    <tableColumn id="6" xr3:uid="{00000000-0010-0000-0B00-000006000000}" name="Spalte1" dataDxfId="14"/>
  </tableColumns>
  <tableStyleInfo name="TableStyleMedium4"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C000000}" name="Textbausteine_405" displayName="Textbausteine_405" ref="BO1:BS151" totalsRowShown="0" headerRowDxfId="13" dataDxfId="12">
  <autoFilter ref="BO1:BS151" xr:uid="{00000000-0009-0000-0100-00000F000000}"/>
  <tableColumns count="5">
    <tableColumn id="1" xr3:uid="{00000000-0010-0000-0C00-000001000000}" name="Text ID" dataDxfId="11">
      <calculatedColumnFormula>ROW()-1</calculatedColumnFormula>
    </tableColumn>
    <tableColumn id="2" xr3:uid="{00000000-0010-0000-0C00-000002000000}" name="De" dataDxfId="10"/>
    <tableColumn id="3" xr3:uid="{00000000-0010-0000-0C00-000003000000}" name="Fr" dataDxfId="9"/>
    <tableColumn id="4" xr3:uid="{00000000-0010-0000-0C00-000004000000}" name="It" dataDxfId="8"/>
    <tableColumn id="5" xr3:uid="{00000000-0010-0000-0C00-000005000000}" name="En" dataDxfId="7"/>
  </tableColumns>
  <tableStyleInfo name="TableStyleMedium4"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extbausteine_404_" displayName="Textbausteine_404_" ref="BI1:BM151" totalsRowShown="0" headerRowDxfId="6" dataDxfId="5">
  <autoFilter ref="BI1:BM151" xr:uid="{00000000-0009-0000-0100-000008000000}"/>
  <tableColumns count="5">
    <tableColumn id="1" xr3:uid="{00000000-0010-0000-0D00-000001000000}" name="Text ID" dataDxfId="4">
      <calculatedColumnFormula>ROW()-1</calculatedColumnFormula>
    </tableColumn>
    <tableColumn id="2" xr3:uid="{00000000-0010-0000-0D00-000002000000}" name="De" dataDxfId="3"/>
    <tableColumn id="3" xr3:uid="{00000000-0010-0000-0D00-000003000000}" name="Fr" dataDxfId="2"/>
    <tableColumn id="4" xr3:uid="{00000000-0010-0000-0D00-000004000000}" name="It" dataDxfId="1"/>
    <tableColumn id="5" xr3:uid="{00000000-0010-0000-0D00-000005000000}" name="En"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Gewählte_Sprache" displayName="Gewählte_Sprache" ref="D1:D2" totalsRowShown="0">
  <autoFilter ref="D1:D2" xr:uid="{00000000-0009-0000-0100-000004000000}"/>
  <tableColumns count="1">
    <tableColumn id="1" xr3:uid="{00000000-0010-0000-0100-000001000000}" name="Gewählte_Sprache">
      <calculatedColumnFormula>VLOOKUP(Inhaltsverzeichnis!$F$2,Sprachen[],2,FALSE)</calculatedColumnFormula>
    </tableColumn>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extbausteine_Menu" displayName="Textbausteine_Menu" ref="A1:E67" totalsRowShown="0" headerRowDxfId="84" dataDxfId="83">
  <autoFilter ref="A1:E67" xr:uid="{00000000-0009-0000-0100-000001000000}"/>
  <tableColumns count="5">
    <tableColumn id="1" xr3:uid="{00000000-0010-0000-0200-000001000000}" name="Text ID" dataDxfId="82">
      <calculatedColumnFormula>ROW()-1</calculatedColumnFormula>
    </tableColumn>
    <tableColumn id="2" xr3:uid="{00000000-0010-0000-0200-000002000000}" name="De" dataDxfId="81"/>
    <tableColumn id="3" xr3:uid="{00000000-0010-0000-0200-000003000000}" name="Fr" dataDxfId="80"/>
    <tableColumn id="4" xr3:uid="{00000000-0010-0000-0200-000004000000}" name="It" dataDxfId="79"/>
    <tableColumn id="5" xr3:uid="{00000000-0010-0000-0200-000005000000}" name="En" dataDxfId="78"/>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extbausteine_Inhalt" displayName="Textbausteine_Inhalt" ref="G1:K20" totalsRowShown="0" headerRowDxfId="77" dataDxfId="76">
  <autoFilter ref="G1:K20" xr:uid="{00000000-0009-0000-0100-000002000000}"/>
  <tableColumns count="5">
    <tableColumn id="1" xr3:uid="{00000000-0010-0000-0300-000001000000}" name="Text ID" dataDxfId="75">
      <calculatedColumnFormula>ROW()-1</calculatedColumnFormula>
    </tableColumn>
    <tableColumn id="2" xr3:uid="{00000000-0010-0000-0300-000002000000}" name="De" dataDxfId="74"/>
    <tableColumn id="3" xr3:uid="{00000000-0010-0000-0300-000003000000}" name="Fr" dataDxfId="73"/>
    <tableColumn id="4" xr3:uid="{00000000-0010-0000-0300-000004000000}" name="It" dataDxfId="72"/>
    <tableColumn id="5" xr3:uid="{00000000-0010-0000-0300-000005000000}" name="En" dataDxfId="71"/>
  </tableColumns>
  <tableStyleInfo name="TableStyleMedium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extbausteine_201" displayName="Textbausteine_201" ref="S1:W160" totalsRowShown="0" headerRowDxfId="70" dataDxfId="69">
  <autoFilter ref="S1:W160" xr:uid="{00000000-0009-0000-0100-000005000000}"/>
  <tableColumns count="5">
    <tableColumn id="1" xr3:uid="{00000000-0010-0000-0400-000001000000}" name="Text ID" dataDxfId="68">
      <calculatedColumnFormula>ROW()-1</calculatedColumnFormula>
    </tableColumn>
    <tableColumn id="2" xr3:uid="{00000000-0010-0000-0400-000002000000}" name="De" dataDxfId="67"/>
    <tableColumn id="3" xr3:uid="{00000000-0010-0000-0400-000003000000}" name="Fr" dataDxfId="66"/>
    <tableColumn id="4" xr3:uid="{00000000-0010-0000-0400-000004000000}" name="It" dataDxfId="65"/>
    <tableColumn id="5" xr3:uid="{00000000-0010-0000-0400-000005000000}" name="En" dataDxfId="6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extbausteine_202" displayName="Textbausteine_202" ref="Y1:AC151" totalsRowShown="0" headerRowDxfId="63" dataDxfId="62">
  <autoFilter ref="Y1:AC151" xr:uid="{00000000-0009-0000-0100-000006000000}"/>
  <tableColumns count="5">
    <tableColumn id="1" xr3:uid="{00000000-0010-0000-0500-000001000000}" name="Text ID" dataDxfId="61">
      <calculatedColumnFormula>ROW()-1</calculatedColumnFormula>
    </tableColumn>
    <tableColumn id="2" xr3:uid="{00000000-0010-0000-0500-000002000000}" name="De" dataDxfId="60"/>
    <tableColumn id="3" xr3:uid="{00000000-0010-0000-0500-000003000000}" name="Fr" dataDxfId="59"/>
    <tableColumn id="4" xr3:uid="{00000000-0010-0000-0500-000004000000}" name="It" dataDxfId="58"/>
    <tableColumn id="5" xr3:uid="{00000000-0010-0000-0500-000005000000}" name="En" dataDxfId="57"/>
  </tableColumns>
  <tableStyleInfo name="TableStyleMedium4"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extbausteine_203" displayName="Textbausteine_203" ref="AE1:AI254" totalsRowShown="0" headerRowDxfId="56" dataDxfId="55">
  <autoFilter ref="AE1:AI254" xr:uid="{00000000-0009-0000-0100-000007000000}"/>
  <tableColumns count="5">
    <tableColumn id="1" xr3:uid="{00000000-0010-0000-0600-000001000000}" name="Text ID" dataDxfId="54">
      <calculatedColumnFormula>ROW()-1</calculatedColumnFormula>
    </tableColumn>
    <tableColumn id="2" xr3:uid="{00000000-0010-0000-0600-000002000000}" name="De" dataDxfId="53"/>
    <tableColumn id="3" xr3:uid="{00000000-0010-0000-0600-000003000000}" name="Fr" dataDxfId="52"/>
    <tableColumn id="4" xr3:uid="{00000000-0010-0000-0600-000004000000}" name="It" dataDxfId="51"/>
    <tableColumn id="5" xr3:uid="{00000000-0010-0000-0600-000005000000}" name="En" dataDxfId="50"/>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extbausteine_302" displayName="Textbausteine_302" ref="AK1:AO151" totalsRowShown="0" headerRowDxfId="49" dataDxfId="48">
  <autoFilter ref="AK1:AO151" xr:uid="{00000000-0009-0000-0100-000009000000}"/>
  <tableColumns count="5">
    <tableColumn id="1" xr3:uid="{00000000-0010-0000-0700-000001000000}" name="Text ID" dataDxfId="47">
      <calculatedColumnFormula>ROW()-1</calculatedColumnFormula>
    </tableColumn>
    <tableColumn id="2" xr3:uid="{00000000-0010-0000-0700-000002000000}" name="De" dataDxfId="46"/>
    <tableColumn id="3" xr3:uid="{00000000-0010-0000-0700-000003000000}" name="Fr" dataDxfId="45"/>
    <tableColumn id="4" xr3:uid="{00000000-0010-0000-0700-000004000000}" name="It" dataDxfId="44"/>
    <tableColumn id="5" xr3:uid="{00000000-0010-0000-0700-000005000000}" name="En" dataDxfId="43"/>
  </tableColumns>
  <tableStyleInfo name="TableStyleMedium4"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extbausteine_305" displayName="Textbausteine_305" ref="AQ1:AU151" totalsRowShown="0" headerRowDxfId="42" dataDxfId="41">
  <autoFilter ref="AQ1:AU151" xr:uid="{00000000-0009-0000-0100-00000A000000}"/>
  <tableColumns count="5">
    <tableColumn id="1" xr3:uid="{00000000-0010-0000-0800-000001000000}" name="Text ID" dataDxfId="40">
      <calculatedColumnFormula>ROW()-1</calculatedColumnFormula>
    </tableColumn>
    <tableColumn id="2" xr3:uid="{00000000-0010-0000-0800-000002000000}" name="De" dataDxfId="39"/>
    <tableColumn id="3" xr3:uid="{00000000-0010-0000-0800-000003000000}" name="Fr" dataDxfId="38"/>
    <tableColumn id="4" xr3:uid="{00000000-0010-0000-0800-000004000000}" name="It" dataDxfId="37"/>
    <tableColumn id="5" xr3:uid="{00000000-0010-0000-0800-000005000000}" name="En" dataDxfId="36"/>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Post-Farben DM hell">
      <a:dk1>
        <a:sysClr val="windowText" lastClr="000000"/>
      </a:dk1>
      <a:lt1>
        <a:srgbClr val="FFFFFF"/>
      </a:lt1>
      <a:dk2>
        <a:srgbClr val="EBE4D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Post-Schrift">
      <a:majorFont>
        <a:latin typeface="Frutiger 45 Light"/>
        <a:ea typeface=""/>
        <a:cs typeface=""/>
      </a:majorFont>
      <a:minorFont>
        <a:latin typeface="Frutiger 45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globalcompact.org/" TargetMode="External"/><Relationship Id="rId3" Type="http://schemas.openxmlformats.org/officeDocument/2006/relationships/hyperlink" Target="https://sustainabledevelopment.un.org/?menu=1300" TargetMode="External"/><Relationship Id="rId7" Type="http://schemas.openxmlformats.org/officeDocument/2006/relationships/hyperlink" Target="https://sustainabledevelopment.un.org/?menu=1300" TargetMode="External"/><Relationship Id="rId2" Type="http://schemas.openxmlformats.org/officeDocument/2006/relationships/hyperlink" Target="https://www.unglobalcompact.org/" TargetMode="External"/><Relationship Id="rId1" Type="http://schemas.openxmlformats.org/officeDocument/2006/relationships/hyperlink" Target="https://sustainabledevelopment.un.org/?menu=1300" TargetMode="External"/><Relationship Id="rId6" Type="http://schemas.openxmlformats.org/officeDocument/2006/relationships/hyperlink" Target="https://www.unglobalcompact.org/" TargetMode="External"/><Relationship Id="rId5" Type="http://schemas.openxmlformats.org/officeDocument/2006/relationships/hyperlink" Target="https://sustainabledevelopment.un.org/?menu=1300" TargetMode="External"/><Relationship Id="rId4" Type="http://schemas.openxmlformats.org/officeDocument/2006/relationships/hyperlink" Target="https://www.unglobalcompact.org/"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13.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tabColor rgb="FF004976"/>
  </sheetPr>
  <dimension ref="B2:F40"/>
  <sheetViews>
    <sheetView showGridLines="0" showRowColHeaders="0" tabSelected="1" zoomScaleNormal="100" workbookViewId="0">
      <selection activeCell="D31" sqref="D31"/>
    </sheetView>
  </sheetViews>
  <sheetFormatPr baseColWidth="10" defaultColWidth="10.85546875" defaultRowHeight="12.95" customHeight="1" x14ac:dyDescent="0.2"/>
  <cols>
    <col min="1" max="2" width="2.42578125" style="92" customWidth="1"/>
    <col min="3" max="3" width="43.42578125" style="92" customWidth="1"/>
    <col min="4" max="4" width="73.28515625" style="169" customWidth="1"/>
    <col min="5" max="5" width="25.5703125" style="183" customWidth="1"/>
    <col min="6" max="6" width="14.140625" style="178" customWidth="1"/>
    <col min="7" max="16384" width="10.85546875" style="92"/>
  </cols>
  <sheetData>
    <row r="2" spans="2:6" s="95" customFormat="1" ht="26.1" customHeight="1" x14ac:dyDescent="0.2">
      <c r="B2" s="398" t="str">
        <f>UPPER(VLOOKUP(1,Textbausteine_Menu[],Hilfsgrössen!$D$2,FALSE))</f>
        <v>KENNZAHLEN ZUR JAHRESBERICHTERSTATTUNG 2021</v>
      </c>
      <c r="C2" s="398"/>
      <c r="D2" s="398"/>
      <c r="E2" s="184"/>
      <c r="F2" s="176" t="s">
        <v>0</v>
      </c>
    </row>
    <row r="3" spans="2:6" s="96" customFormat="1" ht="26.1" customHeight="1" x14ac:dyDescent="0.2">
      <c r="B3" s="400" t="str">
        <f>UPPER(VLOOKUP(2,Textbausteine_Menu[],Hilfsgrössen!$D$2,FALSE))</f>
        <v>DIE SCHWEIZERISCHE POST</v>
      </c>
      <c r="C3" s="400"/>
      <c r="D3" s="174"/>
      <c r="E3" s="185"/>
      <c r="F3" s="177"/>
    </row>
    <row r="6" spans="2:6" s="171" customFormat="1" ht="12.95" customHeight="1" x14ac:dyDescent="0.2">
      <c r="B6" s="399" t="str">
        <f>VLOOKUP(3,Textbausteine_Menu[],Hilfsgrössen!$D$2,FALSE)</f>
        <v>Allgemeine Angaben</v>
      </c>
      <c r="C6" s="399"/>
      <c r="D6" s="175" t="str">
        <f>VLOOKUP(31,Textbausteine_Menu[],Hilfsgrössen!$D$2,FALSE)</f>
        <v>Offenlegungen</v>
      </c>
      <c r="E6" s="186" t="s">
        <v>1</v>
      </c>
      <c r="F6" s="179" t="s">
        <v>2</v>
      </c>
    </row>
    <row r="7" spans="2:6" ht="36" x14ac:dyDescent="0.2">
      <c r="C7" s="92" t="str">
        <f>VLOOKUP(7,Textbausteine_Menu[],Hilfsgrössen!$D$2,FALSE)</f>
        <v>102 – Allgemeine Standardangaben</v>
      </c>
      <c r="D7" s="172" t="str">
        <f>VLOOKUP(1,Textbausteine_102[],Hilfsgrössen!$D$2,FALSE)&amp;", "&amp;VLOOKUP(2,Textbausteine_102[],Hilfsgrössen!$D$2,FALSE)&amp;", "&amp;VLOOKUP(3,Textbausteine_102[],Hilfsgrössen!$D$2,FALSE)&amp;", "&amp;VLOOKUP(4,Textbausteine_102[],Hilfsgrössen!$D$2,FALSE)&amp;", "&amp;VLOOKUP(5,Textbausteine_102[],Hilfsgrössen!$D$2,FALSE)&amp;", "&amp;VLOOKUP(6,Textbausteine_102[],Hilfsgrössen!$D$2,FALSE)&amp;", "&amp;VLOOKUP(7,Textbausteine_102[],Hilfsgrössen!$D$2,FALSE)&amp;", "&amp;VLOOKUP(8,Textbausteine_102[],Hilfsgrössen!$D$2,FALSE)&amp;", "&amp;VLOOKUP(9,Textbausteine_102[],Hilfsgrössen!$D$2,FALSE)&amp;", "&amp;VLOOKUP(10,Textbausteine_102[],Hilfsgrössen!$D$2,FALSE)&amp;", "&amp;VLOOKUP(11,Textbausteine_102[],Hilfsgrössen!$D$2,FALSE)</f>
        <v>Marktanteile, Finanzierung, Cashflow und Investitionen, Mengenentwicklung, Volumen Zahlungsverkehr, Personalbestand, Geschlechterverteilung, Teilzeit, Anstellungsverhältnisse, Lieferkette, Kundenzufriedenheit</v>
      </c>
      <c r="E7" s="183" t="s">
        <v>3</v>
      </c>
      <c r="F7" s="178" t="s">
        <v>4</v>
      </c>
    </row>
    <row r="8" spans="2:6" ht="12.95" hidden="1" customHeight="1" x14ac:dyDescent="0.2">
      <c r="C8" s="92" t="str">
        <f>VLOOKUP(52,Textbausteine_Menu[],Hilfsgrössen!$D$2,FALSE)</f>
        <v>103 – Managementansatz</v>
      </c>
      <c r="E8" s="183" t="s">
        <v>5</v>
      </c>
      <c r="F8" s="178" t="s">
        <v>6</v>
      </c>
    </row>
    <row r="11" spans="2:6" s="171" customFormat="1" ht="12.95" customHeight="1" x14ac:dyDescent="0.2">
      <c r="B11" s="399" t="str">
        <f>VLOOKUP(4,Textbausteine_Menu[],Hilfsgrössen!$D$2,FALSE)</f>
        <v>Wirtschaftliche Themen</v>
      </c>
      <c r="C11" s="399"/>
      <c r="D11" s="175" t="str">
        <f>VLOOKUP(31,Textbausteine_Menu[],Hilfsgrössen!$D$2,FALSE)</f>
        <v>Offenlegungen</v>
      </c>
      <c r="E11" s="186" t="s">
        <v>1</v>
      </c>
      <c r="F11" s="179" t="s">
        <v>2</v>
      </c>
    </row>
    <row r="12" spans="2:6" ht="26.1" customHeight="1" x14ac:dyDescent="0.2">
      <c r="C12" s="173" t="str">
        <f>VLOOKUP(8,Textbausteine_Menu[],Hilfsgrössen!$D$2,FALSE)</f>
        <v>201 – Wirtschaftliche Leistung</v>
      </c>
      <c r="D12" s="172" t="str">
        <f>VLOOKUP(1,Textbausteine_201[],Hilfsgrössen!$D$2,FALSE)&amp;", "&amp;VLOOKUP(2,Textbausteine_201[],Hilfsgrössen!$D$2,FALSE)&amp;", "&amp;VLOOKUP(3,Textbausteine_201[],Hilfsgrössen!$D$2,FALSE)</f>
        <v>Finanzielles Ergebnis, Pensionskasse, Verteilung der Wertschöpfung</v>
      </c>
      <c r="E12" s="183" t="s">
        <v>7</v>
      </c>
      <c r="F12" s="178" t="s">
        <v>8</v>
      </c>
    </row>
    <row r="13" spans="2:6" ht="26.1" customHeight="1" x14ac:dyDescent="0.2">
      <c r="C13" s="173" t="str">
        <f>VLOOKUP(9,Textbausteine_Menu[],Hilfsgrössen!$D$2,FALSE)</f>
        <v>202 – Marktpräsenz</v>
      </c>
      <c r="D13" s="172" t="str">
        <f>VLOOKUP(1,Textbausteine_202[],Hilfsgrössen!$D$2,FALSE)</f>
        <v>Entschädigungen</v>
      </c>
      <c r="E13" s="183" t="s">
        <v>3</v>
      </c>
      <c r="F13" s="178" t="s">
        <v>9</v>
      </c>
    </row>
    <row r="14" spans="2:6" ht="36" x14ac:dyDescent="0.2">
      <c r="C14" s="173" t="str">
        <f>VLOOKUP(10,Textbausteine_Menu[],Hilfsgrössen!$D$2,FALSE)</f>
        <v>203 – Indirekte wirtschaftliche Auswirkungen</v>
      </c>
      <c r="D14" s="172" t="str">
        <f>VLOOKUP(1,Textbausteine_203[],Hilfsgrössen!$D$2,FALSE)&amp;", "&amp;VLOOKUP(2,Textbausteine_203[],Hilfsgrössen!$D$2,FALSE)&amp;", "&amp;VLOOKUP(3,Textbausteine_203[],Hilfsgrössen!$D$2,FALSE)&amp;", "&amp;VLOOKUP(4,Textbausteine_203[],Hilfsgrössen!$D$2,FALSE)&amp;", "&amp;VLOOKUP(5,Textbausteine_203[],Hilfsgrössen!$D$2,FALSE)&amp;", "&amp;VLOOKUP(6,Textbausteine_203[],Hilfsgrössen!$D$2,FALSE)&amp;", "&amp;VLOOKUP(7,Textbausteine_203[],Hilfsgrössen!$D$2,FALSE)</f>
        <v>Wohltätigkeit und Sponsoring, Zugangspunkte, Arbeitsplätze in den Regionen, Preisvergleich postalischer Dienstleistungen, Laufzeiten postalischer Dienstleistungen, Wartezeiten in Filialen, Verarbeitungszeiten von Finanzdienstleistungen</v>
      </c>
      <c r="F14" s="178" t="s">
        <v>10</v>
      </c>
    </row>
    <row r="15" spans="2:6" ht="12.95" hidden="1" customHeight="1" x14ac:dyDescent="0.2">
      <c r="C15" s="92" t="str">
        <f>VLOOKUP(11,Textbausteine_Menu[],Hilfsgrössen!$D$2,FALSE)</f>
        <v>205 – Korruptionsbekämpfung</v>
      </c>
      <c r="E15" s="183" t="s">
        <v>11</v>
      </c>
      <c r="F15" s="178" t="s">
        <v>6</v>
      </c>
    </row>
    <row r="16" spans="2:6" ht="12.95" hidden="1" customHeight="1" x14ac:dyDescent="0.2">
      <c r="C16" s="92" t="str">
        <f>VLOOKUP(12,Textbausteine_Menu[],Hilfsgrössen!$D$2,FALSE)</f>
        <v>206 – Wettbewerbswidriges Verhalten</v>
      </c>
      <c r="F16" s="178" t="s">
        <v>6</v>
      </c>
    </row>
    <row r="19" spans="2:6" s="171" customFormat="1" ht="12.95" customHeight="1" x14ac:dyDescent="0.2">
      <c r="B19" s="399" t="str">
        <f>VLOOKUP(5,Textbausteine_Menu[],Hilfsgrössen!$D$2,FALSE)</f>
        <v>Ökologische Themen</v>
      </c>
      <c r="C19" s="399"/>
      <c r="D19" s="175" t="str">
        <f>VLOOKUP(31,Textbausteine_Menu[],Hilfsgrössen!$D$2,FALSE)</f>
        <v>Offenlegungen</v>
      </c>
      <c r="E19" s="186" t="s">
        <v>1</v>
      </c>
      <c r="F19" s="179" t="s">
        <v>2</v>
      </c>
    </row>
    <row r="20" spans="2:6" ht="12.95" hidden="1" customHeight="1" x14ac:dyDescent="0.2">
      <c r="C20" s="92" t="str">
        <f>VLOOKUP(13,Textbausteine_Menu[],Hilfsgrössen!$D$2,FALSE)</f>
        <v>301 – Materialien</v>
      </c>
      <c r="E20" s="183" t="s">
        <v>12</v>
      </c>
      <c r="F20" s="178" t="s">
        <v>13</v>
      </c>
    </row>
    <row r="21" spans="2:6" ht="26.1" customHeight="1" x14ac:dyDescent="0.2">
      <c r="C21" s="173" t="str">
        <f>VLOOKUP(14,Textbausteine_Menu[],Hilfsgrössen!$D$2,FALSE)</f>
        <v>302 – Energie</v>
      </c>
      <c r="D21" s="169" t="str">
        <f>VLOOKUP(1,Textbausteine_302[],Hilfsgrössen!$D$2,FALSE)&amp;", "&amp;VLOOKUP(2,Textbausteine_302[],Hilfsgrössen!$D$2,FALSE)</f>
        <v>Energieverbrauch innerhalb und ausserhalb der Organisation, Weitere Energiekennzahlen</v>
      </c>
      <c r="E21" s="183" t="s">
        <v>14</v>
      </c>
      <c r="F21" s="178" t="s">
        <v>15</v>
      </c>
    </row>
    <row r="22" spans="2:6" ht="26.1" customHeight="1" x14ac:dyDescent="0.2">
      <c r="C22" s="170" t="str">
        <f>VLOOKUP(15,Textbausteine_Menu[],Hilfsgrössen!$D$2,FALSE)</f>
        <v>305 – Emissionen</v>
      </c>
      <c r="D22" s="169" t="str">
        <f>VLOOKUP(1,Textbausteine_305[],Hilfsgrössen!$D$2,FALSE)&amp;", "&amp;VLOOKUP(2,Textbausteine_305[],Hilfsgrössen!$D$2,FALSE)&amp;", "&amp;VLOOKUP(3,Textbausteine_305[],Hilfsgrössen!$D$2,FALSE)&amp;", "&amp;VLOOKUP(4,Textbausteine_305[],Hilfsgrössen!$D$2,FALSE)&amp;", "&amp;VLOOKUP(5,Textbausteine_305[],Hilfsgrössen!$D$2,FALSE)</f>
        <v>Treibhausgasemissionen, Treibhausgasintensitäten, Kompensierte Treibhausgasemissionen, Weitere Treibhausgaskennzahlen, Luftschadstoffemissionen</v>
      </c>
      <c r="E22" s="183" t="s">
        <v>14</v>
      </c>
      <c r="F22" s="178" t="s">
        <v>16</v>
      </c>
    </row>
    <row r="23" spans="2:6" ht="12.95" hidden="1" customHeight="1" x14ac:dyDescent="0.2">
      <c r="C23" s="92" t="str">
        <f>VLOOKUP(16,Textbausteine_Menu[],Hilfsgrössen!$D$2,FALSE)</f>
        <v>308 – Bewertung der Lieferanten hinsichtlich ökologischer Aspekte</v>
      </c>
      <c r="E23" s="183" t="s">
        <v>12</v>
      </c>
    </row>
    <row r="26" spans="2:6" s="171" customFormat="1" ht="12.95" customHeight="1" x14ac:dyDescent="0.2">
      <c r="B26" s="399" t="str">
        <f>VLOOKUP(6,Textbausteine_Menu[],Hilfsgrössen!$D$2,FALSE)</f>
        <v>Sozial-gesellschaftliche Themen</v>
      </c>
      <c r="C26" s="399"/>
      <c r="D26" s="175" t="str">
        <f>VLOOKUP(31,Textbausteine_Menu[],Hilfsgrössen!$D$2,FALSE)</f>
        <v>Offenlegungen</v>
      </c>
      <c r="E26" s="186" t="s">
        <v>1</v>
      </c>
      <c r="F26" s="179" t="s">
        <v>2</v>
      </c>
    </row>
    <row r="27" spans="2:6" ht="26.1" customHeight="1" x14ac:dyDescent="0.2">
      <c r="C27" s="170" t="str">
        <f>VLOOKUP(17,Textbausteine_Menu[],Hilfsgrössen!$D$2,FALSE)</f>
        <v>401 – Beschäftigung</v>
      </c>
      <c r="D27" s="169" t="str">
        <f>VLOOKUP(1,Textbausteine_401[],Hilfsgrössen!$D$2,FALSE)&amp;", "&amp;VLOOKUP(2,Textbausteine_401[],Hilfsgrössen!$D$2,FALSE)&amp;", "&amp;VLOOKUP(3,Textbausteine_401[],Hilfsgrössen!$D$2,FALSE)</f>
        <v>Personalfluktuation und Austritte, Elternzeit, Personalzufriedenheit, Motivation und Engagement</v>
      </c>
      <c r="E27" s="183" t="s">
        <v>3</v>
      </c>
    </row>
    <row r="28" spans="2:6" ht="12.95" hidden="1" customHeight="1" x14ac:dyDescent="0.2">
      <c r="C28" s="92" t="str">
        <f>VLOOKUP(18,Textbausteine_Menu[],Hilfsgrössen!$D$2,FALSE)</f>
        <v>402 – Arbeitnehmer-Arbeitgeber-Verhältnis</v>
      </c>
      <c r="E28" s="183" t="s">
        <v>17</v>
      </c>
    </row>
    <row r="29" spans="2:6" ht="26.1" customHeight="1" x14ac:dyDescent="0.2">
      <c r="C29" s="170" t="str">
        <f>VLOOKUP(19,Textbausteine_Menu[],Hilfsgrössen!$D$2,FALSE)</f>
        <v>403 – Arbeitssicherheit und Gesundheitsschutz</v>
      </c>
      <c r="D29" s="169" t="str">
        <f>VLOOKUP(1,Textbausteine_403[],Hilfsgrössen!$D$2,FALSE)</f>
        <v>Gesundheitsmanagement</v>
      </c>
    </row>
    <row r="30" spans="2:6" ht="26.1" customHeight="1" x14ac:dyDescent="0.2">
      <c r="C30" s="170" t="str">
        <f>VLOOKUP(20,Textbausteine_Menu[],Hilfsgrössen!$D$2,FALSE)</f>
        <v>404 – Aus- und Weiterbildung</v>
      </c>
      <c r="D30" s="169" t="str">
        <f>VLOOKUP(1,Textbausteine_404_[],Hilfsgrössen!$D$2,FALSE)&amp;", "&amp;VLOOKUP(2,Textbausteine_404_[],Hilfsgrössen!$D$2,FALSE)&amp;", "&amp;VLOOKUP(3,Textbausteine_404_[],Hilfsgrössen!$D$2,FALSE)</f>
        <v>Lernpersonal, Nachwuchskräfte, Laufbahnzentrum</v>
      </c>
      <c r="E30" s="183" t="s">
        <v>3</v>
      </c>
      <c r="F30" s="178" t="s">
        <v>18</v>
      </c>
    </row>
    <row r="31" spans="2:6" ht="26.1" customHeight="1" x14ac:dyDescent="0.2">
      <c r="C31" s="170" t="str">
        <f>VLOOKUP(21,Textbausteine_Menu[],Hilfsgrössen!$D$2,FALSE)</f>
        <v>405 – Vielfalt und Chancengleichheit</v>
      </c>
      <c r="D31" s="169" t="str">
        <f>VLOOKUP(1,Textbausteine_405[],Hilfsgrössen!$D$2,FALSE)&amp;", "&amp;VLOOKUP(2,Textbausteine_405[],Hilfsgrössen!$D$2,FALSE)&amp;", "&amp;VLOOKUP(3,Textbausteine_405[],Hilfsgrössen!$D$2,FALSE)&amp;", "&amp;VLOOKUP(4,Textbausteine_405[],Hilfsgrössen!$D$2,FALSE)</f>
        <v>Frauen im Management, Sprachenvielfalt, Nationalität, Demographie (Altersverteilung)</v>
      </c>
      <c r="E31" s="183" t="s">
        <v>3</v>
      </c>
      <c r="F31" s="178" t="s">
        <v>19</v>
      </c>
    </row>
    <row r="32" spans="2:6" ht="12.95" hidden="1" customHeight="1" x14ac:dyDescent="0.2">
      <c r="C32" s="92" t="str">
        <f>VLOOKUP(22,Textbausteine_Menu[],Hilfsgrössen!$D$2,FALSE)</f>
        <v>406 – Gleichbehandlung</v>
      </c>
      <c r="E32" s="183" t="s">
        <v>3</v>
      </c>
      <c r="F32" s="178" t="s">
        <v>20</v>
      </c>
    </row>
    <row r="33" spans="3:6" ht="12.95" hidden="1" customHeight="1" x14ac:dyDescent="0.2">
      <c r="C33" s="92" t="str">
        <f>VLOOKUP(23,Textbausteine_Menu[],Hilfsgrössen!$D$2,FALSE)</f>
        <v>407 – Vereinigungsfreiheit und Recht auf Kollektivverhandlungen</v>
      </c>
      <c r="E33" s="183" t="s">
        <v>17</v>
      </c>
      <c r="F33" s="178" t="s">
        <v>4</v>
      </c>
    </row>
    <row r="34" spans="3:6" ht="12.95" hidden="1" customHeight="1" x14ac:dyDescent="0.2">
      <c r="C34" s="92" t="str">
        <f>VLOOKUP(24,Textbausteine_Menu[],Hilfsgrössen!$D$2,FALSE)</f>
        <v>408 – Kinderarbeit</v>
      </c>
      <c r="E34" s="183" t="s">
        <v>21</v>
      </c>
      <c r="F34" s="178" t="s">
        <v>22</v>
      </c>
    </row>
    <row r="35" spans="3:6" ht="12.95" hidden="1" customHeight="1" x14ac:dyDescent="0.2">
      <c r="C35" s="92" t="str">
        <f>VLOOKUP(25,Textbausteine_Menu[],Hilfsgrössen!$D$2,FALSE)</f>
        <v>409 – Zwangs- und Pflichtarbeit</v>
      </c>
      <c r="E35" s="183" t="s">
        <v>23</v>
      </c>
      <c r="F35" s="178" t="s">
        <v>4</v>
      </c>
    </row>
    <row r="36" spans="3:6" ht="12.95" hidden="1" customHeight="1" x14ac:dyDescent="0.2">
      <c r="C36" s="92" t="str">
        <f>VLOOKUP(26,Textbausteine_Menu[],Hilfsgrössen!$D$2,FALSE)</f>
        <v>412 – Prüfung der Menschenrechte</v>
      </c>
      <c r="E36" s="183" t="s">
        <v>24</v>
      </c>
    </row>
    <row r="37" spans="3:6" ht="12.95" hidden="1" customHeight="1" x14ac:dyDescent="0.2">
      <c r="C37" s="92" t="str">
        <f>VLOOKUP(27,Textbausteine_Menu[],Hilfsgrössen!$D$2,FALSE)</f>
        <v>413 – Lokale Gemeinschaften</v>
      </c>
      <c r="E37" s="183" t="s">
        <v>24</v>
      </c>
      <c r="F37" s="178" t="s">
        <v>25</v>
      </c>
    </row>
    <row r="38" spans="3:6" ht="12.95" hidden="1" customHeight="1" x14ac:dyDescent="0.2">
      <c r="C38" s="92" t="str">
        <f>VLOOKUP(28,Textbausteine_Menu[],Hilfsgrössen!$D$2,FALSE)</f>
        <v>414 – Bewertung der Lieferanten hinsichtlich Arbeitspraktiken</v>
      </c>
      <c r="E38" s="183" t="s">
        <v>26</v>
      </c>
      <c r="F38" s="178" t="s">
        <v>20</v>
      </c>
    </row>
    <row r="39" spans="3:6" ht="12.95" hidden="1" customHeight="1" x14ac:dyDescent="0.2">
      <c r="C39" s="92" t="str">
        <f>VLOOKUP(29,Textbausteine_Menu[],Hilfsgrössen!$D$2,FALSE)</f>
        <v>418 – Schutz der Privatsphäre des Kunden</v>
      </c>
      <c r="F39" s="178" t="s">
        <v>6</v>
      </c>
    </row>
    <row r="40" spans="3:6" ht="12.95" hidden="1" customHeight="1" x14ac:dyDescent="0.2">
      <c r="C40" s="92" t="str">
        <f>VLOOKUP(30,Textbausteine_Menu[],Hilfsgrössen!$D$2,FALSE)</f>
        <v>419 – Sozio-ökonomische Compliance</v>
      </c>
      <c r="F40" s="178" t="s">
        <v>6</v>
      </c>
    </row>
  </sheetData>
  <sheetProtection algorithmName="SHA-512" hashValue="XLkoxT/LJmxwtNkzDK6HJfgfWaB6/o7rTeZZHdCmyHa05mrd1Z9GO9N6S6kQE2rWapKiRsDb3FQRq+CqDfChiQ==" saltValue="bZZlBSmzg4IDfTJVZDGn3A==" spinCount="100000" sheet="1" objects="1" scenarios="1"/>
  <mergeCells count="6">
    <mergeCell ref="B2:D2"/>
    <mergeCell ref="B26:C26"/>
    <mergeCell ref="B3:C3"/>
    <mergeCell ref="B6:C6"/>
    <mergeCell ref="B11:C11"/>
    <mergeCell ref="B19:C19"/>
  </mergeCells>
  <dataValidations count="1">
    <dataValidation allowBlank="1" showInputMessage="1" showErrorMessage="1" sqref="F2" xr:uid="{2E664555-F1D0-46CE-AB4E-CEB16E109311}"/>
  </dataValidations>
  <hyperlinks>
    <hyperlink ref="F6" r:id="rId1" display="SDG" xr:uid="{00000000-0004-0000-0000-000000000000}"/>
    <hyperlink ref="E6" r:id="rId2" display="UNGC" xr:uid="{00000000-0004-0000-0000-000001000000}"/>
    <hyperlink ref="F11" r:id="rId3" display="SDG" xr:uid="{00000000-0004-0000-0000-000002000000}"/>
    <hyperlink ref="E11" r:id="rId4" display="UNGC" xr:uid="{00000000-0004-0000-0000-000003000000}"/>
    <hyperlink ref="F19" r:id="rId5" display="SDG" xr:uid="{00000000-0004-0000-0000-000004000000}"/>
    <hyperlink ref="E19" r:id="rId6" display="UNGC" xr:uid="{00000000-0004-0000-0000-000005000000}"/>
    <hyperlink ref="F26" r:id="rId7" display="SDG" xr:uid="{00000000-0004-0000-0000-000006000000}"/>
    <hyperlink ref="E26" r:id="rId8" display="UNGC" xr:uid="{00000000-0004-0000-0000-000007000000}"/>
    <hyperlink ref="C7" location="GRI_102" display="GRI_102" xr:uid="{00000000-0004-0000-0000-000008000000}"/>
    <hyperlink ref="C12" location="GRI_201" display="GRI_201" xr:uid="{00000000-0004-0000-0000-000009000000}"/>
    <hyperlink ref="C13" location="GRI_202" display="GRI_202" xr:uid="{00000000-0004-0000-0000-00000A000000}"/>
    <hyperlink ref="C14" location="GRI_203" display="GRI_203" xr:uid="{00000000-0004-0000-0000-00000B000000}"/>
    <hyperlink ref="C21" location="GRI_302" display="GRI_302" xr:uid="{00000000-0004-0000-0000-00000C000000}"/>
    <hyperlink ref="C22" location="GRI_305" display="GRI_305" xr:uid="{00000000-0004-0000-0000-00000D000000}"/>
    <hyperlink ref="C27" location="GRI_401" display="GRI_401" xr:uid="{00000000-0004-0000-0000-00000E000000}"/>
    <hyperlink ref="C29" location="GRI_403" display="GRI_403" xr:uid="{00000000-0004-0000-0000-00000F000000}"/>
    <hyperlink ref="C31" location="GRI_405" display="GRI_405" xr:uid="{00000000-0004-0000-0000-000010000000}"/>
    <hyperlink ref="C30" location="GRI_404" display="GRI_404" xr:uid="{00000000-0004-0000-0000-000011000000}"/>
  </hyperlinks>
  <pageMargins left="0.7" right="0.7" top="0.78740157499999996" bottom="0.78740157499999996"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6">
    <tabColor rgb="FF9E2A2F"/>
  </sheetPr>
  <dimension ref="A2:CF143"/>
  <sheetViews>
    <sheetView showGridLines="0" showRowColHeaders="0" zoomScaleNormal="100" workbookViewId="0">
      <pane xSplit="7" topLeftCell="H1" activePane="topRight" state="frozen"/>
      <selection activeCell="B3" sqref="B3:C3"/>
      <selection pane="topRight" activeCell="B3" sqref="B3:C3"/>
    </sheetView>
  </sheetViews>
  <sheetFormatPr baseColWidth="10" defaultColWidth="10.85546875" defaultRowHeight="12.95" customHeight="1" x14ac:dyDescent="0.2"/>
  <cols>
    <col min="1" max="1" width="2.42578125" style="66" customWidth="1"/>
    <col min="2" max="2" width="2.42578125" style="1" customWidth="1"/>
    <col min="3" max="3" width="51.140625" style="1" customWidth="1"/>
    <col min="4" max="4" width="23.5703125" style="1" customWidth="1"/>
    <col min="5" max="5" width="10" style="9" customWidth="1"/>
    <col min="6" max="6" width="14.140625" style="9" customWidth="1"/>
    <col min="7" max="7" width="2.42578125" style="34" customWidth="1"/>
    <col min="8" max="13" width="11.7109375" style="9" customWidth="1"/>
    <col min="14" max="14" width="11.7109375" style="11" customWidth="1"/>
    <col min="15" max="83" width="11.7109375" style="9" customWidth="1"/>
    <col min="84" max="16384" width="10.85546875" style="1"/>
  </cols>
  <sheetData>
    <row r="2" spans="1:84" s="97" customFormat="1" ht="26.1" customHeight="1" x14ac:dyDescent="0.2">
      <c r="A2" s="63"/>
      <c r="B2" s="406" t="str">
        <f>UPPER(RIGHT(Inhaltsverzeichnis!$C$30,LEN(Inhaltsverzeichnis!$C$30)-FIND(" – ",Inhaltsverzeichnis!$C$30,1)-2))</f>
        <v>AUS- UND WEITERBILDUNG</v>
      </c>
      <c r="C2" s="406"/>
      <c r="D2" s="402" t="str">
        <f>VLOOKUP(35,Textbausteine_Menu[],Hilfsgrössen!$D$2,FALSE)</f>
        <v>zurück zum Inhaltsverzeichnis</v>
      </c>
      <c r="E2" s="403"/>
      <c r="F2" s="91" t="s">
        <v>0</v>
      </c>
      <c r="G2" s="104"/>
      <c r="H2" s="27"/>
      <c r="I2" s="27"/>
      <c r="J2" s="27"/>
      <c r="K2" s="27"/>
      <c r="L2" s="27"/>
      <c r="M2" s="27"/>
      <c r="N2" s="71"/>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row>
    <row r="3" spans="1:84" s="98" customFormat="1" ht="26.1" customHeight="1" x14ac:dyDescent="0.2">
      <c r="A3" s="64"/>
      <c r="B3" s="407" t="str">
        <f>UPPER("GRI "&amp;LEFT(Inhaltsverzeichnis!$C$30,3))</f>
        <v>GRI 404</v>
      </c>
      <c r="C3" s="407"/>
      <c r="E3" s="27"/>
      <c r="F3" s="27"/>
      <c r="G3" s="32"/>
      <c r="H3" s="27"/>
      <c r="I3" s="27"/>
      <c r="J3" s="27"/>
      <c r="K3" s="27"/>
      <c r="L3" s="27"/>
      <c r="M3" s="27"/>
      <c r="N3" s="71"/>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row>
    <row r="6" spans="1:84" s="6" customFormat="1" ht="12.95" customHeight="1" x14ac:dyDescent="0.2">
      <c r="A6" s="65"/>
      <c r="B6" s="6" t="str">
        <f>VLOOKUP(31,Textbausteine_Menu[],Hilfsgrössen!$D$2,FALSE)</f>
        <v>Offenlegungen</v>
      </c>
      <c r="E6" s="28"/>
      <c r="F6" s="28"/>
      <c r="G6" s="33"/>
      <c r="H6" s="9"/>
      <c r="I6" s="9"/>
      <c r="J6" s="9"/>
      <c r="K6" s="9"/>
      <c r="L6" s="9"/>
      <c r="M6" s="9"/>
      <c r="N6" s="11"/>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row>
    <row r="7" spans="1:84" ht="12.95" customHeight="1" x14ac:dyDescent="0.2">
      <c r="B7" s="2"/>
      <c r="C7" s="93" t="str">
        <f>VLOOKUP(1,Textbausteine_404_[],Hilfsgrössen!$D$2,FALSE)</f>
        <v>Lernpersonal</v>
      </c>
      <c r="D7" s="4"/>
    </row>
    <row r="8" spans="1:84" ht="12.95" customHeight="1" x14ac:dyDescent="0.2">
      <c r="B8" s="2"/>
      <c r="C8" s="93" t="str">
        <f>VLOOKUP(2,Textbausteine_404_[],Hilfsgrössen!$D$2,FALSE)</f>
        <v>Nachwuchskräfte</v>
      </c>
      <c r="D8" s="4"/>
    </row>
    <row r="9" spans="1:84" ht="12.95" customHeight="1" x14ac:dyDescent="0.2">
      <c r="B9" s="2"/>
      <c r="C9" s="93" t="str">
        <f>VLOOKUP(3,Textbausteine_404_[],Hilfsgrössen!$D$2,FALSE)</f>
        <v>Laufbahnzentrum</v>
      </c>
    </row>
    <row r="10" spans="1:84" ht="12.95" customHeight="1" x14ac:dyDescent="0.2">
      <c r="B10" s="2"/>
    </row>
    <row r="11" spans="1:84" ht="12.95" customHeight="1" x14ac:dyDescent="0.2">
      <c r="B11" s="2"/>
    </row>
    <row r="12" spans="1:84" s="6" customFormat="1" ht="12.95" customHeight="1" x14ac:dyDescent="0.2">
      <c r="A12" s="39" t="s">
        <v>27</v>
      </c>
      <c r="B12" s="401" t="str">
        <f>$C$7</f>
        <v>Lernpersonal</v>
      </c>
      <c r="C12" s="401"/>
      <c r="D12" s="6" t="str">
        <f>VLOOKUP(32,Textbausteine_Menu[],Hilfsgrössen!$D$2,FALSE)</f>
        <v>Einheit</v>
      </c>
      <c r="E12" s="28" t="str">
        <f>VLOOKUP(33,Textbausteine_Menu[],Hilfsgrössen!$D$2,FALSE)</f>
        <v>Fussnoten</v>
      </c>
      <c r="F12" s="28" t="str">
        <f>VLOOKUP(34,Textbausteine_Menu[],Hilfsgrössen!$D$2,FALSE)</f>
        <v>GRI</v>
      </c>
      <c r="G12" s="34"/>
      <c r="H12" s="6">
        <v>2004</v>
      </c>
      <c r="I12" s="7">
        <v>2005</v>
      </c>
      <c r="J12" s="7">
        <v>2006</v>
      </c>
      <c r="K12" s="7">
        <v>2007</v>
      </c>
      <c r="L12" s="7">
        <v>2008</v>
      </c>
      <c r="M12" s="7">
        <v>2009</v>
      </c>
      <c r="N12" s="7">
        <v>2010</v>
      </c>
      <c r="O12" s="7">
        <v>2011</v>
      </c>
      <c r="P12" s="7">
        <v>2012</v>
      </c>
      <c r="Q12" s="7">
        <v>2013</v>
      </c>
      <c r="R12" s="7">
        <v>2014</v>
      </c>
      <c r="S12" s="7">
        <v>2015</v>
      </c>
      <c r="T12" s="7">
        <v>2016</v>
      </c>
      <c r="U12" s="7">
        <v>2017</v>
      </c>
      <c r="V12" s="7">
        <v>2018</v>
      </c>
      <c r="W12" s="7">
        <v>2019</v>
      </c>
      <c r="X12" s="7">
        <v>2020</v>
      </c>
      <c r="Y12" s="142">
        <v>2021</v>
      </c>
      <c r="Z12" s="7"/>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row>
    <row r="13" spans="1:84" s="6" customFormat="1" ht="12.95" customHeight="1" x14ac:dyDescent="0.2">
      <c r="A13" s="65"/>
      <c r="B13" s="401"/>
      <c r="C13" s="401"/>
      <c r="E13" s="28"/>
      <c r="F13" s="28"/>
      <c r="G13" s="34"/>
      <c r="I13" s="73"/>
      <c r="J13" s="73"/>
      <c r="K13" s="73"/>
      <c r="L13" s="73"/>
      <c r="M13" s="73"/>
      <c r="N13" s="73"/>
      <c r="O13" s="73"/>
      <c r="P13" s="73"/>
      <c r="Q13" s="73"/>
      <c r="R13" s="73"/>
      <c r="S13" s="73"/>
      <c r="T13" s="75"/>
      <c r="U13" s="75"/>
      <c r="V13" s="75"/>
      <c r="W13" s="75"/>
      <c r="X13" s="75"/>
      <c r="Y13" s="143"/>
      <c r="Z13" s="75"/>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row>
    <row r="14" spans="1:84" ht="12.95" customHeight="1" x14ac:dyDescent="0.2">
      <c r="B14" s="2"/>
      <c r="E14" s="28"/>
      <c r="F14" s="28"/>
      <c r="G14" s="33"/>
      <c r="H14" s="1"/>
      <c r="N14" s="9"/>
      <c r="T14" s="11"/>
      <c r="U14" s="11"/>
      <c r="V14" s="11"/>
      <c r="W14" s="11"/>
      <c r="X14" s="11"/>
      <c r="Y14" s="144"/>
      <c r="Z14" s="11"/>
      <c r="CF14" s="9"/>
    </row>
    <row r="15" spans="1:84" ht="12.95" customHeight="1" x14ac:dyDescent="0.2">
      <c r="B15" s="2" t="str">
        <f>VLOOKUP(37,Textbausteine_Menu[],Hilfsgrössen!$D$2,FALSE)</f>
        <v>Konzern Schweiz</v>
      </c>
      <c r="C15" s="2"/>
      <c r="E15" s="10"/>
      <c r="G15" s="33"/>
      <c r="H15" s="1"/>
      <c r="N15" s="9"/>
      <c r="T15" s="11"/>
      <c r="U15" s="11"/>
      <c r="V15" s="11"/>
      <c r="W15" s="11"/>
      <c r="X15" s="11"/>
      <c r="Y15" s="144"/>
      <c r="CF15" s="9"/>
    </row>
    <row r="16" spans="1:84" ht="12.95" customHeight="1" x14ac:dyDescent="0.2">
      <c r="C16" s="1" t="str">
        <f>VLOOKUP(31,Textbausteine_404_[],Hilfsgrössen!$D$2,FALSE)</f>
        <v>Lernpersonal</v>
      </c>
      <c r="D16" s="110" t="str">
        <f>VLOOKUP(11,Textbausteine_404_[],Hilfsgrössen!$D$2,FALSE)</f>
        <v>Personen</v>
      </c>
      <c r="E16" s="9" t="s">
        <v>97</v>
      </c>
      <c r="F16" s="9" t="s">
        <v>176</v>
      </c>
      <c r="H16" s="12">
        <v>1556</v>
      </c>
      <c r="I16" s="12">
        <v>1465</v>
      </c>
      <c r="J16" s="15">
        <v>1429</v>
      </c>
      <c r="K16" s="15">
        <v>1473</v>
      </c>
      <c r="L16" s="214">
        <v>1571</v>
      </c>
      <c r="M16" s="214">
        <v>1690</v>
      </c>
      <c r="N16" s="12">
        <v>1824</v>
      </c>
      <c r="O16" s="12">
        <v>1942</v>
      </c>
      <c r="P16" s="12">
        <v>2015</v>
      </c>
      <c r="Q16" s="15">
        <v>2024</v>
      </c>
      <c r="R16" s="15">
        <v>2035</v>
      </c>
      <c r="S16" s="15">
        <v>2077.1603333333333</v>
      </c>
      <c r="T16" s="12">
        <v>2118</v>
      </c>
      <c r="U16" s="12">
        <v>2115</v>
      </c>
      <c r="V16" s="12">
        <v>2001</v>
      </c>
      <c r="W16" s="12">
        <v>1894</v>
      </c>
      <c r="X16" s="12">
        <v>1863.4645</v>
      </c>
      <c r="Y16" s="145">
        <v>1859.6306666666701</v>
      </c>
    </row>
    <row r="17" spans="1:25" ht="12.95" customHeight="1" x14ac:dyDescent="0.2">
      <c r="C17" s="17" t="str">
        <f>VLOOKUP(32,Textbausteine_404_[],Hilfsgrössen!$D$2,FALSE)</f>
        <v>Detailhandelsfachfrau/-mann</v>
      </c>
      <c r="D17" s="110" t="str">
        <f>VLOOKUP(11,Textbausteine_404_[],Hilfsgrössen!$D$2,FALSE)</f>
        <v>Personen</v>
      </c>
      <c r="E17" s="9" t="s">
        <v>97</v>
      </c>
      <c r="F17" s="9" t="s">
        <v>176</v>
      </c>
      <c r="H17" s="12">
        <v>236</v>
      </c>
      <c r="I17" s="12">
        <v>377</v>
      </c>
      <c r="J17" s="15">
        <v>469</v>
      </c>
      <c r="K17" s="15">
        <v>514</v>
      </c>
      <c r="L17" s="214">
        <v>572</v>
      </c>
      <c r="M17" s="214">
        <v>645</v>
      </c>
      <c r="N17" s="12">
        <v>734</v>
      </c>
      <c r="O17" s="12">
        <v>814</v>
      </c>
      <c r="P17" s="12">
        <v>858</v>
      </c>
      <c r="Q17" s="15">
        <v>854</v>
      </c>
      <c r="R17" s="15">
        <v>827</v>
      </c>
      <c r="S17" s="15">
        <v>792.56275000000005</v>
      </c>
      <c r="T17" s="12">
        <v>730</v>
      </c>
      <c r="U17" s="12">
        <v>651</v>
      </c>
      <c r="V17" s="12">
        <v>554</v>
      </c>
      <c r="W17" s="12">
        <v>459</v>
      </c>
      <c r="X17" s="12">
        <v>406.638333333334</v>
      </c>
      <c r="Y17" s="145">
        <v>403.02291666666702</v>
      </c>
    </row>
    <row r="18" spans="1:25" ht="12.95" customHeight="1" x14ac:dyDescent="0.2">
      <c r="C18" s="150" t="str">
        <f>VLOOKUP(33,Textbausteine_404_[],Hilfsgrössen!$D$2,FALSE)</f>
        <v>Fachfrau/ -mann Kundendialog</v>
      </c>
      <c r="D18" s="110" t="str">
        <f>VLOOKUP(11,Textbausteine_404_[],Hilfsgrössen!$D$2,FALSE)</f>
        <v>Personen</v>
      </c>
      <c r="E18" s="9" t="s">
        <v>97</v>
      </c>
      <c r="F18" s="9" t="s">
        <v>176</v>
      </c>
      <c r="H18" s="12" t="s">
        <v>30</v>
      </c>
      <c r="I18" s="12" t="s">
        <v>30</v>
      </c>
      <c r="J18" s="15" t="s">
        <v>30</v>
      </c>
      <c r="K18" s="15" t="s">
        <v>30</v>
      </c>
      <c r="L18" s="214" t="s">
        <v>30</v>
      </c>
      <c r="M18" s="214" t="s">
        <v>30</v>
      </c>
      <c r="N18" s="12" t="s">
        <v>30</v>
      </c>
      <c r="O18" s="12" t="s">
        <v>30</v>
      </c>
      <c r="P18" s="12" t="s">
        <v>30</v>
      </c>
      <c r="Q18" s="12">
        <v>4</v>
      </c>
      <c r="R18" s="12">
        <v>9</v>
      </c>
      <c r="S18" s="12">
        <v>20</v>
      </c>
      <c r="T18" s="216">
        <v>33</v>
      </c>
      <c r="U18" s="216">
        <v>44</v>
      </c>
      <c r="V18" s="216">
        <v>53</v>
      </c>
      <c r="W18" s="216">
        <v>58</v>
      </c>
      <c r="X18" s="216">
        <v>58.2293333333334</v>
      </c>
      <c r="Y18" s="217">
        <v>57.754249999999999</v>
      </c>
    </row>
    <row r="19" spans="1:25" s="9" customFormat="1" ht="12.95" customHeight="1" x14ac:dyDescent="0.2">
      <c r="A19" s="66"/>
      <c r="B19" s="1"/>
      <c r="C19" s="17" t="str">
        <f>VLOOKUP(34,Textbausteine_404_[],Hilfsgrössen!$D$2,FALSE)</f>
        <v>Kaufleute</v>
      </c>
      <c r="D19" s="110" t="str">
        <f>VLOOKUP(11,Textbausteine_404_[],Hilfsgrössen!$D$2,FALSE)</f>
        <v>Personen</v>
      </c>
      <c r="E19" s="9" t="s">
        <v>97</v>
      </c>
      <c r="F19" s="9" t="s">
        <v>176</v>
      </c>
      <c r="G19" s="34"/>
      <c r="H19" s="12">
        <v>329</v>
      </c>
      <c r="I19" s="12">
        <v>212</v>
      </c>
      <c r="J19" s="15">
        <v>170</v>
      </c>
      <c r="K19" s="15">
        <v>196</v>
      </c>
      <c r="L19" s="214">
        <v>213</v>
      </c>
      <c r="M19" s="214">
        <v>219</v>
      </c>
      <c r="N19" s="12">
        <v>227</v>
      </c>
      <c r="O19" s="12">
        <v>240</v>
      </c>
      <c r="P19" s="12">
        <v>251</v>
      </c>
      <c r="Q19" s="15">
        <v>257</v>
      </c>
      <c r="R19" s="15">
        <v>255</v>
      </c>
      <c r="S19" s="15">
        <v>268.50883333333331</v>
      </c>
      <c r="T19" s="216">
        <v>286</v>
      </c>
      <c r="U19" s="216">
        <v>287</v>
      </c>
      <c r="V19" s="216">
        <v>261</v>
      </c>
      <c r="W19" s="216">
        <v>229</v>
      </c>
      <c r="X19" s="216">
        <v>205.84966666666625</v>
      </c>
      <c r="Y19" s="145">
        <v>187.60916666666637</v>
      </c>
    </row>
    <row r="20" spans="1:25" s="9" customFormat="1" ht="12.95" customHeight="1" x14ac:dyDescent="0.2">
      <c r="A20" s="66"/>
      <c r="B20" s="1"/>
      <c r="C20" s="17" t="str">
        <f>VLOOKUP(35,Textbausteine_404_[],Hilfsgrössen!$D$2,FALSE)</f>
        <v>Kaufm. Praktikum</v>
      </c>
      <c r="D20" s="110" t="str">
        <f>VLOOKUP(11,Textbausteine_404_[],Hilfsgrössen!$D$2,FALSE)</f>
        <v>Personen</v>
      </c>
      <c r="E20" s="9" t="s">
        <v>177</v>
      </c>
      <c r="F20" s="9" t="s">
        <v>176</v>
      </c>
      <c r="G20" s="34"/>
      <c r="H20" s="12">
        <v>50</v>
      </c>
      <c r="I20" s="12">
        <v>42</v>
      </c>
      <c r="J20" s="218">
        <v>34</v>
      </c>
      <c r="K20" s="15">
        <v>34</v>
      </c>
      <c r="L20" s="214">
        <v>35</v>
      </c>
      <c r="M20" s="214">
        <v>35</v>
      </c>
      <c r="N20" s="12">
        <v>36</v>
      </c>
      <c r="O20" s="12">
        <v>37</v>
      </c>
      <c r="P20" s="12">
        <v>43</v>
      </c>
      <c r="Q20" s="15">
        <v>46</v>
      </c>
      <c r="R20" s="15">
        <v>49</v>
      </c>
      <c r="S20" s="15">
        <v>53.676416666666242</v>
      </c>
      <c r="T20" s="12">
        <v>69</v>
      </c>
      <c r="U20" s="12">
        <v>82</v>
      </c>
      <c r="V20" s="12">
        <v>87</v>
      </c>
      <c r="W20" s="12">
        <v>83</v>
      </c>
      <c r="X20" s="12">
        <v>58.881</v>
      </c>
      <c r="Y20" s="215">
        <v>58.6904166666667</v>
      </c>
    </row>
    <row r="21" spans="1:25" s="9" customFormat="1" ht="12.95" customHeight="1" x14ac:dyDescent="0.2">
      <c r="A21" s="66"/>
      <c r="B21" s="1"/>
      <c r="C21" s="17" t="str">
        <f>VLOOKUP(36,Textbausteine_404_[],Hilfsgrössen!$D$2,FALSE)</f>
        <v>Logistiker/-in EFZ Distribution</v>
      </c>
      <c r="D21" s="110" t="str">
        <f>VLOOKUP(11,Textbausteine_404_[],Hilfsgrössen!$D$2,FALSE)</f>
        <v>Personen</v>
      </c>
      <c r="E21" s="9" t="s">
        <v>97</v>
      </c>
      <c r="F21" s="9" t="s">
        <v>176</v>
      </c>
      <c r="G21" s="34"/>
      <c r="H21" s="12">
        <v>611</v>
      </c>
      <c r="I21" s="12">
        <v>568</v>
      </c>
      <c r="J21" s="15">
        <v>541</v>
      </c>
      <c r="K21" s="15">
        <v>506</v>
      </c>
      <c r="L21" s="214">
        <v>514</v>
      </c>
      <c r="M21" s="214">
        <v>539</v>
      </c>
      <c r="N21" s="12">
        <v>564</v>
      </c>
      <c r="O21" s="12">
        <v>580</v>
      </c>
      <c r="P21" s="12">
        <v>578</v>
      </c>
      <c r="Q21" s="15">
        <v>574</v>
      </c>
      <c r="R21" s="15">
        <v>608</v>
      </c>
      <c r="S21" s="15">
        <v>657.55058333333329</v>
      </c>
      <c r="T21" s="15">
        <v>705</v>
      </c>
      <c r="U21" s="15">
        <v>741</v>
      </c>
      <c r="V21" s="15">
        <v>751</v>
      </c>
      <c r="W21" s="15">
        <v>773</v>
      </c>
      <c r="X21" s="15">
        <v>808.81658333333326</v>
      </c>
      <c r="Y21" s="145">
        <v>820.85474999999974</v>
      </c>
    </row>
    <row r="22" spans="1:25" s="9" customFormat="1" ht="12.95" customHeight="1" x14ac:dyDescent="0.2">
      <c r="A22" s="66"/>
      <c r="B22" s="1"/>
      <c r="C22" s="17" t="str">
        <f>VLOOKUP(37,Textbausteine_404_[],Hilfsgrössen!$D$2,FALSE)</f>
        <v>Logistiker/-in EBA Distribution</v>
      </c>
      <c r="D22" s="110" t="str">
        <f>VLOOKUP(11,Textbausteine_404_[],Hilfsgrössen!$D$2,FALSE)</f>
        <v>Personen</v>
      </c>
      <c r="E22" s="9" t="s">
        <v>97</v>
      </c>
      <c r="F22" s="9" t="s">
        <v>176</v>
      </c>
      <c r="G22" s="34"/>
      <c r="H22" s="12">
        <v>110</v>
      </c>
      <c r="I22" s="12">
        <v>90</v>
      </c>
      <c r="J22" s="15">
        <v>74</v>
      </c>
      <c r="K22" s="15">
        <v>74</v>
      </c>
      <c r="L22" s="15">
        <v>78</v>
      </c>
      <c r="M22" s="214">
        <v>83</v>
      </c>
      <c r="N22" s="12">
        <v>92</v>
      </c>
      <c r="O22" s="12">
        <v>102</v>
      </c>
      <c r="P22" s="12">
        <v>116</v>
      </c>
      <c r="Q22" s="15">
        <v>122</v>
      </c>
      <c r="R22" s="15">
        <v>119</v>
      </c>
      <c r="S22" s="15">
        <v>112.87958333333333</v>
      </c>
      <c r="T22" s="15">
        <v>119</v>
      </c>
      <c r="U22" s="15">
        <v>119</v>
      </c>
      <c r="V22" s="15">
        <v>103</v>
      </c>
      <c r="W22" s="15">
        <v>100</v>
      </c>
      <c r="X22" s="15">
        <v>103.35583333333339</v>
      </c>
      <c r="Y22" s="145">
        <v>109.2184166666667</v>
      </c>
    </row>
    <row r="23" spans="1:25" s="9" customFormat="1" ht="12.95" customHeight="1" x14ac:dyDescent="0.2">
      <c r="A23" s="66"/>
      <c r="B23" s="1"/>
      <c r="C23" s="17" t="str">
        <f>VLOOKUP(38,Textbausteine_404_[],Hilfsgrössen!$D$2,FALSE)</f>
        <v>Logistiker/-in EFZ Lager</v>
      </c>
      <c r="D23" s="110" t="str">
        <f>VLOOKUP(11,Textbausteine_404_[],Hilfsgrössen!$D$2,FALSE)</f>
        <v>Personen</v>
      </c>
      <c r="E23" s="9" t="s">
        <v>97</v>
      </c>
      <c r="F23" s="9" t="s">
        <v>176</v>
      </c>
      <c r="G23" s="34"/>
      <c r="H23" s="15">
        <v>6</v>
      </c>
      <c r="I23" s="15">
        <v>8</v>
      </c>
      <c r="J23" s="15">
        <v>11</v>
      </c>
      <c r="K23" s="15">
        <v>12</v>
      </c>
      <c r="L23" s="15">
        <v>14</v>
      </c>
      <c r="M23" s="15">
        <v>17</v>
      </c>
      <c r="N23" s="15">
        <v>15</v>
      </c>
      <c r="O23" s="15">
        <v>16</v>
      </c>
      <c r="P23" s="15">
        <v>17</v>
      </c>
      <c r="Q23" s="15">
        <v>11</v>
      </c>
      <c r="R23" s="15">
        <v>7</v>
      </c>
      <c r="S23" s="15">
        <v>4.583333333333333</v>
      </c>
      <c r="T23" s="15">
        <v>5</v>
      </c>
      <c r="U23" s="15">
        <v>8</v>
      </c>
      <c r="V23" s="15">
        <v>10</v>
      </c>
      <c r="W23" s="15">
        <v>13</v>
      </c>
      <c r="X23" s="15">
        <v>16.000000000000004</v>
      </c>
      <c r="Y23" s="219">
        <v>19.416666666666671</v>
      </c>
    </row>
    <row r="24" spans="1:25" s="9" customFormat="1" ht="12.95" customHeight="1" x14ac:dyDescent="0.2">
      <c r="A24" s="66"/>
      <c r="B24" s="1"/>
      <c r="C24" s="17" t="str">
        <f>VLOOKUP(39,Textbausteine_404_[],Hilfsgrössen!$D$2,FALSE)</f>
        <v>Strassentransportfachmann/-frau EFZ</v>
      </c>
      <c r="D24" s="110" t="str">
        <f>VLOOKUP(11,Textbausteine_404_[],Hilfsgrössen!$D$2,FALSE)</f>
        <v>Personen</v>
      </c>
      <c r="E24" s="9" t="s">
        <v>97</v>
      </c>
      <c r="F24" s="9" t="s">
        <v>176</v>
      </c>
      <c r="G24" s="34"/>
      <c r="H24" s="15">
        <v>33</v>
      </c>
      <c r="I24" s="15">
        <v>32</v>
      </c>
      <c r="J24" s="15">
        <v>32</v>
      </c>
      <c r="K24" s="15">
        <v>30</v>
      </c>
      <c r="L24" s="15">
        <v>33</v>
      </c>
      <c r="M24" s="15">
        <v>37</v>
      </c>
      <c r="N24" s="15">
        <v>36</v>
      </c>
      <c r="O24" s="15">
        <v>32</v>
      </c>
      <c r="P24" s="15">
        <v>28</v>
      </c>
      <c r="Q24" s="15">
        <v>28</v>
      </c>
      <c r="R24" s="15">
        <v>24</v>
      </c>
      <c r="S24" s="15">
        <v>18.002666666666666</v>
      </c>
      <c r="T24" s="15">
        <v>8</v>
      </c>
      <c r="U24" s="15">
        <v>3</v>
      </c>
      <c r="V24" s="15" t="s">
        <v>30</v>
      </c>
      <c r="W24" s="15" t="s">
        <v>30</v>
      </c>
      <c r="X24" s="15" t="s">
        <v>30</v>
      </c>
      <c r="Y24" s="145" t="s">
        <v>30</v>
      </c>
    </row>
    <row r="25" spans="1:25" s="9" customFormat="1" ht="12.95" customHeight="1" x14ac:dyDescent="0.2">
      <c r="A25" s="66"/>
      <c r="B25" s="1"/>
      <c r="C25" s="17" t="str">
        <f>VLOOKUP(40,Textbausteine_404_[],Hilfsgrössen!$D$2,FALSE)</f>
        <v>Informatiker/-in</v>
      </c>
      <c r="D25" s="110" t="str">
        <f>VLOOKUP(11,Textbausteine_404_[],Hilfsgrössen!$D$2,FALSE)</f>
        <v>Personen</v>
      </c>
      <c r="E25" s="9" t="s">
        <v>177</v>
      </c>
      <c r="F25" s="9" t="s">
        <v>176</v>
      </c>
      <c r="G25" s="34"/>
      <c r="H25" s="15">
        <v>89</v>
      </c>
      <c r="I25" s="15">
        <v>74</v>
      </c>
      <c r="J25" s="15">
        <v>72</v>
      </c>
      <c r="K25" s="15">
        <v>80</v>
      </c>
      <c r="L25" s="15">
        <v>84</v>
      </c>
      <c r="M25" s="15">
        <v>80</v>
      </c>
      <c r="N25" s="15">
        <v>80</v>
      </c>
      <c r="O25" s="15">
        <v>79</v>
      </c>
      <c r="P25" s="15">
        <v>82</v>
      </c>
      <c r="Q25" s="15">
        <v>85</v>
      </c>
      <c r="R25" s="15">
        <v>89</v>
      </c>
      <c r="S25" s="15">
        <v>98.014750000000006</v>
      </c>
      <c r="T25" s="15">
        <v>105</v>
      </c>
      <c r="U25" s="15">
        <v>116</v>
      </c>
      <c r="V25" s="15">
        <v>119</v>
      </c>
      <c r="W25" s="15">
        <v>117</v>
      </c>
      <c r="X25" s="15">
        <v>142.67891666666657</v>
      </c>
      <c r="Y25" s="145">
        <v>142.48475000000005</v>
      </c>
    </row>
    <row r="26" spans="1:25" s="9" customFormat="1" ht="12.95" customHeight="1" x14ac:dyDescent="0.2">
      <c r="A26" s="66"/>
      <c r="B26" s="1"/>
      <c r="C26" s="17" t="str">
        <f>VLOOKUP(41,Textbausteine_404_[],Hilfsgrössen!$D$2,FALSE)</f>
        <v>Mediamatiker/-in</v>
      </c>
      <c r="D26" s="110" t="str">
        <f>VLOOKUP(11,Textbausteine_404_[],Hilfsgrössen!$D$2,FALSE)</f>
        <v>Personen</v>
      </c>
      <c r="E26" s="9" t="s">
        <v>97</v>
      </c>
      <c r="F26" s="9" t="s">
        <v>176</v>
      </c>
      <c r="G26" s="34"/>
      <c r="H26" s="15" t="s">
        <v>30</v>
      </c>
      <c r="I26" s="15" t="s">
        <v>30</v>
      </c>
      <c r="J26" s="15" t="s">
        <v>30</v>
      </c>
      <c r="K26" s="15" t="s">
        <v>30</v>
      </c>
      <c r="L26" s="15" t="s">
        <v>30</v>
      </c>
      <c r="M26" s="15">
        <v>8</v>
      </c>
      <c r="N26" s="15">
        <v>14</v>
      </c>
      <c r="O26" s="15">
        <v>16</v>
      </c>
      <c r="P26" s="15">
        <v>16</v>
      </c>
      <c r="Q26" s="15">
        <v>17</v>
      </c>
      <c r="R26" s="15">
        <v>19</v>
      </c>
      <c r="S26" s="15">
        <v>22.75</v>
      </c>
      <c r="T26" s="15">
        <v>26</v>
      </c>
      <c r="U26" s="15">
        <v>32</v>
      </c>
      <c r="V26" s="15">
        <v>33</v>
      </c>
      <c r="W26" s="15">
        <v>31</v>
      </c>
      <c r="X26" s="15">
        <v>30.453250000000001</v>
      </c>
      <c r="Y26" s="219">
        <v>28.653249999999971</v>
      </c>
    </row>
    <row r="27" spans="1:25" s="9" customFormat="1" ht="12.95" customHeight="1" x14ac:dyDescent="0.2">
      <c r="A27" s="66"/>
      <c r="B27" s="1"/>
      <c r="C27" s="17" t="str">
        <f>VLOOKUP(42,Textbausteine_404_[],Hilfsgrössen!$D$2,FALSE)</f>
        <v>Automatiker/-in</v>
      </c>
      <c r="D27" s="110" t="str">
        <f>VLOOKUP(11,Textbausteine_404_[],Hilfsgrössen!$D$2,FALSE)</f>
        <v>Personen</v>
      </c>
      <c r="E27" s="9" t="s">
        <v>97</v>
      </c>
      <c r="F27" s="9" t="s">
        <v>176</v>
      </c>
      <c r="G27" s="34"/>
      <c r="H27" s="15">
        <v>20</v>
      </c>
      <c r="I27" s="15">
        <v>20</v>
      </c>
      <c r="J27" s="15">
        <v>18</v>
      </c>
      <c r="K27" s="15">
        <v>17</v>
      </c>
      <c r="L27" s="15">
        <v>17</v>
      </c>
      <c r="M27" s="15">
        <v>15</v>
      </c>
      <c r="N27" s="15">
        <v>13</v>
      </c>
      <c r="O27" s="15">
        <v>13</v>
      </c>
      <c r="P27" s="15">
        <v>14</v>
      </c>
      <c r="Q27" s="15">
        <v>16</v>
      </c>
      <c r="R27" s="15">
        <v>18</v>
      </c>
      <c r="S27" s="15">
        <v>17.569916666666668</v>
      </c>
      <c r="T27" s="15">
        <v>19</v>
      </c>
      <c r="U27" s="15">
        <v>21</v>
      </c>
      <c r="V27" s="15">
        <v>21</v>
      </c>
      <c r="W27" s="15">
        <v>22</v>
      </c>
      <c r="X27" s="15">
        <v>21.88416666666663</v>
      </c>
      <c r="Y27" s="219">
        <v>21.967750000000031</v>
      </c>
    </row>
    <row r="28" spans="1:25" s="9" customFormat="1" ht="12.95" customHeight="1" x14ac:dyDescent="0.2">
      <c r="A28" s="66"/>
      <c r="B28" s="1"/>
      <c r="C28" s="17" t="str">
        <f>VLOOKUP(43,Textbausteine_404_[],Hilfsgrössen!$D$2,FALSE)</f>
        <v>Fachmann/-frau Betriebsunterhalt EFZ</v>
      </c>
      <c r="D28" s="110" t="str">
        <f>VLOOKUP(11,Textbausteine_404_[],Hilfsgrössen!$D$2,FALSE)</f>
        <v>Personen</v>
      </c>
      <c r="E28" s="9" t="s">
        <v>97</v>
      </c>
      <c r="F28" s="9" t="s">
        <v>176</v>
      </c>
      <c r="G28" s="34"/>
      <c r="H28" s="15">
        <v>1</v>
      </c>
      <c r="I28" s="15">
        <v>4</v>
      </c>
      <c r="J28" s="15">
        <v>8</v>
      </c>
      <c r="K28" s="15">
        <v>10</v>
      </c>
      <c r="L28" s="15">
        <v>9</v>
      </c>
      <c r="M28" s="15">
        <v>9</v>
      </c>
      <c r="N28" s="15">
        <v>10</v>
      </c>
      <c r="O28" s="15">
        <v>10</v>
      </c>
      <c r="P28" s="15">
        <v>10</v>
      </c>
      <c r="Q28" s="15">
        <v>10</v>
      </c>
      <c r="R28" s="15">
        <v>11</v>
      </c>
      <c r="S28" s="15">
        <v>11.061500000000001</v>
      </c>
      <c r="T28" s="15">
        <v>12</v>
      </c>
      <c r="U28" s="15">
        <v>11</v>
      </c>
      <c r="V28" s="15">
        <v>9</v>
      </c>
      <c r="W28" s="15">
        <v>9</v>
      </c>
      <c r="X28" s="15">
        <v>10.677416666666669</v>
      </c>
      <c r="Y28" s="219">
        <v>9.9583333333333304</v>
      </c>
    </row>
    <row r="29" spans="1:25" s="9" customFormat="1" ht="12.95" customHeight="1" x14ac:dyDescent="0.2">
      <c r="A29" s="66"/>
      <c r="B29" s="1"/>
      <c r="C29" s="17" t="str">
        <f>VLOOKUP(44,Textbausteine_404_[],Hilfsgrössen!$D$2,FALSE)</f>
        <v>Kinderbetreuer/-in</v>
      </c>
      <c r="D29" s="110" t="str">
        <f>VLOOKUP(11,Textbausteine_404_[],Hilfsgrössen!$D$2,FALSE)</f>
        <v>Personen</v>
      </c>
      <c r="E29" s="9" t="s">
        <v>97</v>
      </c>
      <c r="F29" s="9" t="s">
        <v>176</v>
      </c>
      <c r="G29" s="34"/>
      <c r="H29" s="15" t="s">
        <v>30</v>
      </c>
      <c r="I29" s="15" t="s">
        <v>30</v>
      </c>
      <c r="J29" s="15" t="s">
        <v>30</v>
      </c>
      <c r="K29" s="15" t="s">
        <v>30</v>
      </c>
      <c r="L29" s="15">
        <v>2</v>
      </c>
      <c r="M29" s="15">
        <v>3</v>
      </c>
      <c r="N29" s="15">
        <v>3</v>
      </c>
      <c r="O29" s="15">
        <v>3</v>
      </c>
      <c r="P29" s="15">
        <v>2</v>
      </c>
      <c r="Q29" s="15" t="s">
        <v>30</v>
      </c>
      <c r="R29" s="15" t="s">
        <v>30</v>
      </c>
      <c r="S29" s="15" t="s">
        <v>30</v>
      </c>
      <c r="T29" s="15" t="s">
        <v>30</v>
      </c>
      <c r="U29" s="15" t="s">
        <v>30</v>
      </c>
      <c r="V29" s="15" t="s">
        <v>30</v>
      </c>
      <c r="W29" s="15" t="s">
        <v>30</v>
      </c>
      <c r="X29" s="15" t="s">
        <v>30</v>
      </c>
      <c r="Y29" s="145" t="s">
        <v>30</v>
      </c>
    </row>
    <row r="30" spans="1:25" s="9" customFormat="1" ht="12.95" customHeight="1" x14ac:dyDescent="0.2">
      <c r="A30" s="66"/>
      <c r="B30" s="1"/>
      <c r="C30" s="1"/>
      <c r="D30" s="1"/>
      <c r="G30" s="34"/>
      <c r="Y30" s="145"/>
    </row>
    <row r="31" spans="1:25" s="9" customFormat="1" ht="12.95" customHeight="1" x14ac:dyDescent="0.2">
      <c r="A31" s="66"/>
      <c r="B31" s="1"/>
      <c r="C31" s="1" t="str">
        <f>VLOOKUP(45,Textbausteine_404_[],Hilfsgrössen!$D$2,FALSE)</f>
        <v>Ausbildungsquote</v>
      </c>
      <c r="D31" s="1" t="str">
        <f>VLOOKUP(12,Textbausteine_404_[],Hilfsgrössen!$D$2,FALSE)</f>
        <v>% der Personaleinheiten</v>
      </c>
      <c r="E31" s="9" t="s">
        <v>90</v>
      </c>
      <c r="F31" s="9" t="s">
        <v>176</v>
      </c>
      <c r="G31" s="34"/>
      <c r="H31" s="9">
        <v>3.8</v>
      </c>
      <c r="I31" s="9">
        <v>3.7</v>
      </c>
      <c r="J31" s="9">
        <v>3.7</v>
      </c>
      <c r="K31" s="9">
        <v>3.9</v>
      </c>
      <c r="L31" s="9">
        <v>4.0999999999999996</v>
      </c>
      <c r="M31" s="9">
        <v>4.5</v>
      </c>
      <c r="N31" s="9">
        <v>4.8</v>
      </c>
      <c r="O31" s="9">
        <v>5.1515088307931398</v>
      </c>
      <c r="P31" s="9">
        <v>5.3</v>
      </c>
      <c r="Q31" s="9">
        <v>5.4</v>
      </c>
      <c r="R31" s="9">
        <v>5.5</v>
      </c>
      <c r="S31" s="9">
        <v>5.7</v>
      </c>
      <c r="T31" s="9">
        <v>5.8</v>
      </c>
      <c r="U31" s="9">
        <v>6</v>
      </c>
      <c r="V31" s="9">
        <v>5.8</v>
      </c>
      <c r="W31" s="9">
        <v>5.7</v>
      </c>
      <c r="X31" s="9">
        <v>5.6</v>
      </c>
      <c r="Y31" s="145">
        <v>5.5</v>
      </c>
    </row>
    <row r="32" spans="1:25" s="9" customFormat="1" ht="12.95" customHeight="1" x14ac:dyDescent="0.2">
      <c r="A32" s="66"/>
      <c r="B32" s="1"/>
      <c r="C32" s="1" t="str">
        <f>VLOOKUP(46,Textbausteine_404_[],Hilfsgrössen!$D$2,FALSE)</f>
        <v>Neueinstellung von Lernpersonal</v>
      </c>
      <c r="D32" s="1" t="str">
        <f>VLOOKUP(11,Textbausteine_404_[],Hilfsgrössen!$D$2,FALSE)</f>
        <v>Personen</v>
      </c>
      <c r="E32" s="9" t="s">
        <v>28</v>
      </c>
      <c r="F32" s="9" t="s">
        <v>176</v>
      </c>
      <c r="G32" s="34"/>
      <c r="H32" s="15">
        <v>479</v>
      </c>
      <c r="I32" s="15">
        <v>512</v>
      </c>
      <c r="J32" s="15">
        <v>566</v>
      </c>
      <c r="K32" s="15">
        <v>606</v>
      </c>
      <c r="L32" s="15">
        <v>633</v>
      </c>
      <c r="M32" s="15">
        <v>720</v>
      </c>
      <c r="N32" s="15">
        <v>748</v>
      </c>
      <c r="O32" s="15">
        <v>755</v>
      </c>
      <c r="P32" s="15">
        <v>775</v>
      </c>
      <c r="Q32" s="15">
        <v>778</v>
      </c>
      <c r="R32" s="15">
        <v>803</v>
      </c>
      <c r="S32" s="15">
        <v>837</v>
      </c>
      <c r="T32" s="15">
        <v>836</v>
      </c>
      <c r="U32" s="15">
        <v>756</v>
      </c>
      <c r="V32" s="15">
        <v>714</v>
      </c>
      <c r="W32" s="15">
        <v>762</v>
      </c>
      <c r="X32" s="15">
        <v>743</v>
      </c>
      <c r="Y32" s="145">
        <v>749</v>
      </c>
    </row>
    <row r="33" spans="1:83" s="9" customFormat="1" ht="12.95" customHeight="1" x14ac:dyDescent="0.2">
      <c r="A33" s="66"/>
      <c r="B33" s="1"/>
      <c r="C33" s="1" t="str">
        <f>VLOOKUP(47,Textbausteine_404_[],Hilfsgrössen!$D$2,FALSE)</f>
        <v>Anteil übernommener Lernpersonen</v>
      </c>
      <c r="D33" s="1" t="str">
        <f>VLOOKUP(13,Textbausteine_404_[],Hilfsgrössen!$D$2,FALSE)</f>
        <v>% der Personen</v>
      </c>
      <c r="E33" s="9" t="s">
        <v>31</v>
      </c>
      <c r="F33" s="9" t="s">
        <v>176</v>
      </c>
      <c r="G33" s="303"/>
      <c r="H33" s="15">
        <v>83</v>
      </c>
      <c r="I33" s="15">
        <v>81</v>
      </c>
      <c r="J33" s="15">
        <v>92</v>
      </c>
      <c r="K33" s="15">
        <v>91</v>
      </c>
      <c r="L33" s="15">
        <v>91</v>
      </c>
      <c r="M33" s="15">
        <v>82</v>
      </c>
      <c r="N33" s="15">
        <v>90</v>
      </c>
      <c r="O33" s="15">
        <v>90</v>
      </c>
      <c r="P33" s="15">
        <v>83</v>
      </c>
      <c r="Q33" s="15">
        <v>83</v>
      </c>
      <c r="R33" s="15">
        <v>87</v>
      </c>
      <c r="S33" s="15">
        <v>84</v>
      </c>
      <c r="T33" s="15">
        <v>68</v>
      </c>
      <c r="U33" s="15">
        <v>62</v>
      </c>
      <c r="V33" s="15">
        <v>76.900000000000006</v>
      </c>
      <c r="W33" s="15">
        <v>81</v>
      </c>
      <c r="X33" s="15">
        <v>63</v>
      </c>
      <c r="Y33" s="219">
        <v>84.72</v>
      </c>
    </row>
    <row r="34" spans="1:83" s="9" customFormat="1" ht="12.95" customHeight="1" x14ac:dyDescent="0.2">
      <c r="A34" s="66"/>
      <c r="B34" s="1"/>
      <c r="C34" s="13"/>
      <c r="D34" s="1"/>
      <c r="G34" s="34"/>
    </row>
    <row r="35" spans="1:83" s="9" customFormat="1" ht="12.95" customHeight="1" x14ac:dyDescent="0.2">
      <c r="A35" s="66"/>
      <c r="B35" s="19" t="str">
        <f>VLOOKUP(131,Textbausteine_404_[],Hilfsgrössen!$D$2,FALSE)</f>
        <v>1)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C35" s="151"/>
      <c r="D35" s="151"/>
      <c r="E35" s="151"/>
      <c r="F35" s="182"/>
      <c r="G35" s="151"/>
      <c r="H35" s="151"/>
      <c r="I35" s="151"/>
      <c r="J35" s="151"/>
      <c r="K35" s="151"/>
      <c r="L35" s="151"/>
      <c r="M35" s="151"/>
      <c r="N35" s="151"/>
      <c r="O35" s="151"/>
      <c r="P35" s="151"/>
      <c r="Q35" s="151"/>
      <c r="R35" s="151"/>
    </row>
    <row r="36" spans="1:83" s="9" customFormat="1" ht="12.95" customHeight="1" x14ac:dyDescent="0.2">
      <c r="A36" s="66"/>
      <c r="B36" s="19" t="str">
        <f>VLOOKUP(132,Textbausteine_404_[],Hilfsgrössen!$D$2,FALSE)</f>
        <v>2) Jahresdurchschnittswerte</v>
      </c>
      <c r="C36" s="151"/>
      <c r="D36" s="151"/>
      <c r="E36" s="151"/>
      <c r="F36" s="182"/>
      <c r="G36" s="151"/>
      <c r="H36" s="151"/>
      <c r="I36" s="151"/>
      <c r="J36" s="151"/>
      <c r="K36" s="151"/>
      <c r="L36" s="151"/>
      <c r="M36" s="151"/>
      <c r="N36" s="151"/>
      <c r="O36" s="151"/>
      <c r="P36" s="151"/>
      <c r="Q36" s="151"/>
      <c r="R36" s="151"/>
    </row>
    <row r="37" spans="1:83" s="9" customFormat="1" ht="12.95" customHeight="1" x14ac:dyDescent="0.2">
      <c r="A37" s="66"/>
      <c r="B37" s="19" t="str">
        <f>VLOOKUP(133,Textbausteine_404_[],Hilfsgrössen!$D$2,FALSE)</f>
        <v>3) Eine Personaleinheit entspricht einer Vollzeitstelle</v>
      </c>
      <c r="C37" s="151"/>
      <c r="D37" s="151"/>
      <c r="E37" s="151"/>
      <c r="F37" s="182"/>
      <c r="G37" s="151"/>
      <c r="H37" s="151"/>
      <c r="I37" s="151"/>
      <c r="J37" s="151"/>
      <c r="K37" s="151"/>
      <c r="L37" s="151"/>
      <c r="M37" s="151"/>
      <c r="N37" s="151"/>
      <c r="O37" s="151"/>
      <c r="P37" s="151"/>
      <c r="Q37" s="151"/>
      <c r="R37" s="151"/>
    </row>
    <row r="38" spans="1:83" s="9" customFormat="1" ht="12.95" customHeight="1" x14ac:dyDescent="0.2">
      <c r="A38" s="66"/>
      <c r="B38" s="19" t="str">
        <f>VLOOKUP(134,Textbausteine_404_[],Hilfsgrössen!$D$2,FALSE)</f>
        <v>4) Anpassung Wert 2018 aufgrund Änderung der Berechnungsmethode</v>
      </c>
      <c r="C38" s="151"/>
      <c r="D38" s="151"/>
      <c r="E38" s="151"/>
      <c r="F38" s="182"/>
      <c r="G38" s="151"/>
      <c r="H38" s="151"/>
      <c r="I38" s="151"/>
      <c r="J38" s="151"/>
      <c r="K38" s="151"/>
      <c r="L38" s="151"/>
      <c r="M38" s="151"/>
      <c r="N38" s="151"/>
      <c r="O38" s="151"/>
      <c r="P38" s="151"/>
      <c r="Q38" s="151"/>
      <c r="R38" s="151"/>
    </row>
    <row r="39" spans="1:83" s="9" customFormat="1" ht="12.95" customHeight="1" x14ac:dyDescent="0.2">
      <c r="A39" s="66"/>
      <c r="B39" s="19" t="str">
        <f>VLOOKUP(135,Textbausteine_404_[],Hilfsgrössen!$D$2,FALSE)</f>
        <v>5) Wert 2018 angepasst</v>
      </c>
      <c r="C39" s="151"/>
      <c r="D39" s="151"/>
      <c r="E39" s="151"/>
      <c r="F39" s="182"/>
      <c r="G39" s="151"/>
      <c r="H39" s="151"/>
      <c r="I39" s="151"/>
      <c r="J39" s="151"/>
      <c r="K39" s="151"/>
      <c r="L39" s="151"/>
      <c r="M39" s="151"/>
      <c r="N39" s="151"/>
      <c r="O39" s="151"/>
      <c r="P39" s="151"/>
      <c r="Q39" s="151"/>
      <c r="R39" s="151"/>
    </row>
    <row r="40" spans="1:83" s="9" customFormat="1" ht="12.95" customHeight="1" x14ac:dyDescent="0.2">
      <c r="A40" s="66"/>
      <c r="B40" s="19" t="str">
        <f>VLOOKUP(136,Textbausteine_404_[],Hilfsgrössen!$D$2,FALSE)</f>
        <v>6) Konzern Schweiz mit Lehrvertrag Berufsbildung Post</v>
      </c>
      <c r="C40" s="151"/>
      <c r="D40" s="151"/>
      <c r="E40" s="151"/>
      <c r="F40" s="182"/>
      <c r="G40" s="151"/>
      <c r="H40" s="151"/>
      <c r="I40" s="151"/>
      <c r="J40" s="151"/>
      <c r="K40" s="151"/>
      <c r="L40" s="151"/>
      <c r="M40" s="151"/>
      <c r="N40" s="151"/>
      <c r="O40" s="151"/>
      <c r="P40" s="151"/>
      <c r="Q40" s="151"/>
      <c r="R40" s="151"/>
    </row>
    <row r="41" spans="1:83" s="9" customFormat="1" ht="12.95" customHeight="1" x14ac:dyDescent="0.2">
      <c r="A41" s="66"/>
      <c r="B41" s="19" t="str">
        <f>VLOOKUP(137,Textbausteine_404_[],Hilfsgrössen!$D$2,FALSE)</f>
        <v>7) Anteil übernommene Lernende, die eine Anstellung wünschen</v>
      </c>
      <c r="C41" s="151"/>
      <c r="D41" s="151"/>
      <c r="E41" s="151"/>
      <c r="F41" s="182"/>
      <c r="G41" s="151"/>
      <c r="H41" s="151"/>
      <c r="I41" s="151"/>
      <c r="J41" s="151"/>
      <c r="K41" s="151"/>
      <c r="L41" s="151"/>
      <c r="M41" s="151"/>
      <c r="N41" s="151"/>
      <c r="O41" s="151"/>
      <c r="P41" s="151"/>
      <c r="Q41" s="151"/>
      <c r="R41" s="151"/>
    </row>
    <row r="42" spans="1:83" s="9" customFormat="1" ht="12.95" customHeight="1" x14ac:dyDescent="0.2">
      <c r="A42" s="66"/>
      <c r="B42" s="19" t="str">
        <f>VLOOKUP(138,Textbausteine_404_[],Hilfsgrössen!$D$2,FALSE)</f>
        <v>8) Verschiebung der Funktion "Praxisintegriertes Bachelor-Studium" von Kaufm. Praktikum zu Informatiker/in ab 2020.</v>
      </c>
      <c r="C42" s="151"/>
      <c r="D42" s="151"/>
      <c r="E42" s="151"/>
      <c r="F42" s="182"/>
      <c r="G42" s="151"/>
      <c r="H42" s="151"/>
      <c r="I42" s="151"/>
      <c r="J42" s="151"/>
      <c r="K42" s="151"/>
      <c r="L42" s="151"/>
      <c r="M42" s="151"/>
      <c r="N42" s="151"/>
      <c r="O42" s="151"/>
      <c r="P42" s="151"/>
      <c r="Q42" s="151"/>
      <c r="R42" s="151"/>
    </row>
    <row r="43" spans="1:83" s="9" customFormat="1" ht="12.95" customHeight="1" x14ac:dyDescent="0.2">
      <c r="A43" s="66"/>
      <c r="B43" s="151"/>
      <c r="C43" s="151"/>
      <c r="D43" s="151"/>
      <c r="E43" s="151"/>
      <c r="F43" s="182"/>
      <c r="G43" s="151"/>
      <c r="H43" s="151"/>
      <c r="I43" s="151"/>
      <c r="J43" s="151"/>
      <c r="K43" s="151"/>
      <c r="L43" s="151"/>
      <c r="M43" s="151"/>
      <c r="N43" s="151"/>
      <c r="O43" s="151"/>
      <c r="P43" s="151"/>
      <c r="Q43" s="151"/>
      <c r="R43" s="151"/>
    </row>
    <row r="44" spans="1:83" s="9" customFormat="1" ht="12.95" customHeight="1" x14ac:dyDescent="0.2">
      <c r="A44" s="66"/>
      <c r="B44" s="151"/>
      <c r="C44" s="151"/>
      <c r="D44" s="151"/>
      <c r="E44" s="151"/>
      <c r="F44" s="182"/>
      <c r="G44" s="151"/>
      <c r="H44" s="151"/>
      <c r="I44" s="151"/>
      <c r="J44" s="151"/>
      <c r="K44" s="151"/>
      <c r="L44" s="151"/>
      <c r="M44" s="151"/>
      <c r="N44" s="151"/>
      <c r="O44" s="151"/>
      <c r="P44" s="151"/>
      <c r="Q44" s="151"/>
      <c r="R44" s="151"/>
    </row>
    <row r="45" spans="1:83" s="6" customFormat="1" ht="12.95" customHeight="1" x14ac:dyDescent="0.2">
      <c r="A45" s="39" t="s">
        <v>27</v>
      </c>
      <c r="B45" s="401" t="str">
        <f>$C$8</f>
        <v>Nachwuchskräfte</v>
      </c>
      <c r="C45" s="401"/>
      <c r="D45" s="6" t="str">
        <f>VLOOKUP(32,Textbausteine_Menu[],Hilfsgrössen!$D$2,FALSE)</f>
        <v>Einheit</v>
      </c>
      <c r="E45" s="28" t="str">
        <f>VLOOKUP(33,Textbausteine_Menu[],Hilfsgrössen!$D$2,FALSE)</f>
        <v>Fussnoten</v>
      </c>
      <c r="F45" s="28" t="str">
        <f>VLOOKUP(34,Textbausteine_Menu[],Hilfsgrössen!$D$2,FALSE)</f>
        <v>GRI</v>
      </c>
      <c r="G45" s="34"/>
      <c r="H45" s="6">
        <v>2004</v>
      </c>
      <c r="I45" s="7">
        <v>2005</v>
      </c>
      <c r="J45" s="7">
        <v>2006</v>
      </c>
      <c r="K45" s="7">
        <v>2007</v>
      </c>
      <c r="L45" s="7">
        <v>2008</v>
      </c>
      <c r="M45" s="7">
        <v>2009</v>
      </c>
      <c r="N45" s="7">
        <v>2010</v>
      </c>
      <c r="O45" s="7">
        <v>2011</v>
      </c>
      <c r="P45" s="7">
        <v>2012</v>
      </c>
      <c r="Q45" s="7">
        <v>2013</v>
      </c>
      <c r="R45" s="7">
        <v>2014</v>
      </c>
      <c r="S45" s="7">
        <v>2015</v>
      </c>
      <c r="T45" s="7">
        <v>2016</v>
      </c>
      <c r="U45" s="7">
        <v>2017</v>
      </c>
      <c r="V45" s="7">
        <v>2018</v>
      </c>
      <c r="W45" s="7">
        <v>2019</v>
      </c>
      <c r="X45" s="7">
        <v>2020</v>
      </c>
      <c r="Y45" s="142">
        <v>2021</v>
      </c>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row>
    <row r="46" spans="1:83" s="6" customFormat="1" ht="12.95" customHeight="1" x14ac:dyDescent="0.2">
      <c r="A46" s="65"/>
      <c r="B46" s="401"/>
      <c r="C46" s="401"/>
      <c r="E46" s="28"/>
      <c r="F46" s="28"/>
      <c r="G46" s="34"/>
      <c r="I46" s="73"/>
      <c r="J46" s="73"/>
      <c r="K46" s="73"/>
      <c r="L46" s="73"/>
      <c r="M46" s="73"/>
      <c r="N46" s="73"/>
      <c r="O46" s="73"/>
      <c r="P46" s="73"/>
      <c r="Q46" s="73"/>
      <c r="R46" s="73"/>
      <c r="S46" s="73"/>
      <c r="T46" s="75"/>
      <c r="U46" s="75"/>
      <c r="V46" s="75"/>
      <c r="W46" s="75"/>
      <c r="X46" s="75"/>
      <c r="Y46" s="14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c r="BE46" s="73"/>
      <c r="BF46" s="73"/>
      <c r="BG46" s="73"/>
      <c r="BH46" s="73"/>
      <c r="BI46" s="73"/>
      <c r="BJ46" s="73"/>
      <c r="BK46" s="73"/>
      <c r="BL46" s="73"/>
      <c r="BM46" s="73"/>
      <c r="BN46" s="73"/>
      <c r="BO46" s="73"/>
      <c r="BP46" s="73"/>
      <c r="BQ46" s="73"/>
      <c r="BR46" s="73"/>
      <c r="BS46" s="73"/>
      <c r="BT46" s="73"/>
      <c r="BU46" s="73"/>
      <c r="BV46" s="73"/>
      <c r="BW46" s="73"/>
      <c r="BX46" s="73"/>
      <c r="BY46" s="73"/>
      <c r="BZ46" s="73"/>
      <c r="CA46" s="73"/>
      <c r="CB46" s="73"/>
      <c r="CC46" s="73"/>
      <c r="CD46" s="73"/>
      <c r="CE46" s="73"/>
    </row>
    <row r="47" spans="1:83" ht="12.95" customHeight="1" x14ac:dyDescent="0.2">
      <c r="B47" s="2"/>
      <c r="E47" s="28"/>
      <c r="F47" s="28"/>
      <c r="G47" s="33"/>
      <c r="H47" s="1"/>
      <c r="N47" s="9"/>
      <c r="T47" s="11"/>
      <c r="U47" s="11"/>
      <c r="V47" s="11"/>
      <c r="W47" s="11"/>
      <c r="X47" s="11"/>
      <c r="Y47" s="144"/>
    </row>
    <row r="48" spans="1:83" ht="12.95" customHeight="1" x14ac:dyDescent="0.2">
      <c r="B48" s="2" t="str">
        <f>VLOOKUP(37,Textbausteine_Menu[],Hilfsgrössen!$D$2,FALSE)</f>
        <v>Konzern Schweiz</v>
      </c>
      <c r="C48" s="2"/>
      <c r="E48" s="10"/>
      <c r="G48" s="33"/>
      <c r="N48" s="9"/>
      <c r="T48" s="11"/>
      <c r="U48" s="11"/>
      <c r="V48" s="11"/>
      <c r="W48" s="11"/>
      <c r="X48" s="11"/>
      <c r="Y48" s="144"/>
    </row>
    <row r="49" spans="1:83" s="9" customFormat="1" ht="12.95" customHeight="1" x14ac:dyDescent="0.2">
      <c r="A49" s="66"/>
      <c r="B49" s="1"/>
      <c r="C49" s="1" t="str">
        <f>VLOOKUP(61,Textbausteine_404_[],Hilfsgrössen!$D$2,FALSE)</f>
        <v>Nachwuchskräfte</v>
      </c>
      <c r="D49" s="110" t="str">
        <f>VLOOKUP(11,Textbausteine_404_[],Hilfsgrössen!$D$2,FALSE)</f>
        <v>Personen</v>
      </c>
      <c r="E49" s="9" t="s">
        <v>97</v>
      </c>
      <c r="F49" s="9" t="s">
        <v>176</v>
      </c>
      <c r="H49" s="15">
        <v>50</v>
      </c>
      <c r="I49" s="15">
        <v>53</v>
      </c>
      <c r="J49" s="15">
        <v>62</v>
      </c>
      <c r="K49" s="15">
        <v>63</v>
      </c>
      <c r="L49" s="15">
        <v>89</v>
      </c>
      <c r="M49" s="15">
        <v>105</v>
      </c>
      <c r="N49" s="15">
        <v>101</v>
      </c>
      <c r="O49" s="12">
        <v>98</v>
      </c>
      <c r="P49" s="15">
        <v>82</v>
      </c>
      <c r="Q49" s="15">
        <v>89</v>
      </c>
      <c r="R49" s="15">
        <v>93</v>
      </c>
      <c r="S49" s="15">
        <v>87</v>
      </c>
      <c r="T49" s="15">
        <v>92</v>
      </c>
      <c r="U49" s="15">
        <v>69</v>
      </c>
      <c r="V49" s="15">
        <v>71</v>
      </c>
      <c r="W49" s="15">
        <v>72</v>
      </c>
      <c r="X49" s="15">
        <v>73.250000000000028</v>
      </c>
      <c r="Y49" s="219">
        <v>66.9166666666667</v>
      </c>
    </row>
    <row r="50" spans="1:83" s="9" customFormat="1" ht="12.95" customHeight="1" x14ac:dyDescent="0.2">
      <c r="A50" s="66"/>
      <c r="B50" s="1"/>
      <c r="C50" s="13" t="str">
        <f>VLOOKUP(62,Textbausteine_404_[],Hilfsgrössen!$D$2,FALSE)</f>
        <v>Trainee-Programm</v>
      </c>
      <c r="D50" s="110" t="str">
        <f>VLOOKUP(11,Textbausteine_404_[],Hilfsgrössen!$D$2,FALSE)</f>
        <v>Personen</v>
      </c>
      <c r="E50" s="9" t="s">
        <v>97</v>
      </c>
      <c r="F50" s="9" t="s">
        <v>176</v>
      </c>
      <c r="H50" s="15">
        <v>20</v>
      </c>
      <c r="I50" s="15">
        <v>18</v>
      </c>
      <c r="J50" s="15">
        <v>22</v>
      </c>
      <c r="K50" s="15">
        <v>19</v>
      </c>
      <c r="L50" s="15">
        <v>23</v>
      </c>
      <c r="M50" s="12">
        <v>40</v>
      </c>
      <c r="N50" s="12">
        <v>46</v>
      </c>
      <c r="O50" s="12">
        <v>53</v>
      </c>
      <c r="P50" s="15">
        <v>68</v>
      </c>
      <c r="Q50" s="15">
        <v>71</v>
      </c>
      <c r="R50" s="15">
        <v>74</v>
      </c>
      <c r="S50" s="15">
        <v>71</v>
      </c>
      <c r="T50" s="15">
        <v>59</v>
      </c>
      <c r="U50" s="15">
        <v>32</v>
      </c>
      <c r="V50" s="15">
        <v>30</v>
      </c>
      <c r="W50" s="15">
        <v>31</v>
      </c>
      <c r="X50" s="15">
        <v>34.3333333333334</v>
      </c>
      <c r="Y50" s="219">
        <v>32</v>
      </c>
    </row>
    <row r="51" spans="1:83" s="9" customFormat="1" ht="12.95" customHeight="1" x14ac:dyDescent="0.25">
      <c r="A51" s="66"/>
      <c r="B51" s="302"/>
      <c r="C51" s="13" t="str">
        <f>VLOOKUP(63,Textbausteine_404_[],Hilfsgrössen!$D$2,FALSE)</f>
        <v>Praktikanten</v>
      </c>
      <c r="D51" s="110" t="str">
        <f>VLOOKUP(11,Textbausteine_404_[],Hilfsgrössen!$D$2,FALSE)</f>
        <v>Personen</v>
      </c>
      <c r="E51" s="9" t="s">
        <v>97</v>
      </c>
      <c r="F51" s="9" t="s">
        <v>176</v>
      </c>
      <c r="H51" s="15">
        <v>30</v>
      </c>
      <c r="I51" s="15">
        <v>35</v>
      </c>
      <c r="J51" s="15">
        <v>40</v>
      </c>
      <c r="K51" s="15">
        <v>44</v>
      </c>
      <c r="L51" s="15">
        <v>66</v>
      </c>
      <c r="M51" s="12">
        <v>65</v>
      </c>
      <c r="N51" s="12">
        <v>55</v>
      </c>
      <c r="O51" s="12">
        <v>45</v>
      </c>
      <c r="P51" s="15">
        <v>14</v>
      </c>
      <c r="Q51" s="15">
        <v>18</v>
      </c>
      <c r="R51" s="15">
        <v>19</v>
      </c>
      <c r="S51" s="15">
        <v>16</v>
      </c>
      <c r="T51" s="15">
        <v>33</v>
      </c>
      <c r="U51" s="15">
        <v>37</v>
      </c>
      <c r="V51" s="15">
        <v>41</v>
      </c>
      <c r="W51" s="15">
        <v>41</v>
      </c>
      <c r="X51" s="15">
        <v>38.249999999999901</v>
      </c>
      <c r="Y51" s="219">
        <v>34.583333333333329</v>
      </c>
    </row>
    <row r="52" spans="1:83" s="9" customFormat="1" ht="12.95" customHeight="1" x14ac:dyDescent="0.2">
      <c r="A52" s="66"/>
      <c r="B52" s="1"/>
      <c r="C52" s="13"/>
      <c r="D52" s="1"/>
      <c r="G52" s="34"/>
    </row>
    <row r="53" spans="1:83" s="9" customFormat="1" ht="12.95" customHeight="1" x14ac:dyDescent="0.2">
      <c r="A53" s="66"/>
      <c r="B53" s="151" t="str">
        <f>VLOOKUP(141,Textbausteine_404_[],Hilfsgrössen!$D$2,FALSE)</f>
        <v>1)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C53" s="151"/>
      <c r="D53" s="151"/>
      <c r="E53" s="151"/>
      <c r="F53" s="182"/>
      <c r="G53" s="151"/>
      <c r="H53" s="151"/>
      <c r="I53" s="151"/>
      <c r="J53" s="151"/>
      <c r="K53" s="151"/>
      <c r="L53" s="151"/>
      <c r="M53" s="151"/>
      <c r="N53" s="151"/>
      <c r="O53" s="151"/>
      <c r="P53" s="151"/>
      <c r="Q53" s="151"/>
      <c r="R53" s="151"/>
    </row>
    <row r="54" spans="1:83" s="9" customFormat="1" ht="12.95" customHeight="1" x14ac:dyDescent="0.2">
      <c r="A54" s="66"/>
      <c r="B54" s="151" t="str">
        <f>VLOOKUP(142,Textbausteine_404_[],Hilfsgrössen!$D$2,FALSE)</f>
        <v>2) Jahresdurchschnittswerte</v>
      </c>
      <c r="C54" s="151"/>
      <c r="D54" s="151"/>
      <c r="E54" s="151"/>
      <c r="F54" s="182"/>
      <c r="G54" s="151"/>
      <c r="H54" s="151"/>
      <c r="I54" s="151"/>
      <c r="J54" s="151"/>
      <c r="K54" s="151"/>
      <c r="L54" s="151"/>
      <c r="M54" s="151"/>
      <c r="N54" s="151"/>
      <c r="O54" s="151"/>
      <c r="P54" s="151"/>
      <c r="Q54" s="151"/>
      <c r="R54" s="151"/>
    </row>
    <row r="55" spans="1:83" s="9" customFormat="1" ht="12.95" customHeight="1" x14ac:dyDescent="0.2">
      <c r="A55" s="66"/>
      <c r="B55" s="151"/>
      <c r="C55" s="151"/>
      <c r="D55" s="151"/>
      <c r="E55" s="151"/>
      <c r="F55" s="182"/>
      <c r="G55" s="151"/>
      <c r="H55" s="151"/>
      <c r="I55" s="151"/>
      <c r="J55" s="151"/>
      <c r="K55" s="151"/>
      <c r="L55" s="151"/>
      <c r="M55" s="151"/>
      <c r="N55" s="151"/>
      <c r="O55" s="151"/>
      <c r="P55" s="151"/>
      <c r="Q55" s="151"/>
      <c r="R55" s="151"/>
    </row>
    <row r="56" spans="1:83" s="9" customFormat="1" ht="12.95" customHeight="1" x14ac:dyDescent="0.2">
      <c r="A56" s="66"/>
      <c r="B56" s="151"/>
      <c r="C56" s="151"/>
      <c r="D56" s="151"/>
      <c r="E56" s="151"/>
      <c r="F56" s="182"/>
      <c r="G56" s="151"/>
      <c r="H56" s="151"/>
      <c r="I56" s="151"/>
      <c r="J56" s="151"/>
      <c r="K56" s="151"/>
      <c r="L56" s="151"/>
      <c r="M56" s="151"/>
      <c r="N56" s="151"/>
      <c r="O56" s="151"/>
      <c r="P56" s="151"/>
      <c r="Q56" s="151"/>
      <c r="R56" s="151"/>
    </row>
    <row r="57" spans="1:83" s="6" customFormat="1" ht="12.95" customHeight="1" x14ac:dyDescent="0.2">
      <c r="A57" s="39" t="s">
        <v>27</v>
      </c>
      <c r="B57" s="401" t="str">
        <f>$C$9</f>
        <v>Laufbahnzentrum</v>
      </c>
      <c r="C57" s="401"/>
      <c r="D57" s="6" t="str">
        <f>VLOOKUP(32,Textbausteine_Menu[],Hilfsgrössen!$D$2,FALSE)</f>
        <v>Einheit</v>
      </c>
      <c r="E57" s="28" t="str">
        <f>VLOOKUP(33,Textbausteine_Menu[],Hilfsgrössen!$D$2,FALSE)</f>
        <v>Fussnoten</v>
      </c>
      <c r="F57" s="28" t="str">
        <f>VLOOKUP(34,Textbausteine_Menu[],Hilfsgrössen!$D$2,FALSE)</f>
        <v>GRI</v>
      </c>
      <c r="G57" s="34"/>
      <c r="H57" s="6">
        <v>2004</v>
      </c>
      <c r="I57" s="7">
        <v>2005</v>
      </c>
      <c r="J57" s="7">
        <v>2006</v>
      </c>
      <c r="K57" s="7">
        <v>2007</v>
      </c>
      <c r="L57" s="7">
        <v>2008</v>
      </c>
      <c r="M57" s="7">
        <v>2009</v>
      </c>
      <c r="N57" s="7">
        <v>2010</v>
      </c>
      <c r="O57" s="7">
        <v>2011</v>
      </c>
      <c r="P57" s="7">
        <v>2012</v>
      </c>
      <c r="Q57" s="7">
        <v>2013</v>
      </c>
      <c r="R57" s="7">
        <v>2014</v>
      </c>
      <c r="S57" s="7">
        <v>2015</v>
      </c>
      <c r="T57" s="7">
        <v>2016</v>
      </c>
      <c r="U57" s="7">
        <v>2017</v>
      </c>
      <c r="V57" s="7">
        <v>2018</v>
      </c>
      <c r="W57" s="7">
        <v>2019</v>
      </c>
      <c r="X57" s="7">
        <v>2020</v>
      </c>
      <c r="Y57" s="142">
        <v>2021</v>
      </c>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c r="CC57" s="28"/>
      <c r="CD57" s="28"/>
      <c r="CE57" s="28"/>
    </row>
    <row r="58" spans="1:83" s="6" customFormat="1" ht="12.95" customHeight="1" x14ac:dyDescent="0.2">
      <c r="A58" s="65"/>
      <c r="B58" s="401"/>
      <c r="C58" s="401"/>
      <c r="E58" s="28"/>
      <c r="F58" s="28"/>
      <c r="G58" s="34"/>
      <c r="I58" s="73"/>
      <c r="J58" s="73"/>
      <c r="K58" s="73"/>
      <c r="L58" s="73"/>
      <c r="M58" s="73"/>
      <c r="N58" s="73"/>
      <c r="O58" s="73"/>
      <c r="P58" s="73"/>
      <c r="Q58" s="73"/>
      <c r="R58" s="73"/>
      <c r="S58" s="73"/>
      <c r="T58" s="75"/>
      <c r="U58" s="75"/>
      <c r="V58" s="75"/>
      <c r="W58" s="75"/>
      <c r="X58" s="75"/>
      <c r="Y58" s="14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BD58" s="73"/>
      <c r="BE58" s="73"/>
      <c r="BF58" s="73"/>
      <c r="BG58" s="73"/>
      <c r="BH58" s="73"/>
      <c r="BI58" s="73"/>
      <c r="BJ58" s="73"/>
      <c r="BK58" s="73"/>
      <c r="BL58" s="73"/>
      <c r="BM58" s="73"/>
      <c r="BN58" s="73"/>
      <c r="BO58" s="73"/>
      <c r="BP58" s="73"/>
      <c r="BQ58" s="73"/>
      <c r="BR58" s="73"/>
      <c r="BS58" s="73"/>
      <c r="BT58" s="73"/>
      <c r="BU58" s="73"/>
      <c r="BV58" s="73"/>
      <c r="BW58" s="73"/>
      <c r="BX58" s="73"/>
      <c r="BY58" s="73"/>
      <c r="BZ58" s="73"/>
      <c r="CA58" s="73"/>
      <c r="CB58" s="73"/>
      <c r="CC58" s="73"/>
      <c r="CD58" s="73"/>
      <c r="CE58" s="73"/>
    </row>
    <row r="59" spans="1:83" ht="12.95" customHeight="1" x14ac:dyDescent="0.2">
      <c r="B59" s="2"/>
      <c r="E59" s="28"/>
      <c r="F59" s="28"/>
      <c r="G59" s="33"/>
      <c r="H59" s="1"/>
      <c r="N59" s="9"/>
      <c r="T59" s="11"/>
      <c r="U59" s="11"/>
      <c r="V59" s="11"/>
      <c r="W59" s="11"/>
      <c r="X59" s="11"/>
      <c r="Y59" s="144"/>
    </row>
    <row r="60" spans="1:83" ht="12.95" customHeight="1" x14ac:dyDescent="0.2">
      <c r="B60" s="2" t="str">
        <f>VLOOKUP(37,Textbausteine_Menu[],Hilfsgrössen!$D$2,FALSE)</f>
        <v>Konzern Schweiz</v>
      </c>
      <c r="C60" s="2"/>
      <c r="E60" s="10"/>
      <c r="G60" s="33"/>
      <c r="N60" s="9"/>
      <c r="T60" s="11"/>
      <c r="U60" s="11"/>
      <c r="V60" s="11"/>
      <c r="W60" s="11"/>
      <c r="X60" s="11"/>
      <c r="Y60" s="144"/>
    </row>
    <row r="61" spans="1:83" s="9" customFormat="1" ht="12.95" customHeight="1" x14ac:dyDescent="0.2">
      <c r="A61" s="66"/>
      <c r="B61" s="1"/>
      <c r="C61" s="1" t="str">
        <f>VLOOKUP(81,Textbausteine_404_[],Hilfsgrössen!$D$2,FALSE)</f>
        <v>Individuelle Beratungen durch Laufbahnzentrum</v>
      </c>
      <c r="D61" s="110" t="str">
        <f>VLOOKUP(14,Textbausteine_404_[],Hilfsgrössen!$D$2,FALSE)</f>
        <v>Anzahl</v>
      </c>
      <c r="F61" s="9" t="s">
        <v>176</v>
      </c>
      <c r="H61" s="9">
        <v>1475</v>
      </c>
      <c r="I61" s="9">
        <v>1337</v>
      </c>
      <c r="J61" s="9">
        <v>1362</v>
      </c>
      <c r="K61" s="9">
        <v>1436</v>
      </c>
      <c r="L61" s="9">
        <v>716</v>
      </c>
      <c r="M61" s="9">
        <v>582</v>
      </c>
      <c r="N61" s="9">
        <v>562</v>
      </c>
      <c r="O61" s="11">
        <v>590</v>
      </c>
      <c r="P61" s="9">
        <v>687</v>
      </c>
      <c r="Q61" s="9">
        <v>772</v>
      </c>
      <c r="R61" s="9">
        <v>822</v>
      </c>
      <c r="S61" s="9">
        <v>751</v>
      </c>
      <c r="T61" s="9">
        <v>825</v>
      </c>
      <c r="U61" s="9">
        <v>1161</v>
      </c>
      <c r="V61" s="9">
        <v>1143</v>
      </c>
      <c r="W61" s="9">
        <v>1262</v>
      </c>
      <c r="X61" s="9">
        <v>1181</v>
      </c>
      <c r="Y61" s="145">
        <v>1186</v>
      </c>
    </row>
    <row r="62" spans="1:83" s="9" customFormat="1" ht="12.95" customHeight="1" x14ac:dyDescent="0.2">
      <c r="A62" s="66"/>
      <c r="B62" s="1"/>
      <c r="C62" s="8" t="str">
        <f>VLOOKUP(82,Textbausteine_404_[],Hilfsgrössen!$D$2,FALSE)</f>
        <v>Workshops Laufbahnzentrum</v>
      </c>
      <c r="D62" s="110" t="str">
        <f>VLOOKUP(14,Textbausteine_404_[],Hilfsgrössen!$D$2,FALSE)</f>
        <v>Anzahl</v>
      </c>
      <c r="F62" s="9" t="s">
        <v>176</v>
      </c>
      <c r="H62" s="15">
        <v>177</v>
      </c>
      <c r="I62" s="15">
        <v>126</v>
      </c>
      <c r="J62" s="15">
        <v>99</v>
      </c>
      <c r="K62" s="15">
        <v>102</v>
      </c>
      <c r="L62" s="15">
        <v>46</v>
      </c>
      <c r="M62" s="12">
        <v>54</v>
      </c>
      <c r="N62" s="12">
        <v>83</v>
      </c>
      <c r="O62" s="12">
        <v>50</v>
      </c>
      <c r="P62" s="15">
        <v>70</v>
      </c>
      <c r="Q62" s="15">
        <v>74</v>
      </c>
      <c r="R62" s="15">
        <v>71</v>
      </c>
      <c r="S62" s="15">
        <v>71</v>
      </c>
      <c r="T62" s="15">
        <v>70</v>
      </c>
      <c r="U62" s="15">
        <v>69</v>
      </c>
      <c r="V62" s="15">
        <v>39</v>
      </c>
      <c r="W62" s="15">
        <v>64</v>
      </c>
      <c r="X62" s="15">
        <v>50</v>
      </c>
      <c r="Y62" s="219">
        <v>82</v>
      </c>
    </row>
    <row r="63" spans="1:83" s="9" customFormat="1" ht="12.95" customHeight="1" x14ac:dyDescent="0.25">
      <c r="A63" s="66"/>
      <c r="B63" s="302"/>
      <c r="C63" s="8" t="str">
        <f>VLOOKUP(83,Textbausteine_404_[],Hilfsgrössen!$D$2,FALSE)</f>
        <v>Workshops Laufbahnzentrum</v>
      </c>
      <c r="D63" s="110" t="str">
        <f>VLOOKUP(15,Textbausteine_404_[],Hilfsgrössen!$D$2,FALSE)</f>
        <v>Teilnehmende</v>
      </c>
      <c r="F63" s="9" t="s">
        <v>176</v>
      </c>
      <c r="H63" s="9">
        <v>2388</v>
      </c>
      <c r="I63" s="9">
        <v>1762</v>
      </c>
      <c r="J63" s="9">
        <v>1497</v>
      </c>
      <c r="K63" s="9">
        <v>1309</v>
      </c>
      <c r="L63" s="9">
        <v>792</v>
      </c>
      <c r="M63" s="11">
        <v>834</v>
      </c>
      <c r="N63" s="11">
        <v>1393</v>
      </c>
      <c r="O63" s="11">
        <v>870</v>
      </c>
      <c r="P63" s="9">
        <v>1230</v>
      </c>
      <c r="Q63" s="9">
        <v>1188</v>
      </c>
      <c r="R63" s="9">
        <v>1173</v>
      </c>
      <c r="S63" s="9">
        <v>1208</v>
      </c>
      <c r="T63" s="9">
        <v>1248</v>
      </c>
      <c r="U63" s="9">
        <v>1208</v>
      </c>
      <c r="V63" s="9">
        <v>585</v>
      </c>
      <c r="W63" s="9">
        <v>543</v>
      </c>
      <c r="X63" s="9">
        <v>300</v>
      </c>
      <c r="Y63" s="145">
        <v>473</v>
      </c>
    </row>
    <row r="64" spans="1:83" s="9" customFormat="1" ht="12.95" customHeight="1" x14ac:dyDescent="0.25">
      <c r="A64" s="66"/>
      <c r="B64" s="302"/>
      <c r="C64" s="13"/>
      <c r="D64" s="1"/>
      <c r="M64" s="11"/>
      <c r="N64" s="11"/>
      <c r="O64" s="11"/>
    </row>
    <row r="65" spans="1:7" s="9" customFormat="1" ht="12.95" customHeight="1" x14ac:dyDescent="0.25">
      <c r="A65" s="66"/>
      <c r="B65" s="302"/>
      <c r="C65" s="1"/>
      <c r="D65" s="1"/>
      <c r="F65" s="11"/>
      <c r="G65" s="34"/>
    </row>
    <row r="66" spans="1:7" s="9" customFormat="1" ht="12.95" customHeight="1" x14ac:dyDescent="0.25">
      <c r="A66" s="66"/>
      <c r="B66" s="302"/>
      <c r="C66" s="1"/>
      <c r="D66" s="1"/>
      <c r="G66" s="303"/>
    </row>
    <row r="67" spans="1:7" s="9" customFormat="1" ht="12.95" customHeight="1" x14ac:dyDescent="0.25">
      <c r="A67" s="66"/>
      <c r="B67" s="302"/>
      <c r="C67" s="1"/>
      <c r="D67" s="1"/>
      <c r="G67" s="34"/>
    </row>
    <row r="68" spans="1:7" s="9" customFormat="1" ht="12.95" customHeight="1" x14ac:dyDescent="0.25">
      <c r="A68" s="66"/>
      <c r="B68" s="302"/>
      <c r="C68" s="1"/>
      <c r="D68" s="1"/>
      <c r="G68" s="34"/>
    </row>
    <row r="69" spans="1:7" s="9" customFormat="1" ht="12.95" customHeight="1" x14ac:dyDescent="0.2">
      <c r="A69" s="66"/>
      <c r="B69" s="1"/>
      <c r="C69" s="1"/>
      <c r="D69" s="1"/>
      <c r="G69" s="34"/>
    </row>
    <row r="70" spans="1:7" s="9" customFormat="1" ht="12.95" customHeight="1" x14ac:dyDescent="0.2">
      <c r="A70" s="66"/>
      <c r="B70" s="1"/>
      <c r="C70" s="1"/>
      <c r="D70" s="1"/>
      <c r="G70" s="34"/>
    </row>
    <row r="71" spans="1:7" s="9" customFormat="1" ht="12.95" customHeight="1" x14ac:dyDescent="0.2">
      <c r="A71" s="66"/>
      <c r="B71" s="1"/>
      <c r="C71" s="1"/>
      <c r="D71" s="1"/>
      <c r="G71" s="34"/>
    </row>
    <row r="72" spans="1:7" s="9" customFormat="1" ht="12.95" customHeight="1" x14ac:dyDescent="0.2">
      <c r="A72" s="66"/>
      <c r="B72" s="1"/>
      <c r="C72" s="1"/>
      <c r="D72" s="1"/>
      <c r="G72" s="34"/>
    </row>
    <row r="73" spans="1:7" s="9" customFormat="1" ht="12.95" customHeight="1" x14ac:dyDescent="0.2">
      <c r="A73" s="66"/>
      <c r="B73" s="1"/>
      <c r="C73" s="1"/>
      <c r="D73" s="1"/>
      <c r="G73" s="34"/>
    </row>
    <row r="74" spans="1:7" s="9" customFormat="1" ht="12.95" customHeight="1" x14ac:dyDescent="0.2">
      <c r="A74" s="66"/>
      <c r="B74" s="1"/>
      <c r="C74" s="1"/>
      <c r="D74" s="1"/>
      <c r="G74" s="34"/>
    </row>
    <row r="75" spans="1:7" s="9" customFormat="1" ht="12.95" customHeight="1" x14ac:dyDescent="0.2">
      <c r="A75" s="66"/>
      <c r="B75" s="1"/>
      <c r="C75" s="1"/>
      <c r="D75" s="1"/>
      <c r="E75" s="11"/>
      <c r="G75" s="34"/>
    </row>
    <row r="76" spans="1:7" s="9" customFormat="1" ht="12.95" customHeight="1" x14ac:dyDescent="0.2">
      <c r="A76" s="66"/>
      <c r="B76" s="1"/>
      <c r="C76" s="1"/>
      <c r="D76" s="1"/>
      <c r="E76" s="11"/>
      <c r="G76" s="34"/>
    </row>
    <row r="77" spans="1:7" s="9" customFormat="1" ht="12.95" customHeight="1" x14ac:dyDescent="0.2">
      <c r="A77" s="66"/>
      <c r="B77" s="1"/>
      <c r="C77" s="1"/>
      <c r="D77" s="1"/>
      <c r="E77" s="11"/>
      <c r="G77" s="34"/>
    </row>
    <row r="78" spans="1:7" s="9" customFormat="1" ht="12.95" customHeight="1" x14ac:dyDescent="0.2">
      <c r="A78" s="66"/>
      <c r="B78" s="1"/>
      <c r="C78" s="1"/>
      <c r="D78" s="1"/>
      <c r="G78" s="34"/>
    </row>
    <row r="79" spans="1:7" s="9" customFormat="1" ht="12.95" customHeight="1" x14ac:dyDescent="0.2">
      <c r="A79" s="66"/>
      <c r="B79" s="1"/>
      <c r="C79" s="1"/>
      <c r="D79" s="1"/>
      <c r="G79" s="34"/>
    </row>
    <row r="80" spans="1:7" s="9" customFormat="1" ht="12.95" customHeight="1" x14ac:dyDescent="0.2">
      <c r="A80" s="66"/>
      <c r="B80" s="1"/>
      <c r="C80" s="1"/>
      <c r="D80" s="1"/>
      <c r="E80" s="29"/>
      <c r="F80" s="29"/>
      <c r="G80" s="34"/>
    </row>
    <row r="81" spans="1:14" s="9" customFormat="1" ht="12.95" customHeight="1" x14ac:dyDescent="0.2">
      <c r="A81" s="66"/>
      <c r="B81" s="1"/>
      <c r="C81" s="1"/>
      <c r="D81" s="1"/>
      <c r="E81" s="29"/>
      <c r="F81" s="29"/>
      <c r="G81" s="35"/>
    </row>
    <row r="82" spans="1:14" s="9" customFormat="1" ht="12.95" customHeight="1" x14ac:dyDescent="0.2">
      <c r="A82" s="66"/>
      <c r="B82" s="1"/>
      <c r="C82" s="1"/>
      <c r="D82" s="1"/>
      <c r="E82" s="29"/>
      <c r="F82" s="29"/>
      <c r="G82" s="35"/>
    </row>
    <row r="83" spans="1:14" s="9" customFormat="1" ht="12.95" customHeight="1" x14ac:dyDescent="0.2">
      <c r="A83" s="66"/>
      <c r="B83" s="1"/>
      <c r="C83" s="1"/>
      <c r="D83" s="1"/>
      <c r="E83" s="29"/>
      <c r="F83" s="29"/>
      <c r="G83" s="35"/>
      <c r="N83" s="11"/>
    </row>
    <row r="84" spans="1:14" s="9" customFormat="1" ht="12.95" customHeight="1" x14ac:dyDescent="0.2">
      <c r="A84" s="66"/>
      <c r="B84" s="1"/>
      <c r="C84" s="1"/>
      <c r="D84" s="1"/>
      <c r="E84" s="29"/>
      <c r="F84" s="29"/>
      <c r="G84" s="35"/>
      <c r="N84" s="11"/>
    </row>
    <row r="85" spans="1:14" s="9" customFormat="1" ht="12.95" customHeight="1" x14ac:dyDescent="0.25">
      <c r="A85" s="66"/>
      <c r="B85" s="1"/>
      <c r="C85" s="1"/>
      <c r="D85" s="1"/>
      <c r="E85" s="30"/>
      <c r="F85" s="30"/>
      <c r="G85" s="35"/>
      <c r="N85" s="11"/>
    </row>
    <row r="86" spans="1:14" s="9" customFormat="1" ht="12.95" customHeight="1" x14ac:dyDescent="0.25">
      <c r="A86" s="66"/>
      <c r="B86" s="1"/>
      <c r="C86" s="1"/>
      <c r="D86" s="1"/>
      <c r="G86" s="36"/>
      <c r="N86" s="11"/>
    </row>
    <row r="89" spans="1:14" s="9" customFormat="1" ht="12.95" customHeight="1" x14ac:dyDescent="0.2">
      <c r="A89" s="66"/>
      <c r="B89" s="1"/>
      <c r="C89" s="1"/>
      <c r="D89" s="1"/>
      <c r="E89" s="28"/>
      <c r="F89" s="28"/>
      <c r="G89" s="34"/>
      <c r="N89" s="11"/>
    </row>
    <row r="90" spans="1:14" s="9" customFormat="1" ht="12.95" customHeight="1" x14ac:dyDescent="0.2">
      <c r="A90" s="66"/>
      <c r="B90" s="1"/>
      <c r="C90" s="1"/>
      <c r="D90" s="1"/>
      <c r="E90" s="28"/>
      <c r="F90" s="28"/>
      <c r="G90" s="33"/>
      <c r="N90" s="11"/>
    </row>
    <row r="91" spans="1:14" s="9" customFormat="1" ht="12.95" customHeight="1" x14ac:dyDescent="0.2">
      <c r="A91" s="66"/>
      <c r="B91" s="1"/>
      <c r="C91" s="1"/>
      <c r="D91" s="1"/>
      <c r="E91" s="11"/>
      <c r="G91" s="33"/>
      <c r="N91" s="75"/>
    </row>
    <row r="92" spans="1:14" s="9" customFormat="1" ht="12.95" customHeight="1" x14ac:dyDescent="0.2">
      <c r="A92" s="66"/>
      <c r="B92" s="1"/>
      <c r="C92" s="1"/>
      <c r="D92" s="1"/>
      <c r="E92" s="28"/>
      <c r="F92" s="28"/>
      <c r="G92" s="34"/>
      <c r="N92" s="75"/>
    </row>
    <row r="93" spans="1:14" s="9" customFormat="1" ht="12.95" customHeight="1" x14ac:dyDescent="0.2">
      <c r="A93" s="66"/>
      <c r="B93" s="1"/>
      <c r="C93" s="1"/>
      <c r="D93" s="1"/>
      <c r="E93" s="11"/>
      <c r="G93" s="33"/>
      <c r="N93" s="11"/>
    </row>
    <row r="94" spans="1:14" s="9" customFormat="1" ht="12.95" customHeight="1" x14ac:dyDescent="0.2">
      <c r="A94" s="66"/>
      <c r="B94" s="1"/>
      <c r="C94" s="1"/>
      <c r="D94" s="1"/>
      <c r="E94" s="11"/>
      <c r="G94" s="34"/>
    </row>
    <row r="95" spans="1:14" s="9" customFormat="1" ht="12.95" customHeight="1" x14ac:dyDescent="0.2">
      <c r="A95" s="66"/>
      <c r="B95" s="1"/>
      <c r="C95" s="1"/>
      <c r="D95" s="1"/>
      <c r="E95" s="11"/>
      <c r="G95" s="34"/>
    </row>
    <row r="96" spans="1:14" s="9" customFormat="1" ht="12.95" customHeight="1" x14ac:dyDescent="0.2">
      <c r="A96" s="66"/>
      <c r="B96" s="1"/>
      <c r="C96" s="1"/>
      <c r="D96" s="1"/>
      <c r="E96" s="11"/>
      <c r="G96" s="34"/>
    </row>
    <row r="97" spans="1:14" s="9" customFormat="1" ht="12.95" customHeight="1" x14ac:dyDescent="0.2">
      <c r="A97" s="66"/>
      <c r="B97" s="1"/>
      <c r="C97" s="1"/>
      <c r="D97" s="1"/>
      <c r="E97" s="31"/>
      <c r="F97" s="31"/>
      <c r="G97" s="34"/>
    </row>
    <row r="98" spans="1:14" s="9" customFormat="1" ht="12.95" customHeight="1" x14ac:dyDescent="0.2">
      <c r="A98" s="66"/>
      <c r="B98" s="1"/>
      <c r="C98" s="1"/>
      <c r="D98" s="1"/>
      <c r="E98" s="31"/>
      <c r="F98" s="31"/>
      <c r="G98" s="34"/>
    </row>
    <row r="99" spans="1:14" s="9" customFormat="1" ht="12.95" customHeight="1" x14ac:dyDescent="0.2">
      <c r="A99" s="66"/>
      <c r="B99" s="1"/>
      <c r="C99" s="1"/>
      <c r="D99" s="1"/>
      <c r="E99" s="31"/>
      <c r="F99" s="31"/>
      <c r="G99" s="34"/>
    </row>
    <row r="100" spans="1:14" s="9" customFormat="1" ht="12.95" customHeight="1" x14ac:dyDescent="0.2">
      <c r="A100" s="66"/>
      <c r="B100" s="1"/>
      <c r="C100" s="1"/>
      <c r="D100" s="1"/>
      <c r="G100" s="34"/>
    </row>
    <row r="101" spans="1:14" s="9" customFormat="1" ht="12.95" customHeight="1" x14ac:dyDescent="0.2">
      <c r="A101" s="66"/>
      <c r="B101" s="1"/>
      <c r="C101" s="1"/>
      <c r="D101" s="1"/>
      <c r="G101" s="34"/>
    </row>
    <row r="102" spans="1:14" s="9" customFormat="1" ht="12.95" customHeight="1" x14ac:dyDescent="0.2">
      <c r="A102" s="66"/>
      <c r="B102" s="1"/>
      <c r="C102" s="1"/>
      <c r="D102" s="1"/>
      <c r="G102" s="34"/>
      <c r="N102" s="75"/>
    </row>
    <row r="103" spans="1:14" s="9" customFormat="1" ht="12.95" customHeight="1" x14ac:dyDescent="0.2">
      <c r="A103" s="66"/>
      <c r="B103" s="1"/>
      <c r="C103" s="1"/>
      <c r="D103" s="1"/>
      <c r="G103" s="34"/>
      <c r="N103" s="75"/>
    </row>
    <row r="107" spans="1:14" s="9" customFormat="1" ht="12.95" customHeight="1" x14ac:dyDescent="0.2">
      <c r="A107" s="66"/>
      <c r="B107" s="1"/>
      <c r="C107" s="1"/>
      <c r="D107" s="1"/>
      <c r="G107" s="34"/>
    </row>
    <row r="108" spans="1:14" s="9" customFormat="1" ht="12.95" customHeight="1" x14ac:dyDescent="0.2">
      <c r="A108" s="66"/>
      <c r="B108" s="1"/>
      <c r="C108" s="1"/>
      <c r="D108" s="1"/>
      <c r="G108" s="34"/>
    </row>
    <row r="109" spans="1:14" s="9" customFormat="1" ht="12.95" customHeight="1" x14ac:dyDescent="0.2">
      <c r="A109" s="66"/>
      <c r="B109" s="1"/>
      <c r="C109" s="1"/>
      <c r="D109" s="1"/>
      <c r="G109" s="34"/>
    </row>
    <row r="110" spans="1:14" s="9" customFormat="1" ht="12.95" customHeight="1" x14ac:dyDescent="0.2">
      <c r="A110" s="66"/>
      <c r="B110" s="1"/>
      <c r="C110" s="1"/>
      <c r="D110" s="1"/>
      <c r="G110" s="34"/>
    </row>
    <row r="111" spans="1:14" s="9" customFormat="1" ht="12.95" customHeight="1" x14ac:dyDescent="0.2">
      <c r="A111" s="66"/>
      <c r="B111" s="1"/>
      <c r="C111" s="1"/>
      <c r="D111" s="1"/>
      <c r="G111" s="34"/>
    </row>
    <row r="112" spans="1:14" s="9" customFormat="1" ht="12.95" customHeight="1" x14ac:dyDescent="0.2">
      <c r="A112" s="66"/>
      <c r="B112" s="1"/>
      <c r="C112" s="1"/>
      <c r="D112" s="1"/>
      <c r="G112" s="34"/>
    </row>
    <row r="113" spans="1:14" s="9" customFormat="1" ht="12.95" customHeight="1" x14ac:dyDescent="0.2">
      <c r="A113" s="66"/>
      <c r="B113" s="1"/>
      <c r="C113" s="1"/>
      <c r="D113" s="1"/>
      <c r="G113" s="34"/>
    </row>
    <row r="114" spans="1:14" s="9" customFormat="1" ht="12.95" customHeight="1" x14ac:dyDescent="0.2">
      <c r="A114" s="66"/>
      <c r="B114" s="1"/>
      <c r="C114" s="1"/>
      <c r="D114" s="1"/>
      <c r="G114" s="34"/>
    </row>
    <row r="115" spans="1:14" s="9" customFormat="1" ht="12.95" customHeight="1" x14ac:dyDescent="0.2">
      <c r="A115" s="66"/>
      <c r="B115" s="1"/>
      <c r="C115" s="1"/>
      <c r="D115" s="1"/>
      <c r="G115" s="34"/>
    </row>
    <row r="116" spans="1:14" s="9" customFormat="1" ht="12.95" customHeight="1" x14ac:dyDescent="0.2">
      <c r="A116" s="66"/>
      <c r="B116" s="1"/>
      <c r="C116" s="1"/>
      <c r="D116" s="1"/>
      <c r="G116" s="34"/>
    </row>
    <row r="117" spans="1:14" s="9" customFormat="1" ht="12.95" customHeight="1" x14ac:dyDescent="0.2">
      <c r="A117" s="66"/>
      <c r="B117" s="1"/>
      <c r="C117" s="1"/>
      <c r="D117" s="1"/>
      <c r="G117" s="34"/>
    </row>
    <row r="118" spans="1:14" s="9" customFormat="1" ht="12.95" customHeight="1" x14ac:dyDescent="0.2">
      <c r="A118" s="66"/>
      <c r="B118" s="1"/>
      <c r="C118" s="1"/>
      <c r="D118" s="1"/>
      <c r="G118" s="34"/>
    </row>
    <row r="119" spans="1:14" s="9" customFormat="1" ht="12.95" customHeight="1" x14ac:dyDescent="0.2">
      <c r="A119" s="66"/>
      <c r="B119" s="1"/>
      <c r="C119" s="1"/>
      <c r="D119" s="1"/>
      <c r="G119" s="34"/>
    </row>
    <row r="120" spans="1:14" s="9" customFormat="1" ht="12.95" customHeight="1" x14ac:dyDescent="0.2">
      <c r="A120" s="66"/>
      <c r="B120" s="1"/>
      <c r="C120" s="1"/>
      <c r="D120" s="1"/>
      <c r="G120" s="34"/>
    </row>
    <row r="121" spans="1:14" s="9" customFormat="1" ht="12.95" customHeight="1" x14ac:dyDescent="0.2">
      <c r="A121" s="66"/>
      <c r="B121" s="1"/>
      <c r="C121" s="1"/>
      <c r="D121" s="1"/>
      <c r="G121" s="34"/>
    </row>
    <row r="122" spans="1:14" s="9" customFormat="1" ht="12.95" customHeight="1" x14ac:dyDescent="0.2">
      <c r="A122" s="66"/>
      <c r="B122" s="1"/>
      <c r="C122" s="1"/>
      <c r="D122" s="1"/>
      <c r="G122" s="34"/>
    </row>
    <row r="123" spans="1:14" s="9" customFormat="1" ht="12.95" customHeight="1" x14ac:dyDescent="0.2">
      <c r="A123" s="66"/>
      <c r="B123" s="1"/>
      <c r="C123" s="1"/>
      <c r="D123" s="1"/>
      <c r="G123" s="34"/>
    </row>
    <row r="124" spans="1:14" s="9" customFormat="1" ht="12.95" customHeight="1" x14ac:dyDescent="0.2">
      <c r="A124" s="66"/>
      <c r="B124" s="1"/>
      <c r="C124" s="1"/>
      <c r="D124" s="1"/>
      <c r="G124" s="34"/>
    </row>
    <row r="128" spans="1:14" s="9" customFormat="1" ht="12.95" customHeight="1" x14ac:dyDescent="0.2">
      <c r="A128" s="66"/>
      <c r="B128" s="1"/>
      <c r="C128" s="1"/>
      <c r="D128" s="1"/>
      <c r="G128" s="33"/>
      <c r="N128" s="11"/>
    </row>
    <row r="129" spans="1:14" s="9" customFormat="1" ht="12.95" customHeight="1" x14ac:dyDescent="0.2">
      <c r="A129" s="66"/>
      <c r="B129" s="1"/>
      <c r="C129" s="1"/>
      <c r="D129" s="1"/>
      <c r="G129" s="33"/>
      <c r="N129" s="11"/>
    </row>
    <row r="130" spans="1:14" s="9" customFormat="1" ht="12.95" customHeight="1" x14ac:dyDescent="0.2">
      <c r="A130" s="66"/>
      <c r="B130" s="1"/>
      <c r="C130" s="1"/>
      <c r="D130" s="1"/>
      <c r="G130" s="34"/>
      <c r="N130" s="11"/>
    </row>
    <row r="131" spans="1:14" s="9" customFormat="1" ht="12.95" customHeight="1" x14ac:dyDescent="0.2">
      <c r="A131" s="66"/>
      <c r="B131" s="1"/>
      <c r="C131" s="1"/>
      <c r="D131" s="1"/>
      <c r="G131" s="33"/>
      <c r="N131" s="75"/>
    </row>
    <row r="132" spans="1:14" s="9" customFormat="1" ht="12.95" customHeight="1" x14ac:dyDescent="0.2">
      <c r="A132" s="66"/>
      <c r="B132" s="1"/>
      <c r="C132" s="1"/>
      <c r="D132" s="1"/>
      <c r="G132" s="34"/>
      <c r="N132" s="75"/>
    </row>
    <row r="133" spans="1:14" s="9" customFormat="1" ht="12.95" customHeight="1" x14ac:dyDescent="0.2">
      <c r="A133" s="66"/>
      <c r="B133" s="1"/>
      <c r="C133" s="1"/>
      <c r="D133" s="1"/>
      <c r="G133" s="34"/>
      <c r="N133" s="11"/>
    </row>
    <row r="134" spans="1:14" s="9" customFormat="1" ht="12.95" customHeight="1" x14ac:dyDescent="0.2">
      <c r="A134" s="66"/>
      <c r="B134" s="1"/>
      <c r="C134" s="1"/>
      <c r="D134" s="1"/>
      <c r="G134" s="34"/>
      <c r="N134" s="11"/>
    </row>
    <row r="135" spans="1:14" s="9" customFormat="1" ht="12.95" customHeight="1" x14ac:dyDescent="0.2">
      <c r="A135" s="66"/>
      <c r="B135" s="1"/>
      <c r="C135" s="1"/>
      <c r="D135" s="1"/>
      <c r="G135" s="34"/>
      <c r="N135" s="11"/>
    </row>
    <row r="136" spans="1:14" s="9" customFormat="1" ht="12.95" customHeight="1" x14ac:dyDescent="0.2">
      <c r="A136" s="66"/>
      <c r="B136" s="1"/>
      <c r="C136" s="1"/>
      <c r="D136" s="1"/>
      <c r="G136" s="37"/>
      <c r="N136" s="88"/>
    </row>
    <row r="137" spans="1:14" s="9" customFormat="1" ht="12.95" customHeight="1" x14ac:dyDescent="0.2">
      <c r="A137" s="66"/>
      <c r="B137" s="1"/>
      <c r="C137" s="1"/>
      <c r="D137" s="1"/>
      <c r="G137" s="37"/>
      <c r="N137" s="88"/>
    </row>
    <row r="138" spans="1:14" s="9" customFormat="1" ht="12.95" customHeight="1" x14ac:dyDescent="0.2">
      <c r="A138" s="66"/>
      <c r="B138" s="1"/>
      <c r="C138" s="1"/>
      <c r="D138" s="1"/>
      <c r="G138" s="37"/>
      <c r="N138" s="88"/>
    </row>
    <row r="139" spans="1:14" s="9" customFormat="1" ht="12.95" customHeight="1" x14ac:dyDescent="0.2">
      <c r="A139" s="66"/>
      <c r="B139" s="1"/>
      <c r="C139" s="1"/>
      <c r="D139" s="1"/>
      <c r="G139" s="34"/>
      <c r="N139" s="88"/>
    </row>
    <row r="140" spans="1:14" s="9" customFormat="1" ht="12.95" customHeight="1" x14ac:dyDescent="0.2">
      <c r="A140" s="66"/>
      <c r="B140" s="1"/>
      <c r="C140" s="1"/>
      <c r="D140" s="1"/>
      <c r="G140" s="34"/>
      <c r="N140" s="88"/>
    </row>
    <row r="141" spans="1:14" s="9" customFormat="1" ht="12.95" customHeight="1" x14ac:dyDescent="0.2">
      <c r="A141" s="66"/>
      <c r="B141" s="1"/>
      <c r="C141" s="1"/>
      <c r="D141" s="1"/>
      <c r="G141" s="34"/>
      <c r="N141" s="88"/>
    </row>
    <row r="142" spans="1:14" s="9" customFormat="1" ht="12.95" customHeight="1" x14ac:dyDescent="0.2">
      <c r="A142" s="66"/>
      <c r="B142" s="1"/>
      <c r="C142" s="1"/>
      <c r="D142" s="1"/>
      <c r="G142" s="34"/>
      <c r="N142" s="88"/>
    </row>
    <row r="143" spans="1:14" s="9" customFormat="1" ht="12.95" customHeight="1" x14ac:dyDescent="0.2">
      <c r="A143" s="66"/>
      <c r="B143" s="1"/>
      <c r="C143" s="1"/>
      <c r="D143" s="1"/>
      <c r="G143" s="34"/>
      <c r="N143" s="88"/>
    </row>
  </sheetData>
  <sheetProtection algorithmName="SHA-512" hashValue="WUpkxOGkkNRKh8NhMR/AtOe9PSqoIqGvyk2dP21RsWueDQ8yAxUAU0lypMyloIeknvAU6vFw5rVMu4dYEPBqGw==" saltValue="q4n2qsa69yuv9aM+I/GVJQ==" spinCount="100000" sheet="1" objects="1" scenarios="1"/>
  <mergeCells count="6">
    <mergeCell ref="B57:C58"/>
    <mergeCell ref="B2:C2"/>
    <mergeCell ref="D2:E2"/>
    <mergeCell ref="B3:C3"/>
    <mergeCell ref="B12:C13"/>
    <mergeCell ref="B45:C46"/>
  </mergeCells>
  <conditionalFormatting sqref="H12:CE15 H30:CE30 Z16:CE29 H34:CE48 H52:CE60 Z49:CE51 H64:CE10004 H31:X31 Z31:CE33 H63:X63 H61:X61 Z61:CE63">
    <cfRule type="expression" dxfId="145" priority="46">
      <formula>AND($D12&lt;&gt;"",H$12&lt;&gt;"",H12="")</formula>
    </cfRule>
    <cfRule type="expression" dxfId="144" priority="47">
      <formula>AND($A12="",ABS(H12)=0)</formula>
    </cfRule>
    <cfRule type="expression" dxfId="143" priority="49">
      <formula>AND($A12="",ABS(H12)&lt;100)</formula>
    </cfRule>
    <cfRule type="expression" dxfId="142" priority="50">
      <formula>AND($A12="",ABS(H12)&gt;=100)</formula>
    </cfRule>
  </conditionalFormatting>
  <conditionalFormatting sqref="H1:CE15 H30:CE30 Z16:CE29 Z31:CE33 H52:CE60 Z49:CE51 Z61:CE63 H34:CE48 H64:CE1048576">
    <cfRule type="expression" dxfId="141" priority="48">
      <formula>AND($A1="",ABS(H1)&lt;10)</formula>
    </cfRule>
  </conditionalFormatting>
  <conditionalFormatting sqref="Y31">
    <cfRule type="expression" dxfId="140" priority="17">
      <formula>AND($D31&lt;&gt;"",Y$12&lt;&gt;"",Y31="")</formula>
    </cfRule>
    <cfRule type="expression" dxfId="139" priority="18">
      <formula>AND($A31="",ABS(Y31)=0)</formula>
    </cfRule>
    <cfRule type="expression" dxfId="138" priority="19">
      <formula>AND($A31="",ABS(Y31)&lt;100)</formula>
    </cfRule>
    <cfRule type="expression" dxfId="137" priority="20">
      <formula>AND($A31="",ABS(Y31)&gt;=100)</formula>
    </cfRule>
  </conditionalFormatting>
  <conditionalFormatting sqref="Y16:Y17 Y29 Y19 Y21:Y22 Y24:Y25">
    <cfRule type="expression" dxfId="136" priority="21">
      <formula>AND($D16&lt;&gt;"",Y$12&lt;&gt;"",Y16="")</formula>
    </cfRule>
    <cfRule type="expression" dxfId="135" priority="22">
      <formula>AND($A16="",ABS(Y16)=0)</formula>
    </cfRule>
    <cfRule type="expression" dxfId="134" priority="23">
      <formula>AND($A16="",ABS(Y16)&lt;100)</formula>
    </cfRule>
    <cfRule type="expression" dxfId="133" priority="24">
      <formula>AND($A16="",ABS(Y16)&gt;=100)</formula>
    </cfRule>
  </conditionalFormatting>
  <conditionalFormatting sqref="Y32">
    <cfRule type="expression" dxfId="132" priority="13">
      <formula>AND($D32&lt;&gt;"",Y$12&lt;&gt;"",Y32="")</formula>
    </cfRule>
    <cfRule type="expression" dxfId="131" priority="14">
      <formula>AND($A32="",ABS(Y32)=0)</formula>
    </cfRule>
    <cfRule type="expression" dxfId="130" priority="15">
      <formula>AND($A32="",ABS(Y32)&lt;100)</formula>
    </cfRule>
    <cfRule type="expression" dxfId="129" priority="16">
      <formula>AND($A32="",ABS(Y32)&gt;=100)</formula>
    </cfRule>
  </conditionalFormatting>
  <conditionalFormatting sqref="Y61 Y63">
    <cfRule type="expression" dxfId="128" priority="5">
      <formula>AND($D61&lt;&gt;"",Y$12&lt;&gt;"",Y61="")</formula>
    </cfRule>
    <cfRule type="expression" dxfId="127" priority="6">
      <formula>AND($A61="",ABS(Y61)=0)</formula>
    </cfRule>
    <cfRule type="expression" dxfId="126" priority="7">
      <formula>AND($A61="",ABS(Y61)&lt;100)</formula>
    </cfRule>
    <cfRule type="expression" dxfId="125" priority="8">
      <formula>AND($A61="",ABS(Y61)&gt;=100)</formula>
    </cfRule>
  </conditionalFormatting>
  <dataValidations count="2">
    <dataValidation type="list" allowBlank="1" showInputMessage="1" showErrorMessage="1" sqref="G2" xr:uid="{00000000-0002-0000-0900-000000000000}">
      <formula1>Sprache</formula1>
    </dataValidation>
    <dataValidation allowBlank="1" showInputMessage="1" showErrorMessage="1" sqref="F2" xr:uid="{DBBAEBEB-CFEE-47E7-8AFC-4319A97F8411}"/>
  </dataValidations>
  <hyperlinks>
    <hyperlink ref="A12" location="GRI_404" display="Ó" xr:uid="{00000000-0004-0000-0900-000000000000}"/>
    <hyperlink ref="D2" location="Home" display="Home" xr:uid="{00000000-0004-0000-0900-000001000000}"/>
    <hyperlink ref="C7" location="GRI_404_2a" display="Lernpersonal" xr:uid="{00000000-0004-0000-0900-000002000000}"/>
    <hyperlink ref="C8" location="GRI_404_2b" display="Nachwuchskräfte" xr:uid="{00000000-0004-0000-0900-000003000000}"/>
    <hyperlink ref="C9" location="GRI_404_2c" display="Aktivitäten Arbeitsmarktzentrum" xr:uid="{00000000-0004-0000-0900-000004000000}"/>
    <hyperlink ref="A45" location="GRI_404" display="Ó" xr:uid="{00000000-0004-0000-0900-000005000000}"/>
    <hyperlink ref="A57" location="GRI_404" display="Ó" xr:uid="{00000000-0004-0000-0900-000006000000}"/>
  </hyperlinks>
  <pageMargins left="0.7" right="0.7" top="0.78740157499999996" bottom="0.78740157499999996" header="0.3" footer="0.3"/>
  <pageSetup paperSize="9" orientation="portrait" r:id="rId1"/>
  <ignoredErrors>
    <ignoredError sqref="E33"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5">
    <tabColor rgb="FF9E2A2F"/>
  </sheetPr>
  <dimension ref="A2:CK158"/>
  <sheetViews>
    <sheetView showGridLines="0" showRowColHeaders="0" zoomScaleNormal="100" workbookViewId="0">
      <pane xSplit="7" topLeftCell="H1" activePane="topRight" state="frozen"/>
      <selection activeCell="B3" sqref="B3:C3"/>
      <selection pane="topRight" activeCell="C1" sqref="C1"/>
    </sheetView>
  </sheetViews>
  <sheetFormatPr baseColWidth="10" defaultColWidth="10.85546875" defaultRowHeight="12.95" customHeight="1" x14ac:dyDescent="0.2"/>
  <cols>
    <col min="1" max="1" width="2.42578125" style="66" customWidth="1"/>
    <col min="2" max="2" width="2.42578125" style="1" customWidth="1"/>
    <col min="3" max="3" width="61.42578125" style="1" customWidth="1"/>
    <col min="4" max="4" width="23.5703125" style="1" customWidth="1"/>
    <col min="5" max="5" width="9.42578125" style="9" customWidth="1"/>
    <col min="6" max="6" width="14.140625" style="9" customWidth="1"/>
    <col min="7" max="7" width="2.42578125" style="34" customWidth="1"/>
    <col min="8" max="13" width="12" style="9" customWidth="1"/>
    <col min="14" max="19" width="11.7109375" style="9" customWidth="1"/>
    <col min="20" max="25" width="11.7109375" style="11" customWidth="1"/>
    <col min="26" max="89" width="11.7109375" style="9" customWidth="1"/>
    <col min="90" max="16384" width="10.85546875" style="1"/>
  </cols>
  <sheetData>
    <row r="2" spans="1:89" s="97" customFormat="1" ht="26.1" customHeight="1" x14ac:dyDescent="0.2">
      <c r="A2" s="63"/>
      <c r="B2" s="406" t="str">
        <f>UPPER(RIGHT(Inhaltsverzeichnis!$C$31,LEN(Inhaltsverzeichnis!$C$31)-FIND(" – ",Inhaltsverzeichnis!$C$31,1)-2))</f>
        <v>VIELFALT UND CHANCENGLEICHHEIT</v>
      </c>
      <c r="C2" s="406"/>
      <c r="D2" s="402" t="str">
        <f>VLOOKUP(35,Textbausteine_Menu[],Hilfsgrössen!$D$2,FALSE)</f>
        <v>zurück zum Inhaltsverzeichnis</v>
      </c>
      <c r="E2" s="403"/>
      <c r="F2" s="91" t="s">
        <v>0</v>
      </c>
      <c r="G2" s="104"/>
      <c r="H2" s="67"/>
      <c r="I2" s="67"/>
      <c r="J2" s="67"/>
      <c r="K2" s="67"/>
      <c r="L2" s="67"/>
      <c r="M2" s="67"/>
      <c r="N2" s="27"/>
      <c r="O2" s="27"/>
      <c r="P2" s="27"/>
      <c r="Q2" s="27"/>
      <c r="R2" s="27"/>
      <c r="S2" s="27"/>
      <c r="T2" s="71"/>
      <c r="U2" s="71"/>
      <c r="V2" s="71"/>
      <c r="W2" s="71"/>
      <c r="X2" s="71"/>
      <c r="Y2" s="71"/>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row>
    <row r="3" spans="1:89" s="98" customFormat="1" ht="26.1" customHeight="1" x14ac:dyDescent="0.2">
      <c r="A3" s="64"/>
      <c r="B3" s="407" t="str">
        <f>UPPER("GRI "&amp;LEFT(Inhaltsverzeichnis!$C$31,3))</f>
        <v>GRI 405</v>
      </c>
      <c r="C3" s="407"/>
      <c r="E3" s="27"/>
      <c r="F3" s="27"/>
      <c r="G3" s="32"/>
      <c r="H3" s="27"/>
      <c r="I3" s="27"/>
      <c r="J3" s="27"/>
      <c r="K3" s="27"/>
      <c r="L3" s="27"/>
      <c r="M3" s="27"/>
      <c r="N3" s="27"/>
      <c r="O3" s="27"/>
      <c r="P3" s="27"/>
      <c r="Q3" s="27"/>
      <c r="R3" s="27"/>
      <c r="S3" s="27"/>
      <c r="T3" s="71"/>
      <c r="U3" s="71"/>
      <c r="V3" s="71"/>
      <c r="W3" s="71"/>
      <c r="X3" s="71"/>
      <c r="Y3" s="71"/>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row>
    <row r="6" spans="1:89" s="6" customFormat="1" ht="12.95" customHeight="1" x14ac:dyDescent="0.2">
      <c r="A6" s="65"/>
      <c r="B6" s="6" t="str">
        <f>VLOOKUP(31,Textbausteine_Menu[],Hilfsgrössen!$D$2,FALSE)</f>
        <v>Offenlegungen</v>
      </c>
      <c r="E6" s="28"/>
      <c r="F6" s="28"/>
      <c r="G6" s="33"/>
      <c r="H6" s="28"/>
      <c r="I6" s="28"/>
      <c r="J6" s="28"/>
      <c r="K6" s="28"/>
      <c r="L6" s="28"/>
      <c r="M6" s="28"/>
      <c r="N6" s="9"/>
      <c r="O6" s="9"/>
      <c r="P6" s="9"/>
      <c r="Q6" s="9"/>
      <c r="R6" s="9"/>
      <c r="S6" s="9"/>
      <c r="T6" s="11"/>
      <c r="U6" s="11"/>
      <c r="V6" s="11"/>
      <c r="W6" s="11"/>
      <c r="X6" s="11"/>
      <c r="Y6" s="11"/>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row>
    <row r="7" spans="1:89" ht="12.6" customHeight="1" x14ac:dyDescent="0.2">
      <c r="A7" s="56"/>
      <c r="B7" s="2"/>
      <c r="C7" s="93" t="str">
        <f>VLOOKUP(1,Textbausteine_405[],Hilfsgrössen!$D$2,FALSE)</f>
        <v>Frauen im Management</v>
      </c>
      <c r="D7" s="4"/>
    </row>
    <row r="8" spans="1:89" ht="12.6" customHeight="1" x14ac:dyDescent="0.2">
      <c r="A8" s="56"/>
      <c r="B8" s="2"/>
      <c r="C8" s="93" t="str">
        <f>VLOOKUP(2,Textbausteine_405[],Hilfsgrössen!$D$2,FALSE)</f>
        <v>Sprachenvielfalt</v>
      </c>
      <c r="D8" s="4"/>
    </row>
    <row r="9" spans="1:89" ht="12.6" customHeight="1" x14ac:dyDescent="0.2">
      <c r="A9" s="56"/>
      <c r="B9" s="2"/>
      <c r="C9" s="93" t="str">
        <f>VLOOKUP(3,Textbausteine_405[],Hilfsgrössen!$D$2,FALSE)</f>
        <v>Nationalität</v>
      </c>
      <c r="D9" s="4"/>
      <c r="E9" s="28"/>
      <c r="F9" s="28"/>
      <c r="G9" s="33"/>
    </row>
    <row r="10" spans="1:89" ht="12.6" customHeight="1" x14ac:dyDescent="0.2">
      <c r="A10" s="56"/>
      <c r="B10" s="2"/>
      <c r="C10" s="93" t="str">
        <f>VLOOKUP(4,Textbausteine_405[],Hilfsgrössen!$D$2,FALSE)</f>
        <v>Demographie (Altersverteilung)</v>
      </c>
      <c r="D10" s="4"/>
      <c r="E10" s="28"/>
      <c r="F10" s="28"/>
      <c r="G10" s="33"/>
    </row>
    <row r="11" spans="1:89" ht="12.95" customHeight="1" x14ac:dyDescent="0.2">
      <c r="B11" s="2"/>
      <c r="H11" s="73"/>
      <c r="I11" s="73"/>
      <c r="J11" s="73"/>
      <c r="K11" s="73"/>
      <c r="L11" s="73"/>
      <c r="M11" s="73"/>
    </row>
    <row r="12" spans="1:89" ht="12.95" customHeight="1" x14ac:dyDescent="0.2">
      <c r="B12" s="2"/>
    </row>
    <row r="13" spans="1:89" s="6" customFormat="1" ht="12.95" customHeight="1" x14ac:dyDescent="0.2">
      <c r="A13" s="39" t="s">
        <v>27</v>
      </c>
      <c r="B13" s="401" t="str">
        <f>$C$7</f>
        <v>Frauen im Management</v>
      </c>
      <c r="C13" s="401"/>
      <c r="D13" s="6" t="str">
        <f>VLOOKUP(32,Textbausteine_Menu[],Hilfsgrössen!$D$2,FALSE)</f>
        <v>Einheit</v>
      </c>
      <c r="E13" s="28" t="str">
        <f>VLOOKUP(33,Textbausteine_Menu[],Hilfsgrössen!$D$2,FALSE)</f>
        <v>Fussnoten</v>
      </c>
      <c r="F13" s="28" t="str">
        <f>VLOOKUP(34,Textbausteine_Menu[],Hilfsgrössen!$D$2,FALSE)</f>
        <v>GRI</v>
      </c>
      <c r="G13" s="34"/>
      <c r="H13" s="72">
        <v>2004</v>
      </c>
      <c r="I13" s="72">
        <v>2005</v>
      </c>
      <c r="J13" s="72">
        <v>2006</v>
      </c>
      <c r="K13" s="72">
        <v>2007</v>
      </c>
      <c r="L13" s="72">
        <v>2008</v>
      </c>
      <c r="M13" s="72">
        <v>2009</v>
      </c>
      <c r="N13" s="7">
        <v>2010</v>
      </c>
      <c r="O13" s="7">
        <v>2011</v>
      </c>
      <c r="P13" s="7">
        <v>2012</v>
      </c>
      <c r="Q13" s="7">
        <v>2013</v>
      </c>
      <c r="R13" s="7">
        <v>2014</v>
      </c>
      <c r="S13" s="7">
        <v>2015</v>
      </c>
      <c r="T13" s="7">
        <v>2016</v>
      </c>
      <c r="U13" s="7">
        <v>2017</v>
      </c>
      <c r="V13" s="7">
        <v>2018</v>
      </c>
      <c r="W13" s="7">
        <v>2019</v>
      </c>
      <c r="X13" s="7">
        <v>2020</v>
      </c>
      <c r="Y13" s="142">
        <v>2021</v>
      </c>
      <c r="Z13" s="7"/>
      <c r="AA13" s="7"/>
      <c r="AB13" s="7"/>
      <c r="AC13" s="7"/>
      <c r="AD13" s="7"/>
      <c r="AE13" s="7"/>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row>
    <row r="14" spans="1:89" s="6" customFormat="1" ht="12.95" customHeight="1" x14ac:dyDescent="0.2">
      <c r="A14" s="65"/>
      <c r="B14" s="401"/>
      <c r="C14" s="401"/>
      <c r="E14" s="28"/>
      <c r="F14" s="28"/>
      <c r="G14" s="34"/>
      <c r="H14" s="304"/>
      <c r="I14" s="304"/>
      <c r="J14" s="304"/>
      <c r="K14" s="304"/>
      <c r="L14" s="304"/>
      <c r="M14" s="304"/>
      <c r="N14" s="73"/>
      <c r="O14" s="73"/>
      <c r="P14" s="73"/>
      <c r="Q14" s="73"/>
      <c r="R14" s="73"/>
      <c r="S14" s="73"/>
      <c r="T14" s="75"/>
      <c r="U14" s="75"/>
      <c r="V14" s="75"/>
      <c r="W14" s="75"/>
      <c r="X14" s="75"/>
      <c r="Y14" s="143"/>
      <c r="Z14" s="79"/>
      <c r="AA14" s="75"/>
      <c r="AB14" s="75"/>
      <c r="AC14" s="75"/>
      <c r="AD14" s="75"/>
      <c r="AE14" s="75"/>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row>
    <row r="15" spans="1:89" ht="12.95" customHeight="1" x14ac:dyDescent="0.2">
      <c r="B15" s="2"/>
      <c r="E15" s="28"/>
      <c r="F15" s="28"/>
      <c r="G15" s="33"/>
      <c r="H15" s="304"/>
      <c r="I15" s="304"/>
      <c r="J15" s="304"/>
      <c r="K15" s="304"/>
      <c r="L15" s="304"/>
      <c r="M15" s="304"/>
      <c r="Y15" s="144"/>
      <c r="Z15" s="10"/>
      <c r="AA15" s="11"/>
      <c r="AB15" s="11"/>
      <c r="AC15" s="11"/>
      <c r="AD15" s="11"/>
      <c r="AE15" s="11"/>
    </row>
    <row r="16" spans="1:89" ht="12.95" customHeight="1" x14ac:dyDescent="0.2">
      <c r="B16" s="2" t="str">
        <f>VLOOKUP(37,Textbausteine_Menu[],Hilfsgrössen!$D$2,FALSE)</f>
        <v>Konzern Schweiz</v>
      </c>
      <c r="C16" s="2"/>
      <c r="E16" s="10"/>
      <c r="G16" s="33"/>
      <c r="H16" s="304"/>
      <c r="I16" s="304"/>
      <c r="J16" s="304"/>
      <c r="K16" s="304"/>
      <c r="L16" s="304"/>
      <c r="M16" s="304"/>
      <c r="Y16" s="144"/>
    </row>
    <row r="17" spans="1:89" ht="12.95" customHeight="1" x14ac:dyDescent="0.2">
      <c r="C17" s="116" t="str">
        <f>VLOOKUP(31,Textbausteine_405[],Hilfsgrössen!$D$2,FALSE)</f>
        <v>Anteil Frauen im Kader</v>
      </c>
      <c r="D17" s="1" t="str">
        <f>VLOOKUP(11,Textbausteine_405[],Hilfsgrössen!$D$2,FALSE)</f>
        <v>% der Personen</v>
      </c>
      <c r="E17" s="9" t="s">
        <v>94</v>
      </c>
      <c r="F17" s="9" t="s">
        <v>178</v>
      </c>
      <c r="H17" s="152" t="s">
        <v>30</v>
      </c>
      <c r="I17" s="152" t="s">
        <v>30</v>
      </c>
      <c r="J17" s="152" t="s">
        <v>30</v>
      </c>
      <c r="K17" s="152" t="s">
        <v>30</v>
      </c>
      <c r="L17" s="11">
        <v>20.2</v>
      </c>
      <c r="M17" s="11">
        <v>20.5</v>
      </c>
      <c r="N17" s="11">
        <v>21.5</v>
      </c>
      <c r="O17" s="11">
        <v>22.1</v>
      </c>
      <c r="P17" s="9">
        <v>21.8</v>
      </c>
      <c r="Q17" s="9">
        <v>22.7</v>
      </c>
      <c r="R17" s="85">
        <v>22.6</v>
      </c>
      <c r="S17" s="85">
        <v>22.507579810950599</v>
      </c>
      <c r="T17" s="11">
        <v>23.5</v>
      </c>
      <c r="U17" s="11">
        <v>23.2</v>
      </c>
      <c r="V17" s="11">
        <v>22.71</v>
      </c>
      <c r="W17" s="11">
        <v>23.3</v>
      </c>
      <c r="X17" s="11">
        <v>22.075984519483576</v>
      </c>
      <c r="Y17" s="144">
        <v>22.704770477047706</v>
      </c>
      <c r="Z17" s="12"/>
      <c r="AA17" s="15"/>
      <c r="AB17" s="15"/>
      <c r="AC17" s="15"/>
      <c r="AD17" s="15"/>
      <c r="AE17" s="15"/>
    </row>
    <row r="18" spans="1:89" ht="12.95" customHeight="1" x14ac:dyDescent="0.2">
      <c r="C18" s="116" t="str">
        <f>VLOOKUP(32,Textbausteine_405[],Hilfsgrössen!$D$2,FALSE)</f>
        <v>Anteil Frauen in höchster Kaderfunktion</v>
      </c>
      <c r="D18" s="1" t="str">
        <f>VLOOKUP(11,Textbausteine_405[],Hilfsgrössen!$D$2,FALSE)</f>
        <v>% der Personen</v>
      </c>
      <c r="E18" s="9" t="s">
        <v>97</v>
      </c>
      <c r="F18" s="9" t="s">
        <v>178</v>
      </c>
      <c r="H18" s="153">
        <v>9.1999999999999993</v>
      </c>
      <c r="I18" s="153">
        <v>10.1</v>
      </c>
      <c r="J18" s="238">
        <v>9.8000000000000007</v>
      </c>
      <c r="K18" s="238">
        <v>9.3000000000000007</v>
      </c>
      <c r="L18" s="232">
        <v>7.7</v>
      </c>
      <c r="M18" s="232">
        <v>8.6999999999999993</v>
      </c>
      <c r="N18" s="232">
        <v>8.1999999999999993</v>
      </c>
      <c r="O18" s="232">
        <v>7.6</v>
      </c>
      <c r="P18" s="220">
        <v>8</v>
      </c>
      <c r="Q18" s="220">
        <v>9.3000000000000007</v>
      </c>
      <c r="R18" s="242">
        <v>11</v>
      </c>
      <c r="S18" s="242">
        <v>12.343849248359099</v>
      </c>
      <c r="T18" s="248">
        <v>12.3</v>
      </c>
      <c r="U18" s="248">
        <v>13.4</v>
      </c>
      <c r="V18" s="248">
        <v>15.96</v>
      </c>
      <c r="W18" s="248">
        <v>17.100000000000001</v>
      </c>
      <c r="X18" s="248">
        <v>19.806851311953348</v>
      </c>
      <c r="Y18" s="144">
        <v>21.614100185528788</v>
      </c>
      <c r="Z18" s="12"/>
      <c r="AA18" s="12"/>
      <c r="AB18" s="12"/>
      <c r="AC18" s="12"/>
      <c r="AD18" s="12"/>
    </row>
    <row r="19" spans="1:89" ht="12.95" customHeight="1" x14ac:dyDescent="0.2">
      <c r="C19" s="154" t="str">
        <f>VLOOKUP(33,Textbausteine_405[],Hilfsgrössen!$D$2,FALSE)</f>
        <v>Anteil Frauen im mittleren/unteren Kader</v>
      </c>
      <c r="D19" s="1" t="str">
        <f>VLOOKUP(11,Textbausteine_405[],Hilfsgrössen!$D$2,FALSE)</f>
        <v>% der Personen</v>
      </c>
      <c r="E19" s="9" t="s">
        <v>94</v>
      </c>
      <c r="F19" s="9" t="s">
        <v>178</v>
      </c>
      <c r="H19" s="152" t="s">
        <v>30</v>
      </c>
      <c r="I19" s="152" t="s">
        <v>30</v>
      </c>
      <c r="J19" s="152" t="s">
        <v>30</v>
      </c>
      <c r="K19" s="152" t="s">
        <v>30</v>
      </c>
      <c r="L19" s="11">
        <v>21.3</v>
      </c>
      <c r="M19" s="14">
        <v>21.5</v>
      </c>
      <c r="N19" s="11">
        <v>22.6</v>
      </c>
      <c r="O19" s="11">
        <v>23.2</v>
      </c>
      <c r="P19" s="9">
        <v>23</v>
      </c>
      <c r="Q19" s="9">
        <v>23.7</v>
      </c>
      <c r="R19" s="85">
        <v>23.6</v>
      </c>
      <c r="S19" s="85">
        <v>23.442460124252602</v>
      </c>
      <c r="T19" s="75">
        <v>24.2</v>
      </c>
      <c r="U19" s="75">
        <v>23.9</v>
      </c>
      <c r="V19" s="75">
        <v>23.22</v>
      </c>
      <c r="W19" s="75">
        <v>23.8</v>
      </c>
      <c r="X19" s="75">
        <v>22.276161388844187</v>
      </c>
      <c r="Y19" s="143">
        <v>22.800718132854598</v>
      </c>
      <c r="Z19" s="12"/>
      <c r="AA19" s="15"/>
      <c r="AB19" s="15"/>
      <c r="AC19" s="15"/>
      <c r="AD19" s="15"/>
      <c r="AE19" s="15"/>
    </row>
    <row r="20" spans="1:89" ht="12.95" customHeight="1" x14ac:dyDescent="0.2">
      <c r="C20" s="116" t="str">
        <f>VLOOKUP(34,Textbausteine_405[],Hilfsgrössen!$D$2,FALSE)</f>
        <v>Anteil Frauen im Verwaltungsrat (VR) der Schweizerischen Post AG</v>
      </c>
      <c r="D20" s="1" t="str">
        <f>VLOOKUP(11,Textbausteine_405[],Hilfsgrössen!$D$2,FALSE)</f>
        <v>% der Personen</v>
      </c>
      <c r="E20" s="9">
        <v>1</v>
      </c>
      <c r="F20" s="9" t="s">
        <v>178</v>
      </c>
      <c r="H20" s="155">
        <v>10</v>
      </c>
      <c r="I20" s="155">
        <v>10</v>
      </c>
      <c r="J20" s="155">
        <v>20</v>
      </c>
      <c r="K20" s="155">
        <v>22.2</v>
      </c>
      <c r="L20" s="304">
        <v>20</v>
      </c>
      <c r="M20" s="14">
        <v>25</v>
      </c>
      <c r="N20" s="11">
        <v>22.2</v>
      </c>
      <c r="O20" s="11">
        <v>22.2</v>
      </c>
      <c r="P20" s="86">
        <v>22.2</v>
      </c>
      <c r="Q20" s="9">
        <v>22.2</v>
      </c>
      <c r="R20" s="85">
        <v>33.299999999999997</v>
      </c>
      <c r="S20" s="85">
        <v>33.299999999999997</v>
      </c>
      <c r="T20" s="11">
        <v>33.299999999999997</v>
      </c>
      <c r="U20" s="11">
        <v>33.299999999999997</v>
      </c>
      <c r="V20" s="11">
        <v>33.299999999999997</v>
      </c>
      <c r="W20" s="11">
        <v>33.299999999999997</v>
      </c>
      <c r="X20" s="11">
        <v>33.299999999999997</v>
      </c>
      <c r="Y20" s="144">
        <v>33.333333333333329</v>
      </c>
      <c r="Z20" s="12"/>
      <c r="AA20" s="15"/>
      <c r="AB20" s="15"/>
      <c r="AC20" s="15"/>
      <c r="AD20" s="15"/>
    </row>
    <row r="21" spans="1:89" ht="12.95" customHeight="1" x14ac:dyDescent="0.2">
      <c r="C21" s="116" t="str">
        <f>VLOOKUP(35,Textbausteine_405[],Hilfsgrössen!$D$2,FALSE)</f>
        <v>Anteil Frauen in der Konzernleitung (KL) der Schweizerischen Post AG</v>
      </c>
      <c r="D21" s="1" t="str">
        <f>VLOOKUP(11,Textbausteine_405[],Hilfsgrössen!$D$2,FALSE)</f>
        <v>% der Personen</v>
      </c>
      <c r="E21" s="9">
        <v>1</v>
      </c>
      <c r="F21" s="9" t="s">
        <v>178</v>
      </c>
      <c r="H21" s="155">
        <v>0</v>
      </c>
      <c r="I21" s="155">
        <v>0</v>
      </c>
      <c r="J21" s="155">
        <v>0</v>
      </c>
      <c r="K21" s="155">
        <v>0</v>
      </c>
      <c r="L21" s="304">
        <v>0</v>
      </c>
      <c r="M21" s="14">
        <v>0</v>
      </c>
      <c r="N21" s="11">
        <v>0</v>
      </c>
      <c r="O21" s="11">
        <v>0</v>
      </c>
      <c r="P21" s="9">
        <v>11.1</v>
      </c>
      <c r="Q21" s="9">
        <v>12.5</v>
      </c>
      <c r="R21" s="85">
        <v>12.5</v>
      </c>
      <c r="S21" s="85">
        <v>12.1</v>
      </c>
      <c r="T21" s="9">
        <v>11.1</v>
      </c>
      <c r="U21" s="9">
        <v>20.5</v>
      </c>
      <c r="V21" s="9">
        <v>22.86</v>
      </c>
      <c r="W21" s="9">
        <v>11.1</v>
      </c>
      <c r="X21" s="9">
        <v>11.1</v>
      </c>
      <c r="Y21" s="145">
        <v>22.222222222222221</v>
      </c>
      <c r="Z21" s="12"/>
      <c r="AA21" s="15"/>
      <c r="AB21" s="15"/>
      <c r="AC21" s="15"/>
      <c r="AD21" s="15"/>
      <c r="AE21" s="15"/>
    </row>
    <row r="22" spans="1:89" ht="12.95" customHeight="1" x14ac:dyDescent="0.2">
      <c r="C22" s="116" t="str">
        <f>VLOOKUP(36,Textbausteine_405[],Hilfsgrössen!$D$2,FALSE)</f>
        <v>Anteil Frauen im VR, der KL und den Geschäftsleitungen des Konzerns</v>
      </c>
      <c r="D22" s="1" t="str">
        <f>VLOOKUP(11,Textbausteine_405[],Hilfsgrössen!$D$2,FALSE)</f>
        <v>% der Personen</v>
      </c>
      <c r="E22" s="9" t="s">
        <v>97</v>
      </c>
      <c r="F22" s="9" t="s">
        <v>178</v>
      </c>
      <c r="H22" s="155">
        <v>5.3</v>
      </c>
      <c r="I22" s="155">
        <v>5.3</v>
      </c>
      <c r="J22" s="155">
        <v>10</v>
      </c>
      <c r="K22" s="155">
        <v>11.1</v>
      </c>
      <c r="L22" s="9">
        <v>10.5</v>
      </c>
      <c r="M22" s="14">
        <v>11.8</v>
      </c>
      <c r="N22" s="11">
        <v>11.1</v>
      </c>
      <c r="O22" s="11">
        <v>11.1</v>
      </c>
      <c r="P22" s="9">
        <v>13.5</v>
      </c>
      <c r="Q22" s="9">
        <v>15.8</v>
      </c>
      <c r="R22" s="9">
        <v>18.399999999999999</v>
      </c>
      <c r="S22" s="85">
        <v>18.399999999999999</v>
      </c>
      <c r="T22" s="9">
        <v>21.1</v>
      </c>
      <c r="U22" s="9">
        <v>26.3</v>
      </c>
      <c r="V22" s="9">
        <v>23</v>
      </c>
      <c r="W22" s="9">
        <v>26.4</v>
      </c>
      <c r="X22" s="9">
        <v>25.9</v>
      </c>
      <c r="Y22" s="145">
        <v>28.846153846153843</v>
      </c>
      <c r="Z22" s="11"/>
      <c r="AE22" s="15"/>
    </row>
    <row r="23" spans="1:89" ht="12.95" customHeight="1" x14ac:dyDescent="0.2">
      <c r="C23" s="116"/>
      <c r="H23" s="155"/>
      <c r="I23" s="155"/>
      <c r="J23" s="155"/>
      <c r="K23" s="155"/>
      <c r="M23" s="14"/>
      <c r="N23" s="11"/>
      <c r="O23" s="11"/>
      <c r="S23" s="85"/>
      <c r="T23" s="9"/>
      <c r="U23" s="9"/>
      <c r="V23" s="9"/>
      <c r="W23" s="9"/>
      <c r="X23" s="9"/>
      <c r="Y23" s="9"/>
      <c r="Z23" s="11"/>
      <c r="AE23" s="15"/>
    </row>
    <row r="24" spans="1:89" ht="12.95" customHeight="1" x14ac:dyDescent="0.25">
      <c r="B24" s="302" t="str">
        <f>VLOOKUP(131,Textbausteine_405[],Hilfsgrössen!$D$2,FALSE)</f>
        <v>1) Jahresdurchschnittswerte</v>
      </c>
      <c r="H24" s="49"/>
      <c r="I24" s="49"/>
      <c r="J24" s="49"/>
      <c r="K24" s="49"/>
      <c r="L24" s="49"/>
      <c r="M24" s="49"/>
      <c r="T24" s="9"/>
      <c r="U24" s="9"/>
      <c r="V24" s="9"/>
      <c r="W24" s="9"/>
      <c r="X24" s="9"/>
      <c r="Y24" s="9"/>
    </row>
    <row r="25" spans="1:89" ht="12.95" customHeight="1" x14ac:dyDescent="0.25">
      <c r="B25" s="302" t="str">
        <f>VLOOKUP(132,Textbausteine_405[],Hilfsgrössen!$D$2,FALSE)</f>
        <v>2)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H25" s="49"/>
      <c r="I25" s="49"/>
      <c r="J25" s="49"/>
      <c r="K25" s="49"/>
      <c r="L25" s="49"/>
      <c r="M25" s="49"/>
      <c r="T25" s="9"/>
      <c r="U25" s="9"/>
      <c r="V25" s="9"/>
      <c r="W25" s="9"/>
      <c r="X25" s="9"/>
      <c r="Y25" s="9"/>
    </row>
    <row r="26" spans="1:89" ht="12.95" customHeight="1" x14ac:dyDescent="0.25">
      <c r="B26" s="302" t="str">
        <f>VLOOKUP(133,Textbausteine_405[],Hilfsgrössen!$D$2,FALSE)</f>
        <v>3) Kader sind Mitarbeitende mit Leitungs-, Spezialisten- und höheren Sachbearbeitungsfunktionen.</v>
      </c>
      <c r="H26" s="49"/>
      <c r="I26" s="49"/>
      <c r="J26" s="49"/>
      <c r="K26" s="49"/>
      <c r="L26" s="49"/>
      <c r="M26" s="49"/>
      <c r="T26" s="9"/>
      <c r="U26" s="9"/>
      <c r="V26" s="9"/>
      <c r="W26" s="9"/>
      <c r="X26" s="9"/>
      <c r="Y26" s="9"/>
    </row>
    <row r="27" spans="1:89" ht="12.95" customHeight="1" x14ac:dyDescent="0.2">
      <c r="H27" s="49"/>
      <c r="I27" s="49"/>
      <c r="J27" s="49"/>
      <c r="K27" s="49"/>
      <c r="L27" s="49"/>
      <c r="M27" s="49"/>
      <c r="T27" s="9"/>
      <c r="U27" s="9"/>
      <c r="V27" s="9"/>
      <c r="W27" s="9"/>
      <c r="X27" s="9"/>
      <c r="Y27" s="9"/>
    </row>
    <row r="28" spans="1:89" ht="12.95" customHeight="1" x14ac:dyDescent="0.2">
      <c r="H28" s="49"/>
      <c r="I28" s="49"/>
      <c r="J28" s="49"/>
      <c r="K28" s="49"/>
      <c r="L28" s="49"/>
      <c r="M28" s="49"/>
      <c r="T28" s="9"/>
      <c r="U28" s="9"/>
      <c r="V28" s="9"/>
      <c r="W28" s="9"/>
      <c r="X28" s="9"/>
      <c r="Y28" s="9"/>
    </row>
    <row r="29" spans="1:89" s="6" customFormat="1" ht="12.95" customHeight="1" x14ac:dyDescent="0.2">
      <c r="A29" s="39" t="s">
        <v>27</v>
      </c>
      <c r="B29" s="401" t="str">
        <f>$C$8</f>
        <v>Sprachenvielfalt</v>
      </c>
      <c r="C29" s="401"/>
      <c r="D29" s="6" t="str">
        <f>VLOOKUP(32,Textbausteine_Menu[],Hilfsgrössen!$D$2,FALSE)</f>
        <v>Einheit</v>
      </c>
      <c r="E29" s="28" t="str">
        <f>VLOOKUP(33,Textbausteine_Menu[],Hilfsgrössen!$D$2,FALSE)</f>
        <v>Fussnoten</v>
      </c>
      <c r="F29" s="28" t="str">
        <f>VLOOKUP(34,Textbausteine_Menu[],Hilfsgrössen!$D$2,FALSE)</f>
        <v>GRI</v>
      </c>
      <c r="G29" s="34"/>
      <c r="H29" s="7">
        <v>2004</v>
      </c>
      <c r="I29" s="7">
        <v>2005</v>
      </c>
      <c r="J29" s="7">
        <v>2006</v>
      </c>
      <c r="K29" s="7">
        <v>2007</v>
      </c>
      <c r="L29" s="7">
        <v>2008</v>
      </c>
      <c r="M29" s="7">
        <v>2009</v>
      </c>
      <c r="N29" s="7">
        <v>2010</v>
      </c>
      <c r="O29" s="7">
        <v>2011</v>
      </c>
      <c r="P29" s="7">
        <v>2012</v>
      </c>
      <c r="Q29" s="7">
        <v>2013</v>
      </c>
      <c r="R29" s="7">
        <v>2014</v>
      </c>
      <c r="S29" s="7">
        <v>2015</v>
      </c>
      <c r="T29" s="7">
        <v>2016</v>
      </c>
      <c r="U29" s="7">
        <v>2017</v>
      </c>
      <c r="V29" s="7">
        <v>2018</v>
      </c>
      <c r="W29" s="7">
        <v>2019</v>
      </c>
      <c r="X29" s="7">
        <v>2020</v>
      </c>
      <c r="Y29" s="142">
        <v>2021</v>
      </c>
      <c r="Z29" s="7"/>
      <c r="AA29" s="7"/>
      <c r="AB29" s="7"/>
      <c r="AC29" s="7"/>
      <c r="AD29" s="7"/>
      <c r="AE29" s="7"/>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row>
    <row r="30" spans="1:89" s="6" customFormat="1" ht="12.95" customHeight="1" x14ac:dyDescent="0.2">
      <c r="A30" s="65"/>
      <c r="B30" s="401"/>
      <c r="C30" s="401"/>
      <c r="E30" s="28"/>
      <c r="F30" s="28"/>
      <c r="G30" s="34"/>
      <c r="H30" s="49"/>
      <c r="I30" s="49"/>
      <c r="J30" s="49"/>
      <c r="K30" s="49"/>
      <c r="L30" s="49"/>
      <c r="M30" s="49"/>
      <c r="N30" s="73"/>
      <c r="O30" s="73"/>
      <c r="P30" s="73"/>
      <c r="Q30" s="73"/>
      <c r="R30" s="73"/>
      <c r="S30" s="73"/>
      <c r="T30" s="75"/>
      <c r="U30" s="75"/>
      <c r="V30" s="75"/>
      <c r="W30" s="75"/>
      <c r="X30" s="75"/>
      <c r="Y30" s="143"/>
      <c r="Z30" s="79"/>
      <c r="AA30" s="75"/>
      <c r="AB30" s="75"/>
      <c r="AC30" s="75"/>
      <c r="AD30" s="75"/>
      <c r="AE30" s="75"/>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row>
    <row r="31" spans="1:89" ht="12.95" customHeight="1" x14ac:dyDescent="0.2">
      <c r="B31" s="2"/>
      <c r="E31" s="28"/>
      <c r="F31" s="28"/>
      <c r="G31" s="33"/>
      <c r="H31" s="49"/>
      <c r="I31" s="49"/>
      <c r="J31" s="49"/>
      <c r="K31" s="49"/>
      <c r="L31" s="49"/>
      <c r="M31" s="49"/>
      <c r="Y31" s="144"/>
      <c r="Z31" s="10"/>
      <c r="AA31" s="11"/>
      <c r="AB31" s="11"/>
      <c r="AC31" s="11"/>
      <c r="AD31" s="11"/>
      <c r="AE31" s="11"/>
    </row>
    <row r="32" spans="1:89" ht="12.95" customHeight="1" x14ac:dyDescent="0.2">
      <c r="B32" s="2" t="str">
        <f>VLOOKUP(37,Textbausteine_Menu[],Hilfsgrössen!$D$2,FALSE)</f>
        <v>Konzern Schweiz</v>
      </c>
      <c r="C32" s="2"/>
      <c r="E32" s="10"/>
      <c r="G32" s="33"/>
      <c r="H32" s="51"/>
      <c r="I32" s="51"/>
      <c r="J32" s="51"/>
      <c r="K32" s="51"/>
      <c r="L32" s="51"/>
      <c r="M32" s="51"/>
      <c r="Y32" s="144"/>
    </row>
    <row r="33" spans="1:89" ht="12.95" customHeight="1" x14ac:dyDescent="0.2">
      <c r="C33" s="116" t="str">
        <f>VLOOKUP(51,Textbausteine_405[],Hilfsgrössen!$D$2,FALSE)</f>
        <v>Muttersprache Deutsch</v>
      </c>
      <c r="D33" s="1" t="str">
        <f>VLOOKUP(11,Textbausteine_405[],Hilfsgrössen!$D$2,FALSE)</f>
        <v>% der Personen</v>
      </c>
      <c r="E33" s="9" t="s">
        <v>94</v>
      </c>
      <c r="F33" s="9" t="s">
        <v>178</v>
      </c>
      <c r="H33" s="139">
        <v>67</v>
      </c>
      <c r="I33" s="139">
        <v>67</v>
      </c>
      <c r="J33" s="139">
        <v>67.099999999999994</v>
      </c>
      <c r="K33" s="139">
        <v>67</v>
      </c>
      <c r="L33" s="107">
        <v>66.900000000000006</v>
      </c>
      <c r="M33" s="133">
        <v>67.599999999999994</v>
      </c>
      <c r="N33" s="9">
        <v>72</v>
      </c>
      <c r="O33" s="9">
        <v>73.099999999999994</v>
      </c>
      <c r="P33" s="9">
        <v>72.099999999999994</v>
      </c>
      <c r="Q33" s="9">
        <v>71.844499999999996</v>
      </c>
      <c r="R33" s="9">
        <v>71.2</v>
      </c>
      <c r="S33" s="9">
        <v>70.7</v>
      </c>
      <c r="T33" s="9">
        <v>70.5</v>
      </c>
      <c r="U33" s="9">
        <v>70.2</v>
      </c>
      <c r="V33" s="9">
        <v>69.81</v>
      </c>
      <c r="W33" s="9">
        <v>68.8</v>
      </c>
      <c r="X33" s="9">
        <v>68.03504722387747</v>
      </c>
      <c r="Y33" s="145">
        <v>55.382239567122369</v>
      </c>
    </row>
    <row r="34" spans="1:89" ht="12.95" customHeight="1" x14ac:dyDescent="0.2">
      <c r="C34" s="116" t="str">
        <f>VLOOKUP(52,Textbausteine_405[],Hilfsgrössen!$D$2,FALSE)</f>
        <v>Muttersprache Französisch</v>
      </c>
      <c r="D34" s="1" t="str">
        <f>VLOOKUP(11,Textbausteine_405[],Hilfsgrössen!$D$2,FALSE)</f>
        <v>% der Personen</v>
      </c>
      <c r="E34" s="9" t="s">
        <v>94</v>
      </c>
      <c r="F34" s="9" t="s">
        <v>178</v>
      </c>
      <c r="H34" s="139">
        <v>20.8</v>
      </c>
      <c r="I34" s="139">
        <v>21</v>
      </c>
      <c r="J34" s="139">
        <v>21</v>
      </c>
      <c r="K34" s="139">
        <v>20.9</v>
      </c>
      <c r="L34" s="107">
        <v>20.399999999999999</v>
      </c>
      <c r="M34" s="133">
        <v>20.2</v>
      </c>
      <c r="N34" s="9">
        <v>17.7</v>
      </c>
      <c r="O34" s="9">
        <v>17.5</v>
      </c>
      <c r="P34" s="9">
        <v>17.3</v>
      </c>
      <c r="Q34" s="9">
        <v>17.136150000000001</v>
      </c>
      <c r="R34" s="9">
        <v>17.3</v>
      </c>
      <c r="S34" s="9">
        <v>17.2</v>
      </c>
      <c r="T34" s="9">
        <v>17</v>
      </c>
      <c r="U34" s="9">
        <v>16.8</v>
      </c>
      <c r="V34" s="9">
        <v>16.57</v>
      </c>
      <c r="W34" s="9">
        <v>16.5</v>
      </c>
      <c r="X34" s="9">
        <v>16.390476435572236</v>
      </c>
      <c r="Y34" s="145">
        <v>16.147915818708551</v>
      </c>
    </row>
    <row r="35" spans="1:89" ht="12.95" customHeight="1" x14ac:dyDescent="0.2">
      <c r="C35" s="116" t="str">
        <f>VLOOKUP(53,Textbausteine_405[],Hilfsgrössen!$D$2,FALSE)</f>
        <v>Muttersprache Italienisch</v>
      </c>
      <c r="D35" s="1" t="str">
        <f>VLOOKUP(11,Textbausteine_405[],Hilfsgrössen!$D$2,FALSE)</f>
        <v>% der Personen</v>
      </c>
      <c r="E35" s="9" t="s">
        <v>94</v>
      </c>
      <c r="F35" s="9" t="s">
        <v>178</v>
      </c>
      <c r="H35" s="139">
        <v>7.5</v>
      </c>
      <c r="I35" s="139">
        <v>7.5</v>
      </c>
      <c r="J35" s="139">
        <v>7.5</v>
      </c>
      <c r="K35" s="139">
        <v>7.4</v>
      </c>
      <c r="L35" s="107">
        <v>7.2</v>
      </c>
      <c r="M35" s="133">
        <v>7</v>
      </c>
      <c r="N35" s="9">
        <v>6</v>
      </c>
      <c r="O35" s="9">
        <v>5.8</v>
      </c>
      <c r="P35" s="9">
        <v>5.8</v>
      </c>
      <c r="Q35" s="9">
        <v>5.8</v>
      </c>
      <c r="R35" s="9">
        <v>5.9</v>
      </c>
      <c r="S35" s="9">
        <v>6</v>
      </c>
      <c r="T35" s="9">
        <v>6</v>
      </c>
      <c r="U35" s="9">
        <v>6</v>
      </c>
      <c r="V35" s="9">
        <v>6.03</v>
      </c>
      <c r="W35" s="9">
        <v>6.07</v>
      </c>
      <c r="X35" s="9">
        <v>6.2175960660956173</v>
      </c>
      <c r="Y35" s="145">
        <v>6.3975945922219211</v>
      </c>
    </row>
    <row r="36" spans="1:89" ht="12.95" customHeight="1" x14ac:dyDescent="0.2">
      <c r="C36" s="116" t="str">
        <f>VLOOKUP(54,Textbausteine_405[],Hilfsgrössen!$D$2,FALSE)</f>
        <v>Muttersprache Rätoromanisch</v>
      </c>
      <c r="D36" s="1" t="str">
        <f>VLOOKUP(11,Textbausteine_405[],Hilfsgrössen!$D$2,FALSE)</f>
        <v>% der Personen</v>
      </c>
      <c r="E36" s="9" t="s">
        <v>94</v>
      </c>
      <c r="F36" s="9" t="s">
        <v>178</v>
      </c>
      <c r="H36" s="156">
        <v>1.1000000000000001</v>
      </c>
      <c r="I36" s="157">
        <v>0.9</v>
      </c>
      <c r="J36" s="157">
        <v>0.8</v>
      </c>
      <c r="K36" s="157">
        <v>0.7</v>
      </c>
      <c r="L36" s="156">
        <v>0.7</v>
      </c>
      <c r="M36" s="156">
        <v>0.6</v>
      </c>
      <c r="N36" s="9">
        <v>0.5</v>
      </c>
      <c r="O36" s="9">
        <v>0.4</v>
      </c>
      <c r="P36" s="9">
        <v>0.4</v>
      </c>
      <c r="Q36" s="9">
        <v>0.4</v>
      </c>
      <c r="R36" s="9">
        <v>0.4</v>
      </c>
      <c r="S36" s="9">
        <v>0.4</v>
      </c>
      <c r="T36" s="9">
        <v>0.4</v>
      </c>
      <c r="U36" s="9">
        <v>0.4</v>
      </c>
      <c r="V36" s="9">
        <v>0.37</v>
      </c>
      <c r="W36" s="9">
        <v>0.36</v>
      </c>
      <c r="X36" s="9">
        <v>0.35494618398208944</v>
      </c>
      <c r="Y36" s="145">
        <v>0.32222408440475259</v>
      </c>
    </row>
    <row r="37" spans="1:89" ht="12.95" customHeight="1" x14ac:dyDescent="0.2">
      <c r="C37" s="116" t="str">
        <f>VLOOKUP(55,Textbausteine_405[],Hilfsgrössen!$D$2,FALSE)</f>
        <v>andere Muttersprache</v>
      </c>
      <c r="D37" s="1" t="str">
        <f>VLOOKUP(11,Textbausteine_405[],Hilfsgrössen!$D$2,FALSE)</f>
        <v>% der Personen</v>
      </c>
      <c r="E37" s="9" t="s">
        <v>94</v>
      </c>
      <c r="F37" s="9" t="s">
        <v>178</v>
      </c>
      <c r="H37" s="139">
        <v>3.6000000000000085</v>
      </c>
      <c r="I37" s="139">
        <v>3.5999999999999943</v>
      </c>
      <c r="J37" s="139">
        <v>3.6000000000000085</v>
      </c>
      <c r="K37" s="139">
        <v>3.9999999999999858</v>
      </c>
      <c r="L37" s="139">
        <v>4.7999999999999829</v>
      </c>
      <c r="M37" s="139">
        <v>4.6000000000000085</v>
      </c>
      <c r="N37" s="9">
        <v>3.8</v>
      </c>
      <c r="O37" s="9">
        <v>3.2000000000000028</v>
      </c>
      <c r="P37" s="9">
        <v>4.4000000000000004</v>
      </c>
      <c r="Q37" s="9">
        <v>4.8</v>
      </c>
      <c r="R37" s="9">
        <v>5.3</v>
      </c>
      <c r="S37" s="9">
        <v>5.7</v>
      </c>
      <c r="T37" s="9">
        <v>6.1</v>
      </c>
      <c r="U37" s="9">
        <v>6.6</v>
      </c>
      <c r="V37" s="9">
        <v>7.23</v>
      </c>
      <c r="W37" s="9">
        <v>8.18</v>
      </c>
      <c r="X37" s="9">
        <v>9.0019340904726057</v>
      </c>
      <c r="Y37" s="390">
        <v>21.750025937542414</v>
      </c>
    </row>
    <row r="38" spans="1:89" ht="12.95" customHeight="1" x14ac:dyDescent="0.2">
      <c r="C38" s="116"/>
      <c r="H38" s="139"/>
      <c r="I38" s="139"/>
      <c r="J38" s="139"/>
      <c r="K38" s="139"/>
      <c r="L38" s="139"/>
      <c r="M38" s="139"/>
      <c r="T38" s="85"/>
      <c r="U38" s="85"/>
      <c r="V38" s="85"/>
      <c r="W38" s="85"/>
      <c r="X38" s="85"/>
      <c r="Y38" s="85"/>
    </row>
    <row r="39" spans="1:89" ht="12.95" customHeight="1" x14ac:dyDescent="0.25">
      <c r="B39" s="302" t="str">
        <f>VLOOKUP(141,Textbausteine_405[],Hilfsgrössen!$D$2,FALSE)</f>
        <v>1) Jahresdurchschnittswerte</v>
      </c>
      <c r="H39" s="49"/>
      <c r="I39" s="49"/>
      <c r="J39" s="49"/>
      <c r="K39" s="49"/>
      <c r="L39" s="49"/>
      <c r="M39" s="49"/>
      <c r="T39" s="9"/>
      <c r="U39" s="9"/>
      <c r="V39" s="9"/>
      <c r="W39" s="9"/>
      <c r="X39" s="9"/>
      <c r="Y39" s="9"/>
    </row>
    <row r="40" spans="1:89" ht="12.95" customHeight="1" x14ac:dyDescent="0.25">
      <c r="B40" s="302" t="str">
        <f>VLOOKUP(142,Textbausteine_405[],Hilfsgrössen!$D$2,FALSE)</f>
        <v>2)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H40" s="49"/>
      <c r="I40" s="49"/>
      <c r="J40" s="49"/>
      <c r="K40" s="49"/>
      <c r="L40" s="49"/>
      <c r="M40" s="49"/>
      <c r="T40" s="9"/>
      <c r="U40" s="9"/>
      <c r="V40" s="9"/>
      <c r="W40" s="9"/>
      <c r="X40" s="9"/>
      <c r="Y40" s="9"/>
    </row>
    <row r="41" spans="1:89" ht="12.95" customHeight="1" x14ac:dyDescent="0.25">
      <c r="B41" s="302" t="str">
        <f>VLOOKUP(143,Textbausteine_405[],Hilfsgrössen!$D$2,FALSE)</f>
        <v>3) ohne Lernpersonal</v>
      </c>
      <c r="H41" s="49"/>
      <c r="I41" s="49"/>
      <c r="J41" s="49"/>
      <c r="K41" s="49"/>
      <c r="L41" s="49"/>
      <c r="M41" s="49"/>
      <c r="T41" s="9"/>
      <c r="U41" s="9"/>
      <c r="V41" s="9"/>
      <c r="W41" s="9"/>
      <c r="X41" s="9"/>
      <c r="Y41" s="9"/>
    </row>
    <row r="42" spans="1:89" ht="12.95" customHeight="1" x14ac:dyDescent="0.2">
      <c r="C42" s="116"/>
      <c r="H42" s="139"/>
      <c r="I42" s="139"/>
      <c r="J42" s="139"/>
      <c r="K42" s="139"/>
      <c r="L42" s="139"/>
      <c r="M42" s="139"/>
      <c r="T42" s="85"/>
      <c r="U42" s="85"/>
      <c r="V42" s="85"/>
      <c r="W42" s="85"/>
      <c r="X42" s="85"/>
      <c r="Y42" s="85"/>
    </row>
    <row r="43" spans="1:89" ht="12.95" customHeight="1" x14ac:dyDescent="0.2">
      <c r="T43" s="85"/>
      <c r="U43" s="85"/>
      <c r="V43" s="85"/>
      <c r="W43" s="85"/>
      <c r="X43" s="85"/>
      <c r="Y43" s="85"/>
    </row>
    <row r="44" spans="1:89" s="6" customFormat="1" ht="12.95" customHeight="1" x14ac:dyDescent="0.2">
      <c r="A44" s="39" t="s">
        <v>27</v>
      </c>
      <c r="B44" s="401" t="str">
        <f>$C$9</f>
        <v>Nationalität</v>
      </c>
      <c r="C44" s="401"/>
      <c r="D44" s="6" t="str">
        <f>VLOOKUP(32,Textbausteine_Menu[],Hilfsgrössen!$D$2,FALSE)</f>
        <v>Einheit</v>
      </c>
      <c r="E44" s="28" t="str">
        <f>VLOOKUP(33,Textbausteine_Menu[],Hilfsgrössen!$D$2,FALSE)</f>
        <v>Fussnoten</v>
      </c>
      <c r="F44" s="28" t="str">
        <f>VLOOKUP(34,Textbausteine_Menu[],Hilfsgrössen!$D$2,FALSE)</f>
        <v>GRI</v>
      </c>
      <c r="G44" s="34"/>
      <c r="H44" s="7">
        <v>2004</v>
      </c>
      <c r="I44" s="7">
        <v>2005</v>
      </c>
      <c r="J44" s="7">
        <v>2006</v>
      </c>
      <c r="K44" s="7">
        <v>2007</v>
      </c>
      <c r="L44" s="7">
        <v>2008</v>
      </c>
      <c r="M44" s="7">
        <v>2009</v>
      </c>
      <c r="N44" s="7">
        <v>2010</v>
      </c>
      <c r="O44" s="7">
        <v>2011</v>
      </c>
      <c r="P44" s="7">
        <v>2012</v>
      </c>
      <c r="Q44" s="7">
        <v>2013</v>
      </c>
      <c r="R44" s="7">
        <v>2014</v>
      </c>
      <c r="S44" s="7">
        <v>2015</v>
      </c>
      <c r="T44" s="7">
        <v>2016</v>
      </c>
      <c r="U44" s="7">
        <v>2017</v>
      </c>
      <c r="V44" s="7">
        <v>2018</v>
      </c>
      <c r="W44" s="7">
        <v>2019</v>
      </c>
      <c r="X44" s="7">
        <v>2020</v>
      </c>
      <c r="Y44" s="142">
        <v>2021</v>
      </c>
      <c r="Z44" s="7"/>
      <c r="AA44" s="7"/>
      <c r="AB44" s="7"/>
      <c r="AC44" s="7"/>
      <c r="AD44" s="7"/>
      <c r="AE44" s="7"/>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row>
    <row r="45" spans="1:89" s="6" customFormat="1" ht="12.95" customHeight="1" x14ac:dyDescent="0.2">
      <c r="A45" s="65"/>
      <c r="B45" s="401"/>
      <c r="C45" s="401"/>
      <c r="E45" s="28"/>
      <c r="F45" s="28"/>
      <c r="G45" s="34"/>
      <c r="H45" s="49"/>
      <c r="I45" s="49"/>
      <c r="J45" s="49"/>
      <c r="K45" s="49"/>
      <c r="L45" s="49"/>
      <c r="M45" s="49"/>
      <c r="N45" s="73"/>
      <c r="O45" s="73"/>
      <c r="P45" s="73"/>
      <c r="Q45" s="73"/>
      <c r="R45" s="73"/>
      <c r="S45" s="73"/>
      <c r="T45" s="75"/>
      <c r="U45" s="75"/>
      <c r="V45" s="75"/>
      <c r="W45" s="75"/>
      <c r="X45" s="75"/>
      <c r="Y45" s="143"/>
      <c r="Z45" s="79"/>
      <c r="AA45" s="75"/>
      <c r="AB45" s="75"/>
      <c r="AC45" s="75"/>
      <c r="AD45" s="75"/>
      <c r="AE45" s="75"/>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c r="BE45" s="73"/>
      <c r="BF45" s="73"/>
      <c r="BG45" s="73"/>
      <c r="BH45" s="73"/>
      <c r="BI45" s="73"/>
      <c r="BJ45" s="73"/>
      <c r="BK45" s="73"/>
      <c r="BL45" s="73"/>
      <c r="BM45" s="73"/>
      <c r="BN45" s="73"/>
      <c r="BO45" s="73"/>
      <c r="BP45" s="73"/>
      <c r="BQ45" s="73"/>
      <c r="BR45" s="73"/>
      <c r="BS45" s="73"/>
      <c r="BT45" s="73"/>
      <c r="BU45" s="73"/>
      <c r="BV45" s="73"/>
      <c r="BW45" s="73"/>
      <c r="BX45" s="73"/>
      <c r="BY45" s="73"/>
      <c r="BZ45" s="73"/>
      <c r="CA45" s="73"/>
      <c r="CB45" s="73"/>
      <c r="CC45" s="73"/>
      <c r="CD45" s="73"/>
      <c r="CE45" s="73"/>
      <c r="CF45" s="73"/>
      <c r="CG45" s="73"/>
      <c r="CH45" s="73"/>
      <c r="CI45" s="73"/>
      <c r="CJ45" s="73"/>
      <c r="CK45" s="73"/>
    </row>
    <row r="46" spans="1:89" ht="12.95" customHeight="1" x14ac:dyDescent="0.2">
      <c r="B46" s="2"/>
      <c r="E46" s="28"/>
      <c r="F46" s="28"/>
      <c r="G46" s="33"/>
      <c r="H46" s="49"/>
      <c r="I46" s="49"/>
      <c r="J46" s="49"/>
      <c r="K46" s="49"/>
      <c r="L46" s="49"/>
      <c r="M46" s="49"/>
      <c r="Y46" s="144"/>
      <c r="Z46" s="10"/>
      <c r="AA46" s="11"/>
      <c r="AB46" s="11"/>
      <c r="AC46" s="11"/>
      <c r="AD46" s="11"/>
      <c r="AE46" s="11"/>
    </row>
    <row r="47" spans="1:89" ht="12.95" customHeight="1" x14ac:dyDescent="0.2">
      <c r="B47" s="2" t="str">
        <f>VLOOKUP(37,Textbausteine_Menu[],Hilfsgrössen!$D$2,FALSE)</f>
        <v>Konzern Schweiz</v>
      </c>
      <c r="C47" s="2"/>
      <c r="E47" s="10"/>
      <c r="G47" s="33"/>
      <c r="H47" s="49"/>
      <c r="I47" s="49"/>
      <c r="J47" s="49"/>
      <c r="K47" s="49"/>
      <c r="L47" s="49"/>
      <c r="M47" s="49"/>
      <c r="Y47" s="144"/>
    </row>
    <row r="48" spans="1:89" ht="12.95" customHeight="1" x14ac:dyDescent="0.2">
      <c r="C48" s="116" t="str">
        <f>VLOOKUP(71,Textbausteine_405[],Hilfsgrössen!$D$2,FALSE)</f>
        <v>Schweiz</v>
      </c>
      <c r="D48" s="1" t="str">
        <f>VLOOKUP(11,Textbausteine_405[],Hilfsgrössen!$D$2,FALSE)</f>
        <v>% der Personen</v>
      </c>
      <c r="E48" s="9" t="s">
        <v>94</v>
      </c>
      <c r="F48" s="11" t="s">
        <v>178</v>
      </c>
      <c r="H48" s="139">
        <v>89.1</v>
      </c>
      <c r="I48" s="139">
        <v>89.4</v>
      </c>
      <c r="J48" s="139">
        <v>89.6</v>
      </c>
      <c r="K48" s="139">
        <v>89.8</v>
      </c>
      <c r="L48" s="133">
        <v>88.8</v>
      </c>
      <c r="M48" s="133">
        <v>88.1</v>
      </c>
      <c r="N48" s="9">
        <v>87</v>
      </c>
      <c r="O48" s="9">
        <v>86.4</v>
      </c>
      <c r="P48" s="9">
        <v>85.7</v>
      </c>
      <c r="Q48" s="9">
        <v>85.1</v>
      </c>
      <c r="R48" s="9">
        <v>84.6</v>
      </c>
      <c r="S48" s="9">
        <v>84.1</v>
      </c>
      <c r="T48" s="9">
        <v>83.5</v>
      </c>
      <c r="U48" s="9">
        <v>82.9</v>
      </c>
      <c r="V48" s="9">
        <v>82.27</v>
      </c>
      <c r="W48" s="9">
        <v>81.400000000000006</v>
      </c>
      <c r="X48" s="9">
        <v>80.529232084917922</v>
      </c>
      <c r="Y48" s="145">
        <v>78.868285169312387</v>
      </c>
    </row>
    <row r="49" spans="1:89" ht="12.95" customHeight="1" x14ac:dyDescent="0.2">
      <c r="C49" s="116" t="str">
        <f>VLOOKUP(72,Textbausteine_405[],Hilfsgrössen!$D$2,FALSE)</f>
        <v>Ausland</v>
      </c>
      <c r="D49" s="1" t="str">
        <f>VLOOKUP(11,Textbausteine_405[],Hilfsgrössen!$D$2,FALSE)</f>
        <v>% der Personen</v>
      </c>
      <c r="E49" s="9" t="s">
        <v>94</v>
      </c>
      <c r="F49" s="9" t="s">
        <v>178</v>
      </c>
      <c r="G49" s="303"/>
      <c r="H49" s="139">
        <v>10.9</v>
      </c>
      <c r="I49" s="139">
        <v>10.6</v>
      </c>
      <c r="J49" s="139">
        <v>10.4</v>
      </c>
      <c r="K49" s="139">
        <v>10.199999999999999</v>
      </c>
      <c r="L49" s="133">
        <v>11.2</v>
      </c>
      <c r="M49" s="133">
        <v>11.9</v>
      </c>
      <c r="N49" s="9">
        <v>13</v>
      </c>
      <c r="O49" s="9">
        <v>13.6</v>
      </c>
      <c r="P49" s="9">
        <v>14.299999999999997</v>
      </c>
      <c r="Q49" s="9">
        <v>14.9</v>
      </c>
      <c r="R49" s="9">
        <v>15.4</v>
      </c>
      <c r="S49" s="9">
        <v>15.900000000000006</v>
      </c>
      <c r="T49" s="9">
        <v>16.5</v>
      </c>
      <c r="U49" s="9">
        <v>17.100000000000001</v>
      </c>
      <c r="V49" s="9">
        <v>17.73</v>
      </c>
      <c r="W49" s="9">
        <v>18.600000000000001</v>
      </c>
      <c r="X49" s="9">
        <v>19.470767915082078</v>
      </c>
      <c r="Y49" s="145">
        <v>21.131714830687624</v>
      </c>
    </row>
    <row r="50" spans="1:89" ht="12.95" customHeight="1" x14ac:dyDescent="0.2">
      <c r="C50" s="158" t="str">
        <f>VLOOKUP(73,Textbausteine_405[],Hilfsgrössen!$D$2,FALSE)</f>
        <v>Italien</v>
      </c>
      <c r="D50" s="1" t="str">
        <f>VLOOKUP(11,Textbausteine_405[],Hilfsgrössen!$D$2,FALSE)</f>
        <v>% der Personen</v>
      </c>
      <c r="E50" s="9" t="s">
        <v>94</v>
      </c>
      <c r="F50" s="9" t="s">
        <v>178</v>
      </c>
      <c r="H50" s="139">
        <v>35</v>
      </c>
      <c r="I50" s="139">
        <v>35.1</v>
      </c>
      <c r="J50" s="139">
        <v>34.6</v>
      </c>
      <c r="K50" s="139">
        <v>34.299999999999997</v>
      </c>
      <c r="L50" s="107">
        <v>31.2</v>
      </c>
      <c r="M50" s="133">
        <v>29.2</v>
      </c>
      <c r="N50" s="9">
        <v>27.1</v>
      </c>
      <c r="O50" s="9">
        <v>25.9</v>
      </c>
      <c r="P50" s="9">
        <v>24.7</v>
      </c>
      <c r="Q50" s="9">
        <v>23.4</v>
      </c>
      <c r="R50" s="9">
        <v>23</v>
      </c>
      <c r="S50" s="9">
        <v>22.6</v>
      </c>
      <c r="T50" s="9">
        <v>22.1</v>
      </c>
      <c r="U50" s="9">
        <v>21.4</v>
      </c>
      <c r="V50" s="9">
        <v>20.79</v>
      </c>
      <c r="W50" s="9">
        <v>19.7</v>
      </c>
      <c r="X50" s="9">
        <v>19.305380454674896</v>
      </c>
      <c r="Y50" s="145">
        <v>18.836214628988017</v>
      </c>
    </row>
    <row r="51" spans="1:89" ht="12.95" customHeight="1" x14ac:dyDescent="0.2">
      <c r="C51" s="158" t="str">
        <f>VLOOKUP(74,Textbausteine_405[],Hilfsgrössen!$D$2,FALSE)</f>
        <v>Deutschland</v>
      </c>
      <c r="D51" s="1" t="str">
        <f>VLOOKUP(11,Textbausteine_405[],Hilfsgrössen!$D$2,FALSE)</f>
        <v>% der Personen</v>
      </c>
      <c r="E51" s="9" t="s">
        <v>94</v>
      </c>
      <c r="F51" s="9" t="s">
        <v>178</v>
      </c>
      <c r="H51" s="139">
        <v>3.7</v>
      </c>
      <c r="I51" s="139">
        <v>4.4000000000000004</v>
      </c>
      <c r="J51" s="139">
        <v>5.2</v>
      </c>
      <c r="K51" s="139">
        <v>6.5</v>
      </c>
      <c r="L51" s="107">
        <v>8.4</v>
      </c>
      <c r="M51" s="133">
        <v>10.3</v>
      </c>
      <c r="N51" s="9">
        <v>10.199999999999999</v>
      </c>
      <c r="O51" s="9">
        <v>11.1</v>
      </c>
      <c r="P51" s="9">
        <v>11.6</v>
      </c>
      <c r="Q51" s="9">
        <v>12</v>
      </c>
      <c r="R51" s="9">
        <v>12.1</v>
      </c>
      <c r="S51" s="9">
        <v>12.2</v>
      </c>
      <c r="T51" s="9">
        <v>12.3</v>
      </c>
      <c r="U51" s="9">
        <v>12.4</v>
      </c>
      <c r="V51" s="9">
        <v>12.58</v>
      </c>
      <c r="W51" s="9">
        <v>12.45</v>
      </c>
      <c r="X51" s="9">
        <v>12.665216153564614</v>
      </c>
      <c r="Y51" s="145">
        <v>12.636786796710521</v>
      </c>
    </row>
    <row r="52" spans="1:89" ht="12.95" customHeight="1" x14ac:dyDescent="0.2">
      <c r="C52" s="158" t="str">
        <f>VLOOKUP(75,Textbausteine_405[],Hilfsgrössen!$D$2,FALSE)</f>
        <v>Spanien</v>
      </c>
      <c r="D52" s="1" t="str">
        <f>VLOOKUP(11,Textbausteine_405[],Hilfsgrössen!$D$2,FALSE)</f>
        <v>% der Personen</v>
      </c>
      <c r="E52" s="9" t="s">
        <v>94</v>
      </c>
      <c r="F52" s="11" t="s">
        <v>178</v>
      </c>
      <c r="H52" s="139">
        <v>15.8</v>
      </c>
      <c r="I52" s="139">
        <v>14.9</v>
      </c>
      <c r="J52" s="139">
        <v>13.9</v>
      </c>
      <c r="K52" s="139">
        <v>12.1</v>
      </c>
      <c r="L52" s="107">
        <v>9.6999999999999993</v>
      </c>
      <c r="M52" s="133">
        <v>8.8000000000000007</v>
      </c>
      <c r="N52" s="9">
        <v>7.7</v>
      </c>
      <c r="O52" s="9">
        <v>7.2</v>
      </c>
      <c r="P52" s="9">
        <v>7</v>
      </c>
      <c r="Q52" s="9">
        <v>6.6</v>
      </c>
      <c r="R52" s="9">
        <v>6.4</v>
      </c>
      <c r="S52" s="9">
        <v>6.2</v>
      </c>
      <c r="T52" s="9">
        <v>5.8</v>
      </c>
      <c r="U52" s="9">
        <v>5.6</v>
      </c>
      <c r="V52" s="9">
        <v>5.37</v>
      </c>
      <c r="W52" s="9">
        <v>4.91</v>
      </c>
      <c r="X52" s="9">
        <v>4.6982390499817148</v>
      </c>
      <c r="Y52" s="145">
        <v>4.5084172858856064</v>
      </c>
    </row>
    <row r="53" spans="1:89" ht="12.95" customHeight="1" x14ac:dyDescent="0.2">
      <c r="C53" s="158" t="str">
        <f>VLOOKUP(76,Textbausteine_405[],Hilfsgrössen!$D$2,FALSE)</f>
        <v>Portugal</v>
      </c>
      <c r="D53" s="1" t="str">
        <f>VLOOKUP(11,Textbausteine_405[],Hilfsgrössen!$D$2,FALSE)</f>
        <v>% der Personen</v>
      </c>
      <c r="E53" s="9" t="s">
        <v>94</v>
      </c>
      <c r="F53" s="11" t="s">
        <v>178</v>
      </c>
      <c r="G53" s="303"/>
      <c r="H53" s="139">
        <v>8.4</v>
      </c>
      <c r="I53" s="139">
        <v>8.4</v>
      </c>
      <c r="J53" s="139">
        <v>8.4</v>
      </c>
      <c r="K53" s="139">
        <v>8.5</v>
      </c>
      <c r="L53" s="107">
        <v>7.7</v>
      </c>
      <c r="M53" s="133">
        <v>7.9</v>
      </c>
      <c r="N53" s="9">
        <v>7.2</v>
      </c>
      <c r="O53" s="9">
        <v>7.2</v>
      </c>
      <c r="P53" s="9">
        <v>7.1</v>
      </c>
      <c r="Q53" s="9">
        <v>7.6</v>
      </c>
      <c r="R53" s="9">
        <v>8.1</v>
      </c>
      <c r="S53" s="9">
        <v>8.5</v>
      </c>
      <c r="T53" s="9">
        <v>8.9</v>
      </c>
      <c r="U53" s="9">
        <v>9.3000000000000007</v>
      </c>
      <c r="V53" s="9">
        <v>9.5500000000000007</v>
      </c>
      <c r="W53" s="9">
        <v>9.82</v>
      </c>
      <c r="X53" s="9">
        <v>9.9211029322055033</v>
      </c>
      <c r="Y53" s="389">
        <v>10.133789053279621</v>
      </c>
    </row>
    <row r="54" spans="1:89" ht="12.95" customHeight="1" x14ac:dyDescent="0.2">
      <c r="C54" s="158" t="str">
        <f>VLOOKUP(77,Textbausteine_405[],Hilfsgrössen!$D$2,FALSE)</f>
        <v>Türkei</v>
      </c>
      <c r="D54" s="1" t="str">
        <f>VLOOKUP(11,Textbausteine_405[],Hilfsgrössen!$D$2,FALSE)</f>
        <v>% der Personen</v>
      </c>
      <c r="E54" s="9" t="s">
        <v>94</v>
      </c>
      <c r="F54" s="9" t="s">
        <v>178</v>
      </c>
      <c r="G54" s="303"/>
      <c r="H54" s="139">
        <v>7.1</v>
      </c>
      <c r="I54" s="139">
        <v>6.9</v>
      </c>
      <c r="J54" s="139">
        <v>6.6</v>
      </c>
      <c r="K54" s="139">
        <v>6.3</v>
      </c>
      <c r="L54" s="107">
        <v>6.3</v>
      </c>
      <c r="M54" s="133">
        <v>6.2</v>
      </c>
      <c r="N54" s="9">
        <v>6.6</v>
      </c>
      <c r="O54" s="9">
        <v>6</v>
      </c>
      <c r="P54" s="9">
        <v>5.9</v>
      </c>
      <c r="Q54" s="9">
        <v>5.7</v>
      </c>
      <c r="R54" s="9">
        <v>5.6</v>
      </c>
      <c r="S54" s="9">
        <v>5.4</v>
      </c>
      <c r="T54" s="9">
        <v>5.2</v>
      </c>
      <c r="U54" s="9">
        <v>5.3</v>
      </c>
      <c r="V54" s="9">
        <v>5.29</v>
      </c>
      <c r="W54" s="9">
        <v>5.61</v>
      </c>
      <c r="X54" s="9">
        <v>5.5227947456179862</v>
      </c>
      <c r="Y54" s="145">
        <v>5.2835818077101182</v>
      </c>
    </row>
    <row r="55" spans="1:89" ht="12.95" customHeight="1" x14ac:dyDescent="0.2">
      <c r="C55" s="158" t="str">
        <f>VLOOKUP(78,Textbausteine_405[],Hilfsgrössen!$D$2,FALSE)</f>
        <v>Frankreich</v>
      </c>
      <c r="D55" s="1" t="str">
        <f>VLOOKUP(11,Textbausteine_405[],Hilfsgrössen!$D$2,FALSE)</f>
        <v>% der Personen</v>
      </c>
      <c r="E55" s="9" t="s">
        <v>94</v>
      </c>
      <c r="F55" s="9" t="s">
        <v>178</v>
      </c>
      <c r="H55" s="139">
        <v>4.2</v>
      </c>
      <c r="I55" s="139">
        <v>4.5999999999999996</v>
      </c>
      <c r="J55" s="139">
        <v>4.9000000000000004</v>
      </c>
      <c r="K55" s="139">
        <v>5.2</v>
      </c>
      <c r="L55" s="107">
        <v>5.8</v>
      </c>
      <c r="M55" s="133">
        <v>6.6</v>
      </c>
      <c r="N55" s="9">
        <v>5.8</v>
      </c>
      <c r="O55" s="9">
        <v>6.2</v>
      </c>
      <c r="P55" s="9">
        <v>6.3</v>
      </c>
      <c r="Q55" s="9">
        <v>6.4</v>
      </c>
      <c r="R55" s="9">
        <v>6.6</v>
      </c>
      <c r="S55" s="9">
        <v>6.9</v>
      </c>
      <c r="T55" s="9">
        <v>6.9</v>
      </c>
      <c r="U55" s="9">
        <v>6.9</v>
      </c>
      <c r="V55" s="9">
        <v>7.02</v>
      </c>
      <c r="W55" s="9">
        <v>7.02</v>
      </c>
      <c r="X55" s="9">
        <v>6.9980479076009852</v>
      </c>
      <c r="Y55" s="145">
        <v>7.6449538772388959</v>
      </c>
    </row>
    <row r="56" spans="1:89" ht="12.95" customHeight="1" x14ac:dyDescent="0.2">
      <c r="C56" s="158" t="str">
        <f>VLOOKUP(79,Textbausteine_405[],Hilfsgrössen!$D$2,FALSE)</f>
        <v>übrige Länder</v>
      </c>
      <c r="D56" s="1" t="str">
        <f>VLOOKUP(11,Textbausteine_405[],Hilfsgrössen!$D$2,FALSE)</f>
        <v>% der Personen</v>
      </c>
      <c r="E56" s="9" t="s">
        <v>94</v>
      </c>
      <c r="F56" s="11" t="s">
        <v>178</v>
      </c>
      <c r="H56" s="133">
        <v>25.799999999999997</v>
      </c>
      <c r="I56" s="133">
        <v>25.700000000000003</v>
      </c>
      <c r="J56" s="133">
        <v>26.399999999999991</v>
      </c>
      <c r="K56" s="133">
        <v>27.099999999999994</v>
      </c>
      <c r="L56" s="133">
        <v>30.900000000000006</v>
      </c>
      <c r="M56" s="133">
        <v>31</v>
      </c>
      <c r="N56" s="9">
        <v>35.4</v>
      </c>
      <c r="O56" s="9">
        <v>36.399999999999991</v>
      </c>
      <c r="P56" s="9">
        <v>37.400000000000006</v>
      </c>
      <c r="Q56" s="9">
        <v>38.299999999999997</v>
      </c>
      <c r="R56" s="9">
        <v>38.200000000000003</v>
      </c>
      <c r="S56" s="9">
        <v>38.200000000000003</v>
      </c>
      <c r="T56" s="9">
        <v>38.799999999999997</v>
      </c>
      <c r="U56" s="9">
        <v>39.1</v>
      </c>
      <c r="V56" s="9">
        <v>39.409999999999997</v>
      </c>
      <c r="W56" s="9">
        <v>40.5</v>
      </c>
      <c r="X56" s="9">
        <v>40.889218756354296</v>
      </c>
      <c r="Y56" s="145">
        <v>40.95625655018722</v>
      </c>
    </row>
    <row r="57" spans="1:89" ht="12.95" customHeight="1" x14ac:dyDescent="0.2">
      <c r="C57" s="116" t="str">
        <f>VLOOKUP(80,Textbausteine_405[],Hilfsgrössen!$D$2,FALSE)</f>
        <v>Vertretene Nationen</v>
      </c>
      <c r="D57" s="1" t="str">
        <f>VLOOKUP(12,Textbausteine_405[],Hilfsgrössen!$D$2,FALSE)</f>
        <v>Anzahl</v>
      </c>
      <c r="E57" s="9" t="s">
        <v>94</v>
      </c>
      <c r="F57" s="11" t="s">
        <v>178</v>
      </c>
      <c r="G57" s="303"/>
      <c r="H57" s="159">
        <v>114</v>
      </c>
      <c r="I57" s="159">
        <v>111</v>
      </c>
      <c r="J57" s="159">
        <v>115</v>
      </c>
      <c r="K57" s="159">
        <v>119</v>
      </c>
      <c r="L57" s="107">
        <v>121</v>
      </c>
      <c r="M57" s="134">
        <v>117</v>
      </c>
      <c r="N57" s="9">
        <v>133</v>
      </c>
      <c r="O57" s="9">
        <v>140</v>
      </c>
      <c r="P57" s="9">
        <v>140</v>
      </c>
      <c r="Q57" s="9">
        <v>144</v>
      </c>
      <c r="R57" s="9">
        <v>142</v>
      </c>
      <c r="S57" s="9">
        <v>142</v>
      </c>
      <c r="T57" s="9">
        <v>143</v>
      </c>
      <c r="U57" s="9">
        <v>140</v>
      </c>
      <c r="V57" s="9">
        <v>138</v>
      </c>
      <c r="W57" s="9">
        <v>140</v>
      </c>
      <c r="X57" s="9">
        <v>142</v>
      </c>
      <c r="Y57" s="145">
        <v>143</v>
      </c>
    </row>
    <row r="58" spans="1:89" ht="12.95" customHeight="1" x14ac:dyDescent="0.2">
      <c r="C58" s="116"/>
      <c r="E58" s="11"/>
      <c r="F58" s="11"/>
      <c r="G58" s="303"/>
      <c r="H58" s="159"/>
      <c r="I58" s="159"/>
      <c r="J58" s="159"/>
      <c r="K58" s="159"/>
      <c r="L58" s="107"/>
      <c r="M58" s="134"/>
      <c r="T58" s="9"/>
      <c r="U58" s="9"/>
      <c r="V58" s="9"/>
      <c r="W58" s="9"/>
      <c r="X58" s="9"/>
      <c r="Y58" s="9"/>
    </row>
    <row r="59" spans="1:89" ht="12.95" customHeight="1" x14ac:dyDescent="0.25">
      <c r="B59" s="302" t="str">
        <f>VLOOKUP(141,Textbausteine_405[],Hilfsgrössen!$D$2,FALSE)</f>
        <v>1) Jahresdurchschnittswerte</v>
      </c>
      <c r="H59" s="49"/>
      <c r="I59" s="49"/>
      <c r="J59" s="49"/>
      <c r="K59" s="49"/>
      <c r="L59" s="49"/>
      <c r="M59" s="49"/>
      <c r="T59" s="9"/>
      <c r="U59" s="9"/>
      <c r="V59" s="9"/>
      <c r="W59" s="9"/>
      <c r="X59" s="9"/>
      <c r="Y59" s="9"/>
    </row>
    <row r="60" spans="1:89" ht="12.95" customHeight="1" x14ac:dyDescent="0.25">
      <c r="B60" s="302" t="str">
        <f>VLOOKUP(142,Textbausteine_405[],Hilfsgrössen!$D$2,FALSE)</f>
        <v>2)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H60" s="49"/>
      <c r="I60" s="49"/>
      <c r="J60" s="49"/>
      <c r="K60" s="49"/>
      <c r="L60" s="49"/>
      <c r="M60" s="49"/>
      <c r="T60" s="9"/>
      <c r="U60" s="9"/>
      <c r="V60" s="9"/>
      <c r="W60" s="9"/>
      <c r="X60" s="9"/>
      <c r="Y60" s="9"/>
    </row>
    <row r="61" spans="1:89" ht="12.95" customHeight="1" x14ac:dyDescent="0.25">
      <c r="B61" s="302" t="str">
        <f>VLOOKUP(143,Textbausteine_405[],Hilfsgrössen!$D$2,FALSE)</f>
        <v>3) ohne Lernpersonal</v>
      </c>
      <c r="H61" s="49"/>
      <c r="I61" s="49"/>
      <c r="J61" s="49"/>
      <c r="K61" s="49"/>
      <c r="L61" s="49"/>
      <c r="M61" s="49"/>
      <c r="T61" s="9"/>
      <c r="U61" s="9"/>
      <c r="V61" s="9"/>
      <c r="W61" s="9"/>
      <c r="X61" s="9"/>
      <c r="Y61" s="9"/>
    </row>
    <row r="62" spans="1:89" ht="12.95" customHeight="1" x14ac:dyDescent="0.2">
      <c r="C62" s="116"/>
      <c r="E62" s="11"/>
      <c r="F62" s="11"/>
      <c r="G62" s="303"/>
      <c r="H62" s="159"/>
      <c r="I62" s="159"/>
      <c r="J62" s="159"/>
      <c r="K62" s="159"/>
      <c r="L62" s="107"/>
      <c r="M62" s="134"/>
      <c r="T62" s="9"/>
      <c r="U62" s="9"/>
      <c r="V62" s="9"/>
      <c r="W62" s="9"/>
      <c r="X62" s="9"/>
      <c r="Y62" s="9"/>
    </row>
    <row r="63" spans="1:89" ht="12.95" customHeight="1" x14ac:dyDescent="0.2">
      <c r="C63" s="158"/>
      <c r="E63" s="11"/>
      <c r="G63" s="303"/>
      <c r="H63" s="49"/>
      <c r="I63" s="49"/>
      <c r="J63" s="49"/>
      <c r="K63" s="49"/>
      <c r="L63" s="49"/>
      <c r="M63" s="49"/>
      <c r="T63" s="9"/>
      <c r="U63" s="9"/>
      <c r="V63" s="9"/>
      <c r="W63" s="9"/>
      <c r="X63" s="9"/>
      <c r="Y63" s="9"/>
    </row>
    <row r="64" spans="1:89" s="6" customFormat="1" ht="12.95" customHeight="1" x14ac:dyDescent="0.2">
      <c r="A64" s="39" t="s">
        <v>27</v>
      </c>
      <c r="B64" s="401" t="str">
        <f>$C$10</f>
        <v>Demographie (Altersverteilung)</v>
      </c>
      <c r="C64" s="401"/>
      <c r="D64" s="6" t="str">
        <f>VLOOKUP(32,Textbausteine_Menu[],Hilfsgrössen!$D$2,FALSE)</f>
        <v>Einheit</v>
      </c>
      <c r="E64" s="28" t="str">
        <f>VLOOKUP(33,Textbausteine_Menu[],Hilfsgrössen!$D$2,FALSE)</f>
        <v>Fussnoten</v>
      </c>
      <c r="F64" s="28" t="str">
        <f>VLOOKUP(34,Textbausteine_Menu[],Hilfsgrössen!$D$2,FALSE)</f>
        <v>GRI</v>
      </c>
      <c r="G64" s="34"/>
      <c r="H64" s="72">
        <v>2004</v>
      </c>
      <c r="I64" s="72">
        <v>2005</v>
      </c>
      <c r="J64" s="72">
        <v>2006</v>
      </c>
      <c r="K64" s="72">
        <v>2007</v>
      </c>
      <c r="L64" s="72">
        <v>2008</v>
      </c>
      <c r="M64" s="72">
        <v>2009</v>
      </c>
      <c r="N64" s="7">
        <v>2010</v>
      </c>
      <c r="O64" s="7">
        <v>2011</v>
      </c>
      <c r="P64" s="7">
        <v>2012</v>
      </c>
      <c r="Q64" s="7">
        <v>2013</v>
      </c>
      <c r="R64" s="7">
        <v>2014</v>
      </c>
      <c r="S64" s="7">
        <v>2015</v>
      </c>
      <c r="T64" s="7">
        <v>2016</v>
      </c>
      <c r="U64" s="7">
        <v>2017</v>
      </c>
      <c r="V64" s="7">
        <v>2018</v>
      </c>
      <c r="W64" s="7">
        <v>2019</v>
      </c>
      <c r="X64" s="7">
        <v>2020</v>
      </c>
      <c r="Y64" s="142">
        <v>2021</v>
      </c>
      <c r="Z64" s="7"/>
      <c r="AA64" s="7"/>
      <c r="AB64" s="7"/>
      <c r="AC64" s="7"/>
      <c r="AD64" s="7"/>
      <c r="AE64" s="7"/>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c r="CF64" s="28"/>
      <c r="CG64" s="28"/>
      <c r="CH64" s="28"/>
      <c r="CI64" s="28"/>
      <c r="CJ64" s="28"/>
      <c r="CK64" s="28"/>
    </row>
    <row r="65" spans="1:89" s="6" customFormat="1" ht="12.95" customHeight="1" x14ac:dyDescent="0.2">
      <c r="A65" s="65"/>
      <c r="B65" s="401"/>
      <c r="C65" s="401"/>
      <c r="E65" s="28"/>
      <c r="F65" s="28"/>
      <c r="G65" s="34"/>
      <c r="H65" s="49"/>
      <c r="I65" s="49"/>
      <c r="J65" s="49"/>
      <c r="K65" s="49"/>
      <c r="L65" s="49"/>
      <c r="M65" s="49"/>
      <c r="N65" s="73"/>
      <c r="O65" s="73"/>
      <c r="P65" s="73"/>
      <c r="Q65" s="73"/>
      <c r="R65" s="73"/>
      <c r="S65" s="73"/>
      <c r="T65" s="75"/>
      <c r="U65" s="75"/>
      <c r="V65" s="75"/>
      <c r="W65" s="75"/>
      <c r="X65" s="75"/>
      <c r="Y65" s="143"/>
      <c r="Z65" s="79"/>
      <c r="AA65" s="75"/>
      <c r="AB65" s="75"/>
      <c r="AC65" s="75"/>
      <c r="AD65" s="75"/>
      <c r="AE65" s="75"/>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BD65" s="73"/>
      <c r="BE65" s="73"/>
      <c r="BF65" s="73"/>
      <c r="BG65" s="73"/>
      <c r="BH65" s="73"/>
      <c r="BI65" s="73"/>
      <c r="BJ65" s="73"/>
      <c r="BK65" s="73"/>
      <c r="BL65" s="73"/>
      <c r="BM65" s="73"/>
      <c r="BN65" s="73"/>
      <c r="BO65" s="73"/>
      <c r="BP65" s="73"/>
      <c r="BQ65" s="73"/>
      <c r="BR65" s="73"/>
      <c r="BS65" s="73"/>
      <c r="BT65" s="73"/>
      <c r="BU65" s="73"/>
      <c r="BV65" s="73"/>
      <c r="BW65" s="73"/>
      <c r="BX65" s="73"/>
      <c r="BY65" s="73"/>
      <c r="BZ65" s="73"/>
      <c r="CA65" s="73"/>
      <c r="CB65" s="73"/>
      <c r="CC65" s="73"/>
      <c r="CD65" s="73"/>
      <c r="CE65" s="73"/>
      <c r="CF65" s="73"/>
      <c r="CG65" s="73"/>
      <c r="CH65" s="73"/>
      <c r="CI65" s="73"/>
      <c r="CJ65" s="73"/>
      <c r="CK65" s="73"/>
    </row>
    <row r="66" spans="1:89" ht="12.95" customHeight="1" x14ac:dyDescent="0.2">
      <c r="B66" s="2"/>
      <c r="E66" s="28"/>
      <c r="F66" s="28"/>
      <c r="G66" s="33"/>
      <c r="Y66" s="144"/>
      <c r="Z66" s="10"/>
      <c r="AA66" s="11"/>
      <c r="AB66" s="11"/>
      <c r="AC66" s="11"/>
      <c r="AD66" s="11"/>
      <c r="AE66" s="11"/>
    </row>
    <row r="67" spans="1:89" ht="12.95" customHeight="1" x14ac:dyDescent="0.2">
      <c r="B67" s="2" t="str">
        <f>VLOOKUP(37,Textbausteine_Menu[],Hilfsgrössen!$D$2,FALSE)</f>
        <v>Konzern Schweiz</v>
      </c>
      <c r="C67" s="2"/>
      <c r="E67" s="10"/>
      <c r="G67" s="33"/>
      <c r="Y67" s="144"/>
    </row>
    <row r="68" spans="1:89" ht="12.95" customHeight="1" x14ac:dyDescent="0.2">
      <c r="C68" s="4" t="str">
        <f>VLOOKUP(91,Textbausteine_405[],Hilfsgrössen!$D$2,FALSE)</f>
        <v>Altersgruppe</v>
      </c>
      <c r="E68" s="11"/>
      <c r="H68" s="49"/>
      <c r="I68" s="49"/>
      <c r="J68" s="49"/>
      <c r="K68" s="49"/>
      <c r="L68" s="49"/>
      <c r="M68" s="49"/>
      <c r="T68" s="9"/>
      <c r="U68" s="9"/>
      <c r="V68" s="9"/>
      <c r="W68" s="9"/>
      <c r="X68" s="9"/>
      <c r="Y68" s="145"/>
    </row>
    <row r="69" spans="1:89" ht="12.95" customHeight="1" x14ac:dyDescent="0.2">
      <c r="C69" s="158" t="str">
        <f>VLOOKUP(92,Textbausteine_405[],Hilfsgrössen!$D$2,FALSE)</f>
        <v>unter 20</v>
      </c>
      <c r="D69" s="1" t="str">
        <f>VLOOKUP(11,Textbausteine_405[],Hilfsgrössen!$D$2,FALSE)</f>
        <v>% der Personen</v>
      </c>
      <c r="E69" s="9" t="s">
        <v>94</v>
      </c>
      <c r="F69" s="9" t="s">
        <v>178</v>
      </c>
      <c r="H69" s="11">
        <v>0.8</v>
      </c>
      <c r="I69" s="14">
        <v>0.75853436192007206</v>
      </c>
      <c r="J69" s="14">
        <v>0.72263723862857954</v>
      </c>
      <c r="K69" s="11">
        <v>0.7</v>
      </c>
      <c r="L69" s="11">
        <v>0.7</v>
      </c>
      <c r="M69" s="11">
        <v>0.6</v>
      </c>
      <c r="N69" s="9">
        <v>0.6</v>
      </c>
      <c r="O69" s="9">
        <v>0.7</v>
      </c>
      <c r="P69" s="9">
        <v>0.7</v>
      </c>
      <c r="Q69" s="9">
        <v>0.7414526622821811</v>
      </c>
      <c r="R69" s="9">
        <v>0.6</v>
      </c>
      <c r="S69" s="9">
        <v>0.65583945381193698</v>
      </c>
      <c r="T69" s="9">
        <v>0.6</v>
      </c>
      <c r="U69" s="9">
        <v>0.5</v>
      </c>
      <c r="V69" s="9">
        <v>0.55000000000000004</v>
      </c>
      <c r="W69" s="9">
        <v>0.64</v>
      </c>
      <c r="X69" s="9">
        <v>0.54281229028381883</v>
      </c>
      <c r="Y69" s="145">
        <v>0.50378688119009496</v>
      </c>
    </row>
    <row r="70" spans="1:89" ht="12.95" customHeight="1" x14ac:dyDescent="0.2">
      <c r="C70" s="158" t="str">
        <f>VLOOKUP(93,Textbausteine_405[],Hilfsgrössen!$D$2,FALSE)</f>
        <v>20–29</v>
      </c>
      <c r="D70" s="1" t="str">
        <f>VLOOKUP(11,Textbausteine_405[],Hilfsgrössen!$D$2,FALSE)</f>
        <v>% der Personen</v>
      </c>
      <c r="E70" s="9" t="s">
        <v>94</v>
      </c>
      <c r="F70" s="9" t="s">
        <v>178</v>
      </c>
      <c r="H70" s="11">
        <v>12.2</v>
      </c>
      <c r="I70" s="14">
        <v>11.456261211366733</v>
      </c>
      <c r="J70" s="14">
        <v>10.947345763682705</v>
      </c>
      <c r="K70" s="11">
        <v>10.8</v>
      </c>
      <c r="L70" s="14">
        <v>11</v>
      </c>
      <c r="M70" s="11">
        <v>11.4</v>
      </c>
      <c r="N70" s="9">
        <v>11</v>
      </c>
      <c r="O70" s="9">
        <v>11.3</v>
      </c>
      <c r="P70" s="9">
        <v>12.8</v>
      </c>
      <c r="Q70" s="9">
        <v>12.746129869178008</v>
      </c>
      <c r="R70" s="9">
        <v>11.7</v>
      </c>
      <c r="S70" s="9">
        <v>11.784593634702301</v>
      </c>
      <c r="T70" s="9">
        <v>11.8</v>
      </c>
      <c r="U70" s="9">
        <v>11.4</v>
      </c>
      <c r="V70" s="9">
        <v>11.16</v>
      </c>
      <c r="W70" s="9">
        <v>11.3</v>
      </c>
      <c r="X70" s="9">
        <v>11.518231326722733</v>
      </c>
      <c r="Y70" s="145">
        <v>12.204212256885413</v>
      </c>
    </row>
    <row r="71" spans="1:89" ht="12.95" customHeight="1" x14ac:dyDescent="0.2">
      <c r="C71" s="158" t="str">
        <f>VLOOKUP(94,Textbausteine_405[],Hilfsgrössen!$D$2,FALSE)</f>
        <v>30–39</v>
      </c>
      <c r="D71" s="1" t="str">
        <f>VLOOKUP(11,Textbausteine_405[],Hilfsgrössen!$D$2,FALSE)</f>
        <v>% der Personen</v>
      </c>
      <c r="E71" s="9" t="s">
        <v>94</v>
      </c>
      <c r="F71" s="9" t="s">
        <v>178</v>
      </c>
      <c r="H71" s="11">
        <v>29.8</v>
      </c>
      <c r="I71" s="14">
        <v>28.273228971641984</v>
      </c>
      <c r="J71" s="14">
        <v>26.617106492079223</v>
      </c>
      <c r="K71" s="11">
        <v>25.5</v>
      </c>
      <c r="L71" s="11">
        <v>24.3</v>
      </c>
      <c r="M71" s="14">
        <v>23</v>
      </c>
      <c r="N71" s="9">
        <v>21.7</v>
      </c>
      <c r="O71" s="9">
        <v>20.3</v>
      </c>
      <c r="P71" s="9">
        <v>18.600000000000001</v>
      </c>
      <c r="Q71" s="9">
        <v>18.596085994914251</v>
      </c>
      <c r="R71" s="9">
        <v>17.7</v>
      </c>
      <c r="S71" s="9">
        <v>17.344919140719298</v>
      </c>
      <c r="T71" s="9">
        <v>17.2</v>
      </c>
      <c r="U71" s="9">
        <v>17.2</v>
      </c>
      <c r="V71" s="9">
        <v>17.420000000000002</v>
      </c>
      <c r="W71" s="9">
        <v>17.5</v>
      </c>
      <c r="X71" s="9">
        <v>18.115914773323425</v>
      </c>
      <c r="Y71" s="145">
        <v>18.846617345432207</v>
      </c>
    </row>
    <row r="72" spans="1:89" ht="12.95" customHeight="1" x14ac:dyDescent="0.2">
      <c r="C72" s="158" t="str">
        <f>VLOOKUP(95,Textbausteine_405[],Hilfsgrössen!$D$2,FALSE)</f>
        <v>40–49</v>
      </c>
      <c r="D72" s="1" t="str">
        <f>VLOOKUP(11,Textbausteine_405[],Hilfsgrössen!$D$2,FALSE)</f>
        <v>% der Personen</v>
      </c>
      <c r="E72" s="9" t="s">
        <v>94</v>
      </c>
      <c r="F72" s="11" t="s">
        <v>178</v>
      </c>
      <c r="G72" s="303"/>
      <c r="H72" s="11">
        <v>30.9</v>
      </c>
      <c r="I72" s="14">
        <v>31.863644294578354</v>
      </c>
      <c r="J72" s="14">
        <v>32.641711619999484</v>
      </c>
      <c r="K72" s="11">
        <v>33.200000000000003</v>
      </c>
      <c r="L72" s="11">
        <v>33.200000000000003</v>
      </c>
      <c r="M72" s="11">
        <v>33.4</v>
      </c>
      <c r="N72" s="9">
        <v>33.6</v>
      </c>
      <c r="O72" s="9">
        <v>33.6</v>
      </c>
      <c r="P72" s="9">
        <v>33.299999999999997</v>
      </c>
      <c r="Q72" s="9">
        <v>33.341698738199248</v>
      </c>
      <c r="R72" s="9">
        <v>31.9</v>
      </c>
      <c r="S72" s="9">
        <v>30.374297438019401</v>
      </c>
      <c r="T72" s="9">
        <v>29</v>
      </c>
      <c r="U72" s="9">
        <v>27.9</v>
      </c>
      <c r="V72" s="9">
        <v>26.81</v>
      </c>
      <c r="W72" s="9">
        <v>25.4</v>
      </c>
      <c r="X72" s="9">
        <v>24.183851433345083</v>
      </c>
      <c r="Y72" s="145">
        <v>22.897662428871286</v>
      </c>
    </row>
    <row r="73" spans="1:89" ht="12.95" customHeight="1" x14ac:dyDescent="0.2">
      <c r="C73" s="158" t="str">
        <f>VLOOKUP(96,Textbausteine_405[],Hilfsgrössen!$D$2,FALSE)</f>
        <v>50–59</v>
      </c>
      <c r="D73" s="1" t="str">
        <f>VLOOKUP(11,Textbausteine_405[],Hilfsgrössen!$D$2,FALSE)</f>
        <v>% der Personen</v>
      </c>
      <c r="E73" s="9" t="s">
        <v>94</v>
      </c>
      <c r="F73" s="9" t="s">
        <v>178</v>
      </c>
      <c r="H73" s="11">
        <v>22.8</v>
      </c>
      <c r="I73" s="14">
        <v>23.920360332101513</v>
      </c>
      <c r="J73" s="14">
        <v>24.948244699802391</v>
      </c>
      <c r="K73" s="11">
        <v>26.1</v>
      </c>
      <c r="L73" s="11">
        <v>26.5</v>
      </c>
      <c r="M73" s="11">
        <v>26.7</v>
      </c>
      <c r="N73" s="9">
        <v>26.5</v>
      </c>
      <c r="O73" s="9">
        <v>26.9</v>
      </c>
      <c r="P73" s="9">
        <v>28.4</v>
      </c>
      <c r="Q73" s="9">
        <v>28.424184389991645</v>
      </c>
      <c r="R73" s="9">
        <v>29.9</v>
      </c>
      <c r="S73" s="9">
        <v>30.6625633598841</v>
      </c>
      <c r="T73" s="9">
        <v>31.4</v>
      </c>
      <c r="U73" s="9">
        <v>32.1</v>
      </c>
      <c r="V73" s="9">
        <v>32.74</v>
      </c>
      <c r="W73" s="9">
        <v>33.4</v>
      </c>
      <c r="X73" s="9">
        <v>33.92695591580275</v>
      </c>
      <c r="Y73" s="145">
        <v>33.901964070518112</v>
      </c>
    </row>
    <row r="74" spans="1:89" ht="12.95" customHeight="1" x14ac:dyDescent="0.2">
      <c r="C74" s="158" t="str">
        <f>VLOOKUP(97,Textbausteine_405[],Hilfsgrössen!$D$2,FALSE)</f>
        <v>60 und älter</v>
      </c>
      <c r="D74" s="1" t="str">
        <f>VLOOKUP(11,Textbausteine_405[],Hilfsgrössen!$D$2,FALSE)</f>
        <v>% der Personen</v>
      </c>
      <c r="E74" s="9" t="s">
        <v>94</v>
      </c>
      <c r="F74" s="9" t="s">
        <v>178</v>
      </c>
      <c r="H74" s="11">
        <v>3.5</v>
      </c>
      <c r="I74" s="14">
        <v>3.7279727888489176</v>
      </c>
      <c r="J74" s="14">
        <v>4.1229521775503466</v>
      </c>
      <c r="K74" s="11">
        <v>3.7</v>
      </c>
      <c r="L74" s="11">
        <v>4.3</v>
      </c>
      <c r="M74" s="11">
        <v>4.9000000000000004</v>
      </c>
      <c r="N74" s="9">
        <v>6.6</v>
      </c>
      <c r="O74" s="9">
        <v>7.2</v>
      </c>
      <c r="P74" s="9">
        <v>6.2</v>
      </c>
      <c r="Q74" s="9">
        <v>6.1504483454346666</v>
      </c>
      <c r="R74" s="9">
        <v>8.3000000000000007</v>
      </c>
      <c r="S74" s="9">
        <v>9.1777869728630108</v>
      </c>
      <c r="T74" s="9">
        <v>10</v>
      </c>
      <c r="U74" s="9">
        <v>10.9</v>
      </c>
      <c r="V74" s="9">
        <v>11.32</v>
      </c>
      <c r="W74" s="9">
        <v>11.79</v>
      </c>
      <c r="X74" s="9">
        <v>11.712234260522202</v>
      </c>
      <c r="Y74" s="145">
        <v>11.645757017102824</v>
      </c>
    </row>
    <row r="75" spans="1:89" ht="12.95" customHeight="1" x14ac:dyDescent="0.2">
      <c r="C75" s="116" t="str">
        <f>VLOOKUP(98,Textbausteine_405[],Hilfsgrössen!$D$2,FALSE)</f>
        <v>Durchschnittsalter</v>
      </c>
      <c r="D75" s="1" t="str">
        <f>VLOOKUP(13,Textbausteine_405[],Hilfsgrössen!$D$2,FALSE)</f>
        <v>Jahre</v>
      </c>
      <c r="E75" s="9" t="s">
        <v>94</v>
      </c>
      <c r="F75" s="11" t="s">
        <v>178</v>
      </c>
      <c r="G75" s="303"/>
      <c r="H75" s="11">
        <v>41.9</v>
      </c>
      <c r="I75" s="14">
        <v>42.3</v>
      </c>
      <c r="J75" s="14">
        <v>42.7</v>
      </c>
      <c r="K75" s="11">
        <v>42.9</v>
      </c>
      <c r="L75" s="11">
        <v>43.2</v>
      </c>
      <c r="M75" s="11">
        <v>43.4</v>
      </c>
      <c r="N75" s="9">
        <v>44.2</v>
      </c>
      <c r="O75" s="9">
        <v>44.4</v>
      </c>
      <c r="P75" s="9">
        <v>44.7</v>
      </c>
      <c r="Q75" s="9">
        <v>44.8</v>
      </c>
      <c r="R75" s="9">
        <v>45.1</v>
      </c>
      <c r="S75" s="9">
        <v>45.3</v>
      </c>
      <c r="T75" s="9">
        <v>45.6</v>
      </c>
      <c r="U75" s="9">
        <v>46</v>
      </c>
      <c r="V75" s="9">
        <v>46.1</v>
      </c>
      <c r="W75" s="9">
        <v>46.1</v>
      </c>
      <c r="X75" s="9">
        <v>45.958331397779503</v>
      </c>
      <c r="Y75" s="145">
        <v>45.848130020374199</v>
      </c>
    </row>
    <row r="76" spans="1:89" ht="12.95" customHeight="1" x14ac:dyDescent="0.2">
      <c r="C76" s="158"/>
      <c r="H76" s="49"/>
      <c r="I76" s="49"/>
      <c r="J76" s="49"/>
      <c r="K76" s="49"/>
      <c r="L76" s="49"/>
      <c r="M76" s="49"/>
      <c r="T76" s="9"/>
      <c r="U76" s="9"/>
      <c r="V76" s="9"/>
      <c r="W76" s="9"/>
      <c r="X76" s="9"/>
      <c r="Y76" s="9"/>
    </row>
    <row r="77" spans="1:89" ht="12.95" customHeight="1" x14ac:dyDescent="0.25">
      <c r="B77" s="302" t="str">
        <f>VLOOKUP(141,Textbausteine_405[],Hilfsgrössen!$D$2,FALSE)</f>
        <v>1) Jahresdurchschnittswerte</v>
      </c>
      <c r="H77" s="49"/>
      <c r="I77" s="49"/>
      <c r="J77" s="49"/>
      <c r="K77" s="49"/>
      <c r="L77" s="49"/>
      <c r="M77" s="49"/>
      <c r="T77" s="9"/>
      <c r="U77" s="9"/>
      <c r="V77" s="9"/>
      <c r="W77" s="9"/>
      <c r="X77" s="9"/>
      <c r="Y77" s="9"/>
    </row>
    <row r="78" spans="1:89" ht="12.95" customHeight="1" x14ac:dyDescent="0.25">
      <c r="B78" s="302" t="str">
        <f>VLOOKUP(142,Textbausteine_405[],Hilfsgrössen!$D$2,FALSE)</f>
        <v>2)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H78" s="49"/>
      <c r="I78" s="49"/>
      <c r="J78" s="49"/>
      <c r="K78" s="49"/>
      <c r="L78" s="49"/>
      <c r="M78" s="49"/>
      <c r="T78" s="9"/>
      <c r="U78" s="9"/>
      <c r="V78" s="9"/>
      <c r="W78" s="9"/>
      <c r="X78" s="9"/>
      <c r="Y78" s="9"/>
    </row>
    <row r="79" spans="1:89" ht="12.95" customHeight="1" x14ac:dyDescent="0.25">
      <c r="B79" s="302" t="str">
        <f>VLOOKUP(143,Textbausteine_405[],Hilfsgrössen!$D$2,FALSE)</f>
        <v>3) ohne Lernpersonal</v>
      </c>
      <c r="H79" s="49"/>
      <c r="I79" s="49"/>
      <c r="J79" s="49"/>
      <c r="K79" s="49"/>
      <c r="L79" s="49"/>
      <c r="M79" s="49"/>
      <c r="T79" s="9"/>
      <c r="U79" s="9"/>
      <c r="V79" s="9"/>
      <c r="W79" s="9"/>
      <c r="X79" s="9"/>
      <c r="Y79" s="9"/>
    </row>
    <row r="80" spans="1:89" ht="12.95" customHeight="1" x14ac:dyDescent="0.2">
      <c r="H80" s="49"/>
      <c r="I80" s="49"/>
      <c r="J80" s="49"/>
      <c r="K80" s="49"/>
      <c r="L80" s="49"/>
      <c r="M80" s="49"/>
      <c r="T80" s="9"/>
      <c r="U80" s="9"/>
      <c r="V80" s="9"/>
      <c r="W80" s="9"/>
      <c r="X80" s="9"/>
      <c r="Y80" s="9"/>
    </row>
    <row r="81" spans="5:25" ht="12.95" customHeight="1" x14ac:dyDescent="0.2">
      <c r="H81" s="49"/>
      <c r="I81" s="49"/>
      <c r="J81" s="49"/>
      <c r="K81" s="49"/>
      <c r="L81" s="49"/>
      <c r="M81" s="49"/>
      <c r="T81" s="9"/>
      <c r="U81" s="9"/>
      <c r="V81" s="9"/>
      <c r="W81" s="9"/>
      <c r="X81" s="9"/>
      <c r="Y81" s="9"/>
    </row>
    <row r="82" spans="5:25" ht="12.95" customHeight="1" x14ac:dyDescent="0.2">
      <c r="E82" s="11"/>
      <c r="T82" s="9"/>
      <c r="U82" s="9"/>
      <c r="V82" s="9"/>
      <c r="W82" s="9"/>
      <c r="X82" s="9"/>
      <c r="Y82" s="9"/>
    </row>
    <row r="83" spans="5:25" ht="12.95" customHeight="1" x14ac:dyDescent="0.2">
      <c r="E83" s="11"/>
      <c r="T83" s="9"/>
      <c r="U83" s="9"/>
      <c r="V83" s="9"/>
      <c r="W83" s="9"/>
      <c r="X83" s="9"/>
      <c r="Y83" s="9"/>
    </row>
    <row r="84" spans="5:25" ht="12.95" customHeight="1" x14ac:dyDescent="0.2">
      <c r="E84" s="11"/>
      <c r="T84" s="9"/>
      <c r="U84" s="9"/>
      <c r="V84" s="9"/>
      <c r="W84" s="9"/>
      <c r="X84" s="9"/>
      <c r="Y84" s="9"/>
    </row>
    <row r="85" spans="5:25" ht="12.95" customHeight="1" x14ac:dyDescent="0.2">
      <c r="T85" s="9"/>
      <c r="U85" s="9"/>
      <c r="V85" s="9"/>
      <c r="W85" s="9"/>
      <c r="X85" s="9"/>
      <c r="Y85" s="9"/>
    </row>
    <row r="86" spans="5:25" ht="12.95" customHeight="1" x14ac:dyDescent="0.2">
      <c r="T86" s="9"/>
      <c r="U86" s="9"/>
      <c r="V86" s="9"/>
      <c r="W86" s="9"/>
      <c r="X86" s="9"/>
      <c r="Y86" s="9"/>
    </row>
    <row r="87" spans="5:25" ht="12.95" customHeight="1" x14ac:dyDescent="0.2">
      <c r="E87" s="29"/>
      <c r="F87" s="29"/>
      <c r="G87" s="35"/>
      <c r="H87" s="51"/>
      <c r="I87" s="51"/>
      <c r="J87" s="51"/>
      <c r="K87" s="51"/>
      <c r="L87" s="51"/>
      <c r="M87" s="51"/>
      <c r="T87" s="9"/>
      <c r="U87" s="9"/>
      <c r="V87" s="9"/>
      <c r="W87" s="9"/>
      <c r="X87" s="9"/>
      <c r="Y87" s="9"/>
    </row>
    <row r="88" spans="5:25" ht="12.95" customHeight="1" x14ac:dyDescent="0.2">
      <c r="E88" s="29"/>
      <c r="F88" s="29"/>
      <c r="G88" s="35"/>
      <c r="H88" s="51"/>
      <c r="I88" s="51"/>
      <c r="J88" s="51"/>
      <c r="K88" s="51"/>
      <c r="L88" s="51"/>
      <c r="M88" s="51"/>
      <c r="T88" s="9"/>
      <c r="U88" s="9"/>
      <c r="V88" s="9"/>
      <c r="W88" s="9"/>
      <c r="X88" s="9"/>
      <c r="Y88" s="9"/>
    </row>
    <row r="89" spans="5:25" ht="12.95" customHeight="1" x14ac:dyDescent="0.2">
      <c r="E89" s="29"/>
      <c r="F89" s="29"/>
      <c r="G89" s="35"/>
      <c r="H89" s="51"/>
      <c r="I89" s="51"/>
      <c r="J89" s="51"/>
      <c r="K89" s="51"/>
      <c r="L89" s="51"/>
      <c r="M89" s="51"/>
      <c r="T89" s="9"/>
      <c r="U89" s="9"/>
      <c r="V89" s="9"/>
      <c r="W89" s="9"/>
      <c r="X89" s="9"/>
      <c r="Y89" s="9"/>
    </row>
    <row r="90" spans="5:25" ht="12.95" customHeight="1" x14ac:dyDescent="0.2">
      <c r="E90" s="29"/>
      <c r="F90" s="29"/>
      <c r="G90" s="35"/>
      <c r="H90" s="72"/>
      <c r="I90" s="72"/>
      <c r="J90" s="72"/>
      <c r="K90" s="72"/>
      <c r="L90" s="72"/>
      <c r="M90" s="72"/>
    </row>
    <row r="91" spans="5:25" ht="12.95" customHeight="1" x14ac:dyDescent="0.2">
      <c r="E91" s="29"/>
      <c r="F91" s="29"/>
      <c r="G91" s="35"/>
      <c r="H91" s="73"/>
      <c r="I91" s="73"/>
      <c r="J91" s="73"/>
      <c r="K91" s="73"/>
      <c r="L91" s="73"/>
      <c r="M91" s="73"/>
    </row>
    <row r="92" spans="5:25" ht="12.95" customHeight="1" x14ac:dyDescent="0.25">
      <c r="E92" s="30"/>
      <c r="F92" s="30"/>
      <c r="G92" s="36"/>
    </row>
    <row r="94" spans="5:25" ht="12.95" customHeight="1" x14ac:dyDescent="0.2">
      <c r="H94" s="304"/>
      <c r="I94" s="304"/>
      <c r="J94" s="304"/>
      <c r="K94" s="304"/>
      <c r="L94" s="304"/>
      <c r="M94" s="304"/>
    </row>
    <row r="95" spans="5:25" ht="12.95" customHeight="1" x14ac:dyDescent="0.2">
      <c r="H95" s="304"/>
      <c r="I95" s="304"/>
      <c r="J95" s="304"/>
      <c r="K95" s="304"/>
      <c r="L95" s="304"/>
      <c r="M95" s="304"/>
    </row>
    <row r="96" spans="5:25" ht="12.95" customHeight="1" x14ac:dyDescent="0.2">
      <c r="E96" s="28"/>
      <c r="F96" s="28"/>
      <c r="G96" s="33"/>
      <c r="H96" s="304"/>
      <c r="I96" s="304"/>
      <c r="J96" s="304"/>
      <c r="K96" s="304"/>
      <c r="L96" s="304"/>
      <c r="M96" s="304"/>
    </row>
    <row r="97" spans="5:25" ht="12.95" customHeight="1" x14ac:dyDescent="0.2">
      <c r="E97" s="28"/>
      <c r="F97" s="28"/>
      <c r="G97" s="33"/>
      <c r="H97" s="304"/>
      <c r="I97" s="304"/>
      <c r="J97" s="304"/>
      <c r="K97" s="304"/>
      <c r="L97" s="304"/>
      <c r="M97" s="304"/>
    </row>
    <row r="98" spans="5:25" ht="12.95" customHeight="1" x14ac:dyDescent="0.2">
      <c r="E98" s="11"/>
      <c r="H98" s="51"/>
      <c r="I98" s="51"/>
      <c r="J98" s="51"/>
      <c r="K98" s="51"/>
      <c r="L98" s="51"/>
      <c r="M98" s="51"/>
      <c r="T98" s="75"/>
      <c r="U98" s="75"/>
      <c r="V98" s="75"/>
      <c r="W98" s="75"/>
      <c r="X98" s="75"/>
      <c r="Y98" s="75"/>
    </row>
    <row r="99" spans="5:25" ht="12.95" customHeight="1" x14ac:dyDescent="0.2">
      <c r="E99" s="28"/>
      <c r="F99" s="28"/>
      <c r="G99" s="33"/>
      <c r="H99" s="51"/>
      <c r="I99" s="51"/>
      <c r="J99" s="51"/>
      <c r="K99" s="51"/>
      <c r="L99" s="51"/>
      <c r="M99" s="51"/>
      <c r="T99" s="75"/>
      <c r="U99" s="75"/>
      <c r="V99" s="75"/>
      <c r="W99" s="75"/>
      <c r="X99" s="75"/>
      <c r="Y99" s="75"/>
    </row>
    <row r="100" spans="5:25" ht="12.95" customHeight="1" x14ac:dyDescent="0.2">
      <c r="E100" s="11"/>
      <c r="H100" s="51"/>
      <c r="I100" s="51"/>
      <c r="J100" s="51"/>
      <c r="K100" s="51"/>
      <c r="L100" s="51"/>
      <c r="M100" s="51"/>
    </row>
    <row r="101" spans="5:25" ht="12.95" customHeight="1" x14ac:dyDescent="0.2">
      <c r="E101" s="11"/>
      <c r="H101" s="72"/>
      <c r="I101" s="72"/>
      <c r="J101" s="72"/>
      <c r="K101" s="72"/>
      <c r="L101" s="72"/>
      <c r="M101" s="72"/>
      <c r="T101" s="9"/>
      <c r="U101" s="9"/>
      <c r="V101" s="9"/>
      <c r="W101" s="9"/>
      <c r="X101" s="9"/>
      <c r="Y101" s="9"/>
    </row>
    <row r="102" spans="5:25" ht="12.95" customHeight="1" x14ac:dyDescent="0.2">
      <c r="E102" s="11"/>
      <c r="H102" s="72"/>
      <c r="I102" s="72"/>
      <c r="J102" s="72"/>
      <c r="K102" s="72"/>
      <c r="L102" s="72"/>
      <c r="M102" s="72"/>
      <c r="T102" s="9"/>
      <c r="U102" s="9"/>
      <c r="V102" s="9"/>
      <c r="W102" s="9"/>
      <c r="X102" s="9"/>
      <c r="Y102" s="9"/>
    </row>
    <row r="103" spans="5:25" ht="12.95" customHeight="1" x14ac:dyDescent="0.2">
      <c r="E103" s="11"/>
      <c r="T103" s="9"/>
      <c r="U103" s="9"/>
      <c r="V103" s="9"/>
      <c r="W103" s="9"/>
      <c r="X103" s="9"/>
      <c r="Y103" s="9"/>
    </row>
    <row r="104" spans="5:25" ht="12.95" customHeight="1" x14ac:dyDescent="0.2">
      <c r="E104" s="31"/>
      <c r="F104" s="31"/>
      <c r="T104" s="9"/>
      <c r="U104" s="9"/>
      <c r="V104" s="9"/>
      <c r="W104" s="9"/>
      <c r="X104" s="9"/>
      <c r="Y104" s="9"/>
    </row>
    <row r="105" spans="5:25" ht="12.95" customHeight="1" x14ac:dyDescent="0.2">
      <c r="E105" s="31"/>
      <c r="F105" s="31"/>
      <c r="T105" s="9"/>
      <c r="U105" s="9"/>
      <c r="V105" s="9"/>
      <c r="W105" s="9"/>
      <c r="X105" s="9"/>
      <c r="Y105" s="9"/>
    </row>
    <row r="106" spans="5:25" ht="12.95" customHeight="1" x14ac:dyDescent="0.2">
      <c r="E106" s="31"/>
      <c r="F106" s="31"/>
      <c r="H106" s="304"/>
      <c r="I106" s="304"/>
      <c r="J106" s="304"/>
      <c r="K106" s="304"/>
      <c r="L106" s="304"/>
      <c r="M106" s="304"/>
      <c r="T106" s="9"/>
      <c r="U106" s="9"/>
      <c r="V106" s="9"/>
      <c r="W106" s="9"/>
      <c r="X106" s="9"/>
      <c r="Y106" s="9"/>
    </row>
    <row r="107" spans="5:25" ht="12.95" customHeight="1" x14ac:dyDescent="0.2">
      <c r="H107" s="304"/>
      <c r="I107" s="304"/>
      <c r="J107" s="304"/>
      <c r="K107" s="304"/>
      <c r="L107" s="304"/>
      <c r="M107" s="304"/>
      <c r="T107" s="9"/>
      <c r="U107" s="9"/>
      <c r="V107" s="9"/>
      <c r="W107" s="9"/>
      <c r="X107" s="9"/>
      <c r="Y107" s="9"/>
    </row>
    <row r="108" spans="5:25" ht="12.95" customHeight="1" x14ac:dyDescent="0.2">
      <c r="H108" s="304"/>
      <c r="I108" s="304"/>
      <c r="J108" s="304"/>
      <c r="K108" s="304"/>
      <c r="L108" s="304"/>
      <c r="M108" s="304"/>
      <c r="T108" s="9"/>
      <c r="U108" s="9"/>
      <c r="V108" s="9"/>
      <c r="W108" s="9"/>
      <c r="X108" s="9"/>
      <c r="Y108" s="9"/>
    </row>
    <row r="109" spans="5:25" ht="12.95" customHeight="1" x14ac:dyDescent="0.2">
      <c r="H109" s="304"/>
      <c r="I109" s="304"/>
      <c r="J109" s="304"/>
      <c r="K109" s="304"/>
      <c r="L109" s="304"/>
      <c r="M109" s="304"/>
      <c r="T109" s="75"/>
      <c r="U109" s="75"/>
      <c r="V109" s="75"/>
      <c r="W109" s="75"/>
      <c r="X109" s="75"/>
      <c r="Y109" s="75"/>
    </row>
    <row r="110" spans="5:25" ht="12.95" customHeight="1" x14ac:dyDescent="0.2">
      <c r="H110" s="304"/>
      <c r="I110" s="304"/>
      <c r="J110" s="304"/>
      <c r="K110" s="304"/>
      <c r="L110" s="304"/>
      <c r="M110" s="304"/>
      <c r="T110" s="75"/>
      <c r="U110" s="75"/>
      <c r="V110" s="75"/>
      <c r="W110" s="75"/>
      <c r="X110" s="75"/>
      <c r="Y110" s="75"/>
    </row>
    <row r="111" spans="5:25" ht="12.95" customHeight="1" x14ac:dyDescent="0.2">
      <c r="H111" s="304"/>
      <c r="I111" s="304"/>
      <c r="J111" s="304"/>
      <c r="K111" s="304"/>
      <c r="L111" s="304"/>
      <c r="M111" s="304"/>
    </row>
    <row r="112" spans="5:25" ht="12.95" customHeight="1" x14ac:dyDescent="0.2">
      <c r="H112" s="304"/>
      <c r="I112" s="304"/>
      <c r="J112" s="304"/>
      <c r="K112" s="304"/>
      <c r="L112" s="304"/>
      <c r="M112" s="304"/>
    </row>
    <row r="113" spans="8:25" ht="12.95" customHeight="1" x14ac:dyDescent="0.2">
      <c r="H113" s="304"/>
      <c r="I113" s="304"/>
      <c r="J113" s="304"/>
      <c r="K113" s="304"/>
      <c r="L113" s="304"/>
      <c r="M113" s="304"/>
    </row>
    <row r="114" spans="8:25" ht="12.95" customHeight="1" x14ac:dyDescent="0.2">
      <c r="H114" s="304"/>
      <c r="I114" s="304"/>
      <c r="J114" s="304"/>
      <c r="K114" s="304"/>
      <c r="L114" s="304"/>
      <c r="M114" s="304"/>
      <c r="T114" s="9"/>
      <c r="U114" s="9"/>
      <c r="V114" s="9"/>
      <c r="W114" s="9"/>
      <c r="X114" s="9"/>
      <c r="Y114" s="9"/>
    </row>
    <row r="115" spans="8:25" ht="12.95" customHeight="1" x14ac:dyDescent="0.2">
      <c r="H115" s="304"/>
      <c r="I115" s="304"/>
      <c r="J115" s="304"/>
      <c r="K115" s="304"/>
      <c r="L115" s="304"/>
      <c r="M115" s="304"/>
      <c r="T115" s="9"/>
      <c r="U115" s="9"/>
      <c r="V115" s="9"/>
      <c r="W115" s="9"/>
      <c r="X115" s="9"/>
      <c r="Y115" s="9"/>
    </row>
    <row r="116" spans="8:25" ht="12.95" customHeight="1" x14ac:dyDescent="0.2">
      <c r="H116" s="304"/>
      <c r="I116" s="304"/>
      <c r="J116" s="304"/>
      <c r="K116" s="304"/>
      <c r="L116" s="304"/>
      <c r="M116" s="304"/>
      <c r="T116" s="9"/>
      <c r="U116" s="9"/>
      <c r="V116" s="9"/>
      <c r="W116" s="9"/>
      <c r="X116" s="9"/>
      <c r="Y116" s="9"/>
    </row>
    <row r="117" spans="8:25" ht="12.95" customHeight="1" x14ac:dyDescent="0.2">
      <c r="H117" s="304"/>
      <c r="I117" s="304"/>
      <c r="J117" s="304"/>
      <c r="K117" s="304"/>
      <c r="L117" s="304"/>
      <c r="M117" s="304"/>
      <c r="T117" s="9"/>
      <c r="U117" s="9"/>
      <c r="V117" s="9"/>
      <c r="W117" s="9"/>
      <c r="X117" s="9"/>
      <c r="Y117" s="9"/>
    </row>
    <row r="118" spans="8:25" ht="12.95" customHeight="1" x14ac:dyDescent="0.2">
      <c r="H118" s="304"/>
      <c r="I118" s="304"/>
      <c r="J118" s="304"/>
      <c r="K118" s="304"/>
      <c r="L118" s="304"/>
      <c r="M118" s="304"/>
      <c r="T118" s="9"/>
      <c r="U118" s="9"/>
      <c r="V118" s="9"/>
      <c r="W118" s="9"/>
      <c r="X118" s="9"/>
      <c r="Y118" s="9"/>
    </row>
    <row r="119" spans="8:25" ht="12.95" customHeight="1" x14ac:dyDescent="0.2">
      <c r="H119" s="304"/>
      <c r="I119" s="304"/>
      <c r="J119" s="304"/>
      <c r="K119" s="304"/>
      <c r="L119" s="304"/>
      <c r="M119" s="304"/>
      <c r="T119" s="9"/>
      <c r="U119" s="9"/>
      <c r="V119" s="9"/>
      <c r="W119" s="9"/>
      <c r="X119" s="9"/>
      <c r="Y119" s="9"/>
    </row>
    <row r="120" spans="8:25" ht="12.95" customHeight="1" x14ac:dyDescent="0.2">
      <c r="H120" s="304"/>
      <c r="I120" s="304"/>
      <c r="J120" s="304"/>
      <c r="K120" s="304"/>
      <c r="L120" s="304"/>
      <c r="M120" s="304"/>
      <c r="T120" s="9"/>
      <c r="U120" s="9"/>
      <c r="V120" s="9"/>
      <c r="W120" s="9"/>
      <c r="X120" s="9"/>
      <c r="Y120" s="9"/>
    </row>
    <row r="121" spans="8:25" ht="12.95" customHeight="1" x14ac:dyDescent="0.2">
      <c r="H121" s="304"/>
      <c r="I121" s="304"/>
      <c r="J121" s="304"/>
      <c r="K121" s="304"/>
      <c r="L121" s="304"/>
      <c r="M121" s="304"/>
      <c r="T121" s="9"/>
      <c r="U121" s="9"/>
      <c r="V121" s="9"/>
      <c r="W121" s="9"/>
      <c r="X121" s="9"/>
      <c r="Y121" s="9"/>
    </row>
    <row r="122" spans="8:25" ht="12.95" customHeight="1" x14ac:dyDescent="0.2">
      <c r="H122" s="304"/>
      <c r="I122" s="304"/>
      <c r="J122" s="304"/>
      <c r="K122" s="304"/>
      <c r="L122" s="304"/>
      <c r="M122" s="304"/>
      <c r="T122" s="9"/>
      <c r="U122" s="9"/>
      <c r="V122" s="9"/>
      <c r="W122" s="9"/>
      <c r="X122" s="9"/>
      <c r="Y122" s="9"/>
    </row>
    <row r="123" spans="8:25" ht="12.95" customHeight="1" x14ac:dyDescent="0.2">
      <c r="H123" s="304"/>
      <c r="I123" s="304"/>
      <c r="J123" s="304"/>
      <c r="K123" s="304"/>
      <c r="L123" s="304"/>
      <c r="M123" s="304"/>
      <c r="T123" s="9"/>
      <c r="U123" s="9"/>
      <c r="V123" s="9"/>
      <c r="W123" s="9"/>
      <c r="X123" s="9"/>
      <c r="Y123" s="9"/>
    </row>
    <row r="124" spans="8:25" ht="12.95" customHeight="1" x14ac:dyDescent="0.2">
      <c r="T124" s="9"/>
      <c r="U124" s="9"/>
      <c r="V124" s="9"/>
      <c r="W124" s="9"/>
      <c r="X124" s="9"/>
      <c r="Y124" s="9"/>
    </row>
    <row r="125" spans="8:25" ht="12.95" customHeight="1" x14ac:dyDescent="0.2">
      <c r="T125" s="9"/>
      <c r="U125" s="9"/>
      <c r="V125" s="9"/>
      <c r="W125" s="9"/>
      <c r="X125" s="9"/>
      <c r="Y125" s="9"/>
    </row>
    <row r="126" spans="8:25" ht="12.95" customHeight="1" x14ac:dyDescent="0.2">
      <c r="T126" s="9"/>
      <c r="U126" s="9"/>
      <c r="V126" s="9"/>
      <c r="W126" s="9"/>
      <c r="X126" s="9"/>
      <c r="Y126" s="9"/>
    </row>
    <row r="127" spans="8:25" ht="12.95" customHeight="1" x14ac:dyDescent="0.2">
      <c r="T127" s="9"/>
      <c r="U127" s="9"/>
      <c r="V127" s="9"/>
      <c r="W127" s="9"/>
      <c r="X127" s="9"/>
      <c r="Y127" s="9"/>
    </row>
    <row r="128" spans="8:25" ht="12.95" customHeight="1" x14ac:dyDescent="0.2">
      <c r="T128" s="9"/>
      <c r="U128" s="9"/>
      <c r="V128" s="9"/>
      <c r="W128" s="9"/>
      <c r="X128" s="9"/>
      <c r="Y128" s="9"/>
    </row>
    <row r="129" spans="7:25" ht="12.95" customHeight="1" x14ac:dyDescent="0.2">
      <c r="T129" s="9"/>
      <c r="U129" s="9"/>
      <c r="V129" s="9"/>
      <c r="W129" s="9"/>
      <c r="X129" s="9"/>
      <c r="Y129" s="9"/>
    </row>
    <row r="130" spans="7:25" ht="12.95" customHeight="1" x14ac:dyDescent="0.2">
      <c r="H130" s="72"/>
      <c r="I130" s="72"/>
      <c r="J130" s="72"/>
      <c r="K130" s="72"/>
      <c r="L130" s="72"/>
      <c r="M130" s="72"/>
      <c r="T130" s="9"/>
      <c r="U130" s="9"/>
      <c r="V130" s="9"/>
      <c r="W130" s="9"/>
      <c r="X130" s="9"/>
      <c r="Y130" s="9"/>
    </row>
    <row r="131" spans="7:25" ht="12.95" customHeight="1" x14ac:dyDescent="0.2">
      <c r="H131" s="72"/>
      <c r="I131" s="72"/>
      <c r="J131" s="72"/>
      <c r="K131" s="72"/>
      <c r="L131" s="72"/>
      <c r="M131" s="72"/>
      <c r="T131" s="9"/>
      <c r="U131" s="9"/>
      <c r="V131" s="9"/>
      <c r="W131" s="9"/>
      <c r="X131" s="9"/>
      <c r="Y131" s="9"/>
    </row>
    <row r="133" spans="7:25" ht="12.95" customHeight="1" x14ac:dyDescent="0.2">
      <c r="H133" s="7"/>
      <c r="I133" s="7"/>
      <c r="J133" s="7"/>
      <c r="K133" s="7"/>
      <c r="L133" s="7"/>
      <c r="M133" s="7"/>
    </row>
    <row r="134" spans="7:25" ht="12.95" customHeight="1" x14ac:dyDescent="0.2">
      <c r="G134" s="33"/>
    </row>
    <row r="135" spans="7:25" ht="12.95" customHeight="1" x14ac:dyDescent="0.2">
      <c r="G135" s="33"/>
    </row>
    <row r="137" spans="7:25" ht="12.95" customHeight="1" x14ac:dyDescent="0.2">
      <c r="G137" s="33"/>
    </row>
    <row r="138" spans="7:25" ht="12.95" customHeight="1" x14ac:dyDescent="0.2">
      <c r="T138" s="75"/>
      <c r="U138" s="75"/>
      <c r="V138" s="75"/>
      <c r="W138" s="75"/>
      <c r="X138" s="75"/>
      <c r="Y138" s="75"/>
    </row>
    <row r="139" spans="7:25" ht="12.95" customHeight="1" x14ac:dyDescent="0.2">
      <c r="T139" s="75"/>
      <c r="U139" s="75"/>
      <c r="V139" s="75"/>
      <c r="W139" s="75"/>
      <c r="X139" s="75"/>
      <c r="Y139" s="75"/>
    </row>
    <row r="142" spans="7:25" ht="12.95" customHeight="1" x14ac:dyDescent="0.2">
      <c r="G142" s="37"/>
    </row>
    <row r="143" spans="7:25" ht="12.95" customHeight="1" x14ac:dyDescent="0.2">
      <c r="G143" s="37"/>
      <c r="T143" s="88"/>
      <c r="U143" s="88"/>
      <c r="V143" s="88"/>
      <c r="W143" s="88"/>
      <c r="X143" s="88"/>
      <c r="Y143" s="88"/>
    </row>
    <row r="144" spans="7:25" ht="12.95" customHeight="1" x14ac:dyDescent="0.2">
      <c r="G144" s="37"/>
      <c r="T144" s="88"/>
      <c r="U144" s="88"/>
      <c r="V144" s="88"/>
      <c r="W144" s="88"/>
      <c r="X144" s="88"/>
      <c r="Y144" s="88"/>
    </row>
    <row r="145" spans="8:25" ht="12.95" customHeight="1" x14ac:dyDescent="0.2">
      <c r="T145" s="88"/>
      <c r="U145" s="88"/>
      <c r="V145" s="88"/>
      <c r="W145" s="88"/>
      <c r="X145" s="88"/>
      <c r="Y145" s="88"/>
    </row>
    <row r="146" spans="8:25" ht="12.95" customHeight="1" x14ac:dyDescent="0.2">
      <c r="T146" s="88"/>
      <c r="U146" s="88"/>
      <c r="V146" s="88"/>
      <c r="W146" s="88"/>
      <c r="X146" s="88"/>
      <c r="Y146" s="88"/>
    </row>
    <row r="147" spans="8:25" ht="12.95" customHeight="1" x14ac:dyDescent="0.2">
      <c r="T147" s="88"/>
      <c r="U147" s="88"/>
      <c r="V147" s="88"/>
      <c r="W147" s="88"/>
      <c r="X147" s="88"/>
      <c r="Y147" s="88"/>
    </row>
    <row r="148" spans="8:25" ht="12.95" customHeight="1" x14ac:dyDescent="0.2">
      <c r="T148" s="88"/>
      <c r="U148" s="88"/>
      <c r="V148" s="88"/>
      <c r="W148" s="88"/>
      <c r="X148" s="88"/>
      <c r="Y148" s="88"/>
    </row>
    <row r="149" spans="8:25" ht="12.95" customHeight="1" x14ac:dyDescent="0.2">
      <c r="T149" s="88"/>
      <c r="U149" s="88"/>
      <c r="V149" s="88"/>
      <c r="W149" s="88"/>
      <c r="X149" s="88"/>
      <c r="Y149" s="88"/>
    </row>
    <row r="150" spans="8:25" ht="12.95" customHeight="1" x14ac:dyDescent="0.2">
      <c r="T150" s="88"/>
      <c r="U150" s="88"/>
      <c r="V150" s="88"/>
      <c r="W150" s="88"/>
      <c r="X150" s="88"/>
      <c r="Y150" s="88"/>
    </row>
    <row r="152" spans="8:25" ht="12.95" customHeight="1" x14ac:dyDescent="0.2">
      <c r="H152" s="72"/>
      <c r="I152" s="72"/>
      <c r="J152" s="72"/>
      <c r="K152" s="72"/>
      <c r="L152" s="72"/>
      <c r="M152" s="72"/>
    </row>
    <row r="153" spans="8:25" ht="12.95" customHeight="1" x14ac:dyDescent="0.2">
      <c r="H153" s="73"/>
      <c r="I153" s="73"/>
      <c r="J153" s="73"/>
      <c r="K153" s="73"/>
      <c r="L153" s="73"/>
      <c r="M153" s="73"/>
    </row>
    <row r="156" spans="8:25" ht="12.95" customHeight="1" x14ac:dyDescent="0.2">
      <c r="H156" s="304"/>
      <c r="I156" s="304"/>
      <c r="J156" s="304"/>
      <c r="K156" s="304"/>
      <c r="L156" s="304"/>
      <c r="M156" s="304"/>
    </row>
    <row r="157" spans="8:25" ht="12.95" customHeight="1" x14ac:dyDescent="0.2">
      <c r="H157" s="304"/>
      <c r="I157" s="304"/>
      <c r="J157" s="304"/>
      <c r="K157" s="304"/>
      <c r="L157" s="304"/>
      <c r="M157" s="304"/>
    </row>
    <row r="158" spans="8:25" ht="12.95" customHeight="1" x14ac:dyDescent="0.2">
      <c r="H158" s="304"/>
      <c r="I158" s="304"/>
      <c r="J158" s="304"/>
      <c r="K158" s="304"/>
      <c r="L158" s="304"/>
      <c r="M158" s="304"/>
    </row>
  </sheetData>
  <sheetProtection algorithmName="SHA-512" hashValue="o+S3U6EEExTRWERkah4+2Rg5lmXjQyuXD9aT07Ia68ikYu15JEksPrLEE1W/3nf9V9TfrGj6HcntAkBM0j4KMw==" saltValue="TWULnUfwKXYMAlCJkzKyBw==" spinCount="100000" sheet="1" objects="1" scenarios="1"/>
  <mergeCells count="7">
    <mergeCell ref="D2:E2"/>
    <mergeCell ref="B29:C30"/>
    <mergeCell ref="B64:C65"/>
    <mergeCell ref="B44:C45"/>
    <mergeCell ref="B2:C2"/>
    <mergeCell ref="B3:C3"/>
    <mergeCell ref="B13:C14"/>
  </mergeCells>
  <conditionalFormatting sqref="H13:CE16 H19:X21 I18 H23:CE32 J22:X22 H17:X17 Z17:CE22 H38:CE47 H33:X37 Z33:CE37 H58:CE68 H48:X57 Z48:CE57 H76:CE10002 H69:X75 Z69:CE75">
    <cfRule type="expression" dxfId="124" priority="46">
      <formula>AND($D13&lt;&gt;"",H$13&lt;&gt;"",H13="")</formula>
    </cfRule>
    <cfRule type="expression" dxfId="123" priority="47">
      <formula>AND($A13="",ABS(H13)=0)</formula>
    </cfRule>
    <cfRule type="expression" dxfId="122" priority="48">
      <formula>AND($A13="",ABS(H13)&lt;10)</formula>
    </cfRule>
    <cfRule type="expression" dxfId="121" priority="49">
      <formula>AND($A13="",ABS(H13)&lt;100)</formula>
    </cfRule>
    <cfRule type="expression" dxfId="120" priority="50">
      <formula>AND($A13="",ABS(H13)&gt;=100)</formula>
    </cfRule>
  </conditionalFormatting>
  <conditionalFormatting sqref="Y69:Y75">
    <cfRule type="expression" dxfId="119" priority="11">
      <formula>AND($D69&lt;&gt;"",Y$13&lt;&gt;"",Y69="")</formula>
    </cfRule>
    <cfRule type="expression" dxfId="118" priority="12">
      <formula>AND($A69="",ABS(Y69)=0)</formula>
    </cfRule>
    <cfRule type="expression" dxfId="117" priority="13">
      <formula>AND($A69="",ABS(Y69)&lt;10)</formula>
    </cfRule>
    <cfRule type="expression" dxfId="116" priority="14">
      <formula>AND($A69="",ABS(Y69)&lt;100)</formula>
    </cfRule>
    <cfRule type="expression" dxfId="115" priority="15">
      <formula>AND($A69="",ABS(Y69)&gt;=100)</formula>
    </cfRule>
  </conditionalFormatting>
  <conditionalFormatting sqref="Y17 Y19:Y22">
    <cfRule type="expression" dxfId="114" priority="31">
      <formula>AND($D17&lt;&gt;"",Y$13&lt;&gt;"",Y17="")</formula>
    </cfRule>
    <cfRule type="expression" dxfId="113" priority="32">
      <formula>AND($A17="",ABS(Y17)=0)</formula>
    </cfRule>
    <cfRule type="expression" dxfId="112" priority="33">
      <formula>AND($A17="",ABS(Y17)&lt;10)</formula>
    </cfRule>
    <cfRule type="expression" dxfId="111" priority="34">
      <formula>AND($A17="",ABS(Y17)&lt;100)</formula>
    </cfRule>
    <cfRule type="expression" dxfId="110" priority="35">
      <formula>AND($A17="",ABS(Y17)&gt;=100)</formula>
    </cfRule>
  </conditionalFormatting>
  <conditionalFormatting sqref="Y18">
    <cfRule type="expression" dxfId="109" priority="26">
      <formula>AND($D18&lt;&gt;"",Y$13&lt;&gt;"",Y18="")</formula>
    </cfRule>
    <cfRule type="expression" dxfId="108" priority="27">
      <formula>AND($A18="",ABS(Y18)=0)</formula>
    </cfRule>
    <cfRule type="expression" dxfId="107" priority="28">
      <formula>AND($A18="",ABS(Y18)&lt;10)</formula>
    </cfRule>
    <cfRule type="expression" dxfId="106" priority="29">
      <formula>AND($A18="",ABS(Y18)&lt;100)</formula>
    </cfRule>
    <cfRule type="expression" dxfId="105" priority="30">
      <formula>AND($A18="",ABS(Y18)&gt;=100)</formula>
    </cfRule>
  </conditionalFormatting>
  <conditionalFormatting sqref="Y33:Y36">
    <cfRule type="expression" dxfId="104" priority="21">
      <formula>AND($D33&lt;&gt;"",Y$13&lt;&gt;"",Y33="")</formula>
    </cfRule>
    <cfRule type="expression" dxfId="103" priority="22">
      <formula>AND($A33="",ABS(Y33)=0)</formula>
    </cfRule>
    <cfRule type="expression" dxfId="102" priority="23">
      <formula>AND($A33="",ABS(Y33)&lt;10)</formula>
    </cfRule>
    <cfRule type="expression" dxfId="101" priority="24">
      <formula>AND($A33="",ABS(Y33)&lt;100)</formula>
    </cfRule>
    <cfRule type="expression" dxfId="100" priority="25">
      <formula>AND($A33="",ABS(Y33)&gt;=100)</formula>
    </cfRule>
  </conditionalFormatting>
  <conditionalFormatting sqref="Y48:Y52 Y54:Y57">
    <cfRule type="expression" dxfId="99" priority="16">
      <formula>AND($D48&lt;&gt;"",Y$13&lt;&gt;"",Y48="")</formula>
    </cfRule>
    <cfRule type="expression" dxfId="98" priority="17">
      <formula>AND($A48="",ABS(Y48)=0)</formula>
    </cfRule>
    <cfRule type="expression" dxfId="97" priority="18">
      <formula>AND($A48="",ABS(Y48)&lt;10)</formula>
    </cfRule>
    <cfRule type="expression" dxfId="96" priority="19">
      <formula>AND($A48="",ABS(Y48)&lt;100)</formula>
    </cfRule>
    <cfRule type="expression" dxfId="95" priority="20">
      <formula>AND($A48="",ABS(Y48)&gt;=100)</formula>
    </cfRule>
  </conditionalFormatting>
  <conditionalFormatting sqref="Y53">
    <cfRule type="expression" dxfId="94" priority="6">
      <formula>AND($D53&lt;&gt;"",Y$13&lt;&gt;"",Y53="")</formula>
    </cfRule>
    <cfRule type="expression" dxfId="93" priority="7">
      <formula>AND($A53="",ABS(Y53)=0)</formula>
    </cfRule>
    <cfRule type="expression" dxfId="92" priority="8">
      <formula>AND($A53="",ABS(Y53)&lt;10)</formula>
    </cfRule>
    <cfRule type="expression" dxfId="91" priority="9">
      <formula>AND($A53="",ABS(Y53)&lt;100)</formula>
    </cfRule>
    <cfRule type="expression" dxfId="90" priority="10">
      <formula>AND($A53="",ABS(Y53)&gt;=100)</formula>
    </cfRule>
  </conditionalFormatting>
  <conditionalFormatting sqref="Y37">
    <cfRule type="expression" dxfId="89" priority="1">
      <formula>AND($D37&lt;&gt;"",Y$13&lt;&gt;"",Y37="")</formula>
    </cfRule>
    <cfRule type="expression" dxfId="88" priority="2">
      <formula>AND($A37="",ABS(Y37)=0)</formula>
    </cfRule>
    <cfRule type="expression" dxfId="87" priority="3">
      <formula>AND($A37="",ABS(Y37)&lt;10)</formula>
    </cfRule>
    <cfRule type="expression" dxfId="86" priority="4">
      <formula>AND($A37="",ABS(Y37)&lt;100)</formula>
    </cfRule>
    <cfRule type="expression" dxfId="85" priority="5">
      <formula>AND($A37="",ABS(Y37)&gt;=100)</formula>
    </cfRule>
  </conditionalFormatting>
  <dataValidations count="2">
    <dataValidation type="list" allowBlank="1" showInputMessage="1" showErrorMessage="1" sqref="G2" xr:uid="{00000000-0002-0000-0A00-000000000000}">
      <formula1>Sprache</formula1>
    </dataValidation>
    <dataValidation allowBlank="1" showInputMessage="1" showErrorMessage="1" sqref="F2" xr:uid="{A321F5E9-2C10-4AC9-A515-8150E866176E}"/>
  </dataValidations>
  <hyperlinks>
    <hyperlink ref="A13" location="GRI_405" display="Ó" xr:uid="{00000000-0004-0000-0A00-000000000000}"/>
    <hyperlink ref="D2" location="Home" display="Home" xr:uid="{00000000-0004-0000-0A00-000001000000}"/>
    <hyperlink ref="A29" location="GRI_405" display="Ó" xr:uid="{00000000-0004-0000-0A00-000002000000}"/>
    <hyperlink ref="A64" location="GRI_405" display="Ó" xr:uid="{00000000-0004-0000-0A00-000003000000}"/>
    <hyperlink ref="A44" location="GRI_405" display="Ó" xr:uid="{00000000-0004-0000-0A00-000004000000}"/>
    <hyperlink ref="C7" location="GRI_405_1" display="GRI_405_1" xr:uid="{00000000-0004-0000-0A00-000005000000}"/>
    <hyperlink ref="C8" location="GRI_405_1b" display="GRI_405_1b" xr:uid="{00000000-0004-0000-0A00-000006000000}"/>
    <hyperlink ref="C9" location="GRI_405_1c" display="GRI_405_1c" xr:uid="{00000000-0004-0000-0A00-000007000000}"/>
    <hyperlink ref="C10" location="GRI_405_1d" display="GRI_405_1d" xr:uid="{00000000-0004-0000-0A00-000008000000}"/>
  </hyperlinks>
  <pageMargins left="0.7" right="0.7" top="0.78740157499999996" bottom="0.78740157499999996" header="0.3" footer="0.3"/>
  <pageSetup paperSize="9" orientation="portrait" r:id="rId1"/>
  <ignoredErrors>
    <ignoredError sqref="E17:E19 E69:E75 E48:E57 E33:E37" twoDigitTextYea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5">
    <tabColor theme="3"/>
  </sheetPr>
  <dimension ref="A1:D5"/>
  <sheetViews>
    <sheetView showRowColHeaders="0" workbookViewId="0">
      <selection activeCell="C36" sqref="C36"/>
    </sheetView>
  </sheetViews>
  <sheetFormatPr baseColWidth="10" defaultColWidth="11.42578125" defaultRowHeight="12.75" x14ac:dyDescent="0.2"/>
  <cols>
    <col min="2" max="2" width="11.85546875" customWidth="1"/>
    <col min="4" max="4" width="18.5703125" customWidth="1"/>
  </cols>
  <sheetData>
    <row r="1" spans="1:4" x14ac:dyDescent="0.2">
      <c r="A1" t="s">
        <v>179</v>
      </c>
      <c r="B1" t="s">
        <v>180</v>
      </c>
      <c r="D1" t="s">
        <v>181</v>
      </c>
    </row>
    <row r="2" spans="1:4" x14ac:dyDescent="0.2">
      <c r="A2" t="s">
        <v>0</v>
      </c>
      <c r="B2">
        <v>2</v>
      </c>
      <c r="D2">
        <f>VLOOKUP(Inhaltsverzeichnis!$F$2,Sprachen[],2,FALSE)</f>
        <v>2</v>
      </c>
    </row>
    <row r="3" spans="1:4" x14ac:dyDescent="0.2">
      <c r="A3" t="s">
        <v>182</v>
      </c>
      <c r="B3">
        <v>3</v>
      </c>
    </row>
    <row r="4" spans="1:4" x14ac:dyDescent="0.2">
      <c r="A4" t="s">
        <v>183</v>
      </c>
      <c r="B4">
        <v>4</v>
      </c>
    </row>
    <row r="5" spans="1:4" x14ac:dyDescent="0.2">
      <c r="A5" t="s">
        <v>184</v>
      </c>
      <c r="B5">
        <v>5</v>
      </c>
    </row>
  </sheetData>
  <sheetProtection algorithmName="SHA-512" hashValue="9u+GAv6YCuarEW82+OU3dhT6UoBFHg5VVlicFyHbOEOqhgkJ4/aX97QEI4QdCxVmBO5dCwJJJ4SDUalFMfwVZg==" saltValue="gkfY38ofHWMw1zrVU7pxhw==" spinCount="100000" sheet="1" objects="1" scenarios="1"/>
  <dataValidations count="1">
    <dataValidation allowBlank="1" showInputMessage="1" showErrorMessage="1" sqref="F2" xr:uid="{00000000-0002-0000-0B00-000000000000}"/>
  </dataValidations>
  <pageMargins left="0.7" right="0.7" top="0.78740157499999996" bottom="0.78740157499999996" header="0.3" footer="0.3"/>
  <pageSetup paperSize="9" orientation="portrait" r:id="rId1"/>
  <tableParts count="2">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6">
    <tabColor theme="3"/>
  </sheetPr>
  <dimension ref="A1:BS347"/>
  <sheetViews>
    <sheetView showRowColHeaders="0" workbookViewId="0">
      <selection activeCell="C17" sqref="C17"/>
    </sheetView>
  </sheetViews>
  <sheetFormatPr baseColWidth="10" defaultColWidth="11.42578125" defaultRowHeight="12.75" x14ac:dyDescent="0.2"/>
  <cols>
    <col min="2" max="5" width="31.7109375" customWidth="1"/>
    <col min="8" max="11" width="27.85546875" customWidth="1"/>
    <col min="20" max="23" width="21.7109375" customWidth="1"/>
    <col min="38" max="41" width="16.28515625" customWidth="1"/>
  </cols>
  <sheetData>
    <row r="1" spans="1:71" x14ac:dyDescent="0.2">
      <c r="A1" t="s">
        <v>185</v>
      </c>
      <c r="B1" t="s">
        <v>0</v>
      </c>
      <c r="C1" t="s">
        <v>182</v>
      </c>
      <c r="D1" t="s">
        <v>183</v>
      </c>
      <c r="E1" t="s">
        <v>184</v>
      </c>
      <c r="G1" t="s">
        <v>185</v>
      </c>
      <c r="H1" t="s">
        <v>0</v>
      </c>
      <c r="I1" t="s">
        <v>182</v>
      </c>
      <c r="J1" t="s">
        <v>183</v>
      </c>
      <c r="K1" t="s">
        <v>184</v>
      </c>
      <c r="M1" t="s">
        <v>185</v>
      </c>
      <c r="N1" t="s">
        <v>0</v>
      </c>
      <c r="O1" t="s">
        <v>182</v>
      </c>
      <c r="P1" t="s">
        <v>183</v>
      </c>
      <c r="Q1" t="s">
        <v>184</v>
      </c>
      <c r="S1" t="s">
        <v>185</v>
      </c>
      <c r="T1" t="s">
        <v>0</v>
      </c>
      <c r="U1" t="s">
        <v>182</v>
      </c>
      <c r="V1" t="s">
        <v>183</v>
      </c>
      <c r="W1" t="s">
        <v>184</v>
      </c>
      <c r="Y1" t="s">
        <v>185</v>
      </c>
      <c r="Z1" t="s">
        <v>0</v>
      </c>
      <c r="AA1" t="s">
        <v>182</v>
      </c>
      <c r="AB1" t="s">
        <v>183</v>
      </c>
      <c r="AC1" t="s">
        <v>184</v>
      </c>
      <c r="AE1" t="s">
        <v>185</v>
      </c>
      <c r="AF1" t="s">
        <v>0</v>
      </c>
      <c r="AG1" t="s">
        <v>182</v>
      </c>
      <c r="AH1" t="s">
        <v>183</v>
      </c>
      <c r="AI1" t="s">
        <v>184</v>
      </c>
      <c r="AK1" t="s">
        <v>185</v>
      </c>
      <c r="AL1" t="s">
        <v>0</v>
      </c>
      <c r="AM1" t="s">
        <v>182</v>
      </c>
      <c r="AN1" t="s">
        <v>183</v>
      </c>
      <c r="AO1" t="s">
        <v>184</v>
      </c>
      <c r="AQ1" t="s">
        <v>185</v>
      </c>
      <c r="AR1" t="s">
        <v>0</v>
      </c>
      <c r="AS1" t="s">
        <v>182</v>
      </c>
      <c r="AT1" t="s">
        <v>183</v>
      </c>
      <c r="AU1" t="s">
        <v>184</v>
      </c>
      <c r="AW1" t="s">
        <v>185</v>
      </c>
      <c r="AX1" t="s">
        <v>0</v>
      </c>
      <c r="AY1" t="s">
        <v>182</v>
      </c>
      <c r="AZ1" t="s">
        <v>183</v>
      </c>
      <c r="BA1" t="s">
        <v>184</v>
      </c>
      <c r="BC1" t="s">
        <v>185</v>
      </c>
      <c r="BD1" t="s">
        <v>0</v>
      </c>
      <c r="BE1" t="s">
        <v>182</v>
      </c>
      <c r="BF1" t="s">
        <v>183</v>
      </c>
      <c r="BG1" t="s">
        <v>184</v>
      </c>
      <c r="BH1" t="s">
        <v>186</v>
      </c>
      <c r="BI1" t="s">
        <v>185</v>
      </c>
      <c r="BJ1" t="s">
        <v>0</v>
      </c>
      <c r="BK1" t="s">
        <v>182</v>
      </c>
      <c r="BL1" t="s">
        <v>183</v>
      </c>
      <c r="BM1" t="s">
        <v>184</v>
      </c>
      <c r="BO1" t="s">
        <v>185</v>
      </c>
      <c r="BP1" t="s">
        <v>0</v>
      </c>
      <c r="BQ1" t="s">
        <v>182</v>
      </c>
      <c r="BR1" t="s">
        <v>183</v>
      </c>
      <c r="BS1" t="s">
        <v>184</v>
      </c>
    </row>
    <row r="2" spans="1:71" x14ac:dyDescent="0.2">
      <c r="A2">
        <f t="shared" ref="A2:A8" si="0">ROW()-1</f>
        <v>1</v>
      </c>
      <c r="B2" t="s">
        <v>187</v>
      </c>
      <c r="C2" t="s">
        <v>188</v>
      </c>
      <c r="D2" t="s">
        <v>189</v>
      </c>
      <c r="E2" t="s">
        <v>190</v>
      </c>
      <c r="G2">
        <f>ROW()-1</f>
        <v>1</v>
      </c>
      <c r="H2" t="s">
        <v>191</v>
      </c>
      <c r="I2" t="s">
        <v>192</v>
      </c>
      <c r="J2" t="s">
        <v>193</v>
      </c>
      <c r="K2" t="s">
        <v>194</v>
      </c>
      <c r="M2">
        <f>ROW()-1</f>
        <v>1</v>
      </c>
      <c r="N2" t="s">
        <v>195</v>
      </c>
      <c r="O2" t="s">
        <v>196</v>
      </c>
      <c r="P2" t="s">
        <v>197</v>
      </c>
      <c r="Q2" t="s">
        <v>198</v>
      </c>
      <c r="S2">
        <f>ROW()-1</f>
        <v>1</v>
      </c>
      <c r="T2" t="s">
        <v>199</v>
      </c>
      <c r="U2" t="s">
        <v>200</v>
      </c>
      <c r="V2" t="s">
        <v>201</v>
      </c>
      <c r="W2" t="s">
        <v>202</v>
      </c>
      <c r="Y2">
        <f>ROW()-1</f>
        <v>1</v>
      </c>
      <c r="Z2" t="s">
        <v>203</v>
      </c>
      <c r="AA2" t="s">
        <v>204</v>
      </c>
      <c r="AB2" t="s">
        <v>205</v>
      </c>
      <c r="AC2" t="s">
        <v>206</v>
      </c>
      <c r="AE2">
        <f>ROW()-1</f>
        <v>1</v>
      </c>
      <c r="AF2" t="s">
        <v>207</v>
      </c>
      <c r="AG2" t="s">
        <v>208</v>
      </c>
      <c r="AH2" t="s">
        <v>209</v>
      </c>
      <c r="AI2" t="s">
        <v>210</v>
      </c>
      <c r="AK2">
        <f>ROW()-1</f>
        <v>1</v>
      </c>
      <c r="AL2" t="s">
        <v>211</v>
      </c>
      <c r="AM2" t="s">
        <v>212</v>
      </c>
      <c r="AN2" t="s">
        <v>213</v>
      </c>
      <c r="AO2" t="s">
        <v>214</v>
      </c>
      <c r="AQ2">
        <f>ROW()-1</f>
        <v>1</v>
      </c>
      <c r="AR2" t="s">
        <v>215</v>
      </c>
      <c r="AS2" t="s">
        <v>216</v>
      </c>
      <c r="AT2" t="s">
        <v>217</v>
      </c>
      <c r="AU2" t="s">
        <v>218</v>
      </c>
      <c r="AW2">
        <f>ROW()-1</f>
        <v>1</v>
      </c>
      <c r="AX2" t="s">
        <v>219</v>
      </c>
      <c r="AY2" t="s">
        <v>220</v>
      </c>
      <c r="AZ2" t="s">
        <v>221</v>
      </c>
      <c r="BA2" t="s">
        <v>222</v>
      </c>
      <c r="BC2">
        <f>ROW()-1</f>
        <v>1</v>
      </c>
      <c r="BD2" t="s">
        <v>223</v>
      </c>
      <c r="BE2" t="s">
        <v>224</v>
      </c>
      <c r="BF2" t="s">
        <v>225</v>
      </c>
      <c r="BG2" t="s">
        <v>226</v>
      </c>
      <c r="BI2">
        <f>ROW()-1</f>
        <v>1</v>
      </c>
      <c r="BJ2" t="s">
        <v>227</v>
      </c>
      <c r="BK2" t="s">
        <v>228</v>
      </c>
      <c r="BL2" t="s">
        <v>229</v>
      </c>
      <c r="BM2" t="s">
        <v>230</v>
      </c>
      <c r="BO2">
        <f>ROW()-1</f>
        <v>1</v>
      </c>
      <c r="BP2" t="s">
        <v>231</v>
      </c>
      <c r="BQ2" t="s">
        <v>232</v>
      </c>
      <c r="BR2" t="s">
        <v>233</v>
      </c>
      <c r="BS2" t="s">
        <v>234</v>
      </c>
    </row>
    <row r="3" spans="1:71" x14ac:dyDescent="0.2">
      <c r="A3">
        <f t="shared" si="0"/>
        <v>2</v>
      </c>
      <c r="B3" t="s">
        <v>235</v>
      </c>
      <c r="C3" t="s">
        <v>236</v>
      </c>
      <c r="D3" t="s">
        <v>237</v>
      </c>
      <c r="E3" t="s">
        <v>238</v>
      </c>
      <c r="G3">
        <f>ROW()-1</f>
        <v>2</v>
      </c>
      <c r="H3" t="s">
        <v>239</v>
      </c>
      <c r="I3" t="s">
        <v>240</v>
      </c>
      <c r="J3" t="s">
        <v>241</v>
      </c>
      <c r="K3" t="s">
        <v>242</v>
      </c>
      <c r="M3">
        <f t="shared" ref="M3:M66" si="1">ROW()-1</f>
        <v>2</v>
      </c>
      <c r="N3" t="s">
        <v>243</v>
      </c>
      <c r="O3" t="s">
        <v>244</v>
      </c>
      <c r="P3" t="s">
        <v>245</v>
      </c>
      <c r="Q3" t="s">
        <v>246</v>
      </c>
      <c r="S3">
        <f t="shared" ref="S3:S66" si="2">ROW()-1</f>
        <v>2</v>
      </c>
      <c r="T3" t="s">
        <v>247</v>
      </c>
      <c r="U3" t="s">
        <v>248</v>
      </c>
      <c r="V3" t="s">
        <v>249</v>
      </c>
      <c r="W3" t="s">
        <v>250</v>
      </c>
      <c r="Y3">
        <f t="shared" ref="Y3:Y66" si="3">ROW()-1</f>
        <v>2</v>
      </c>
      <c r="AE3">
        <f t="shared" ref="AE3:AE66" si="4">ROW()-1</f>
        <v>2</v>
      </c>
      <c r="AF3" t="s">
        <v>251</v>
      </c>
      <c r="AG3" t="s">
        <v>252</v>
      </c>
      <c r="AH3" t="s">
        <v>253</v>
      </c>
      <c r="AI3" t="s">
        <v>254</v>
      </c>
      <c r="AK3">
        <f t="shared" ref="AK3:AK66" si="5">ROW()-1</f>
        <v>2</v>
      </c>
      <c r="AL3" t="s">
        <v>255</v>
      </c>
      <c r="AM3" t="s">
        <v>256</v>
      </c>
      <c r="AN3" t="s">
        <v>257</v>
      </c>
      <c r="AO3" t="s">
        <v>258</v>
      </c>
      <c r="AQ3">
        <f t="shared" ref="AQ3:AQ66" si="6">ROW()-1</f>
        <v>2</v>
      </c>
      <c r="AR3" t="s">
        <v>259</v>
      </c>
      <c r="AS3" t="s">
        <v>260</v>
      </c>
      <c r="AT3" t="s">
        <v>261</v>
      </c>
      <c r="AU3" t="s">
        <v>262</v>
      </c>
      <c r="AW3">
        <f t="shared" ref="AW3:AW66" si="7">ROW()-1</f>
        <v>2</v>
      </c>
      <c r="AX3" t="s">
        <v>263</v>
      </c>
      <c r="AY3" t="s">
        <v>264</v>
      </c>
      <c r="AZ3" t="s">
        <v>265</v>
      </c>
      <c r="BA3" t="s">
        <v>266</v>
      </c>
      <c r="BC3">
        <f t="shared" ref="BC3:BC66" si="8">ROW()-1</f>
        <v>2</v>
      </c>
      <c r="BI3">
        <f t="shared" ref="BI3:BI66" si="9">ROW()-1</f>
        <v>2</v>
      </c>
      <c r="BJ3" t="s">
        <v>267</v>
      </c>
      <c r="BK3" t="s">
        <v>268</v>
      </c>
      <c r="BL3" t="s">
        <v>269</v>
      </c>
      <c r="BM3" t="s">
        <v>270</v>
      </c>
      <c r="BO3">
        <f t="shared" ref="BO3:BO66" si="10">ROW()-1</f>
        <v>2</v>
      </c>
      <c r="BP3" t="s">
        <v>271</v>
      </c>
      <c r="BQ3" t="s">
        <v>272</v>
      </c>
      <c r="BR3" t="s">
        <v>273</v>
      </c>
      <c r="BS3" t="s">
        <v>274</v>
      </c>
    </row>
    <row r="4" spans="1:71" x14ac:dyDescent="0.2">
      <c r="A4">
        <f t="shared" si="0"/>
        <v>3</v>
      </c>
      <c r="B4" t="s">
        <v>275</v>
      </c>
      <c r="C4" t="s">
        <v>276</v>
      </c>
      <c r="D4" t="s">
        <v>277</v>
      </c>
      <c r="E4" t="s">
        <v>278</v>
      </c>
      <c r="G4">
        <f>ROW()-1</f>
        <v>3</v>
      </c>
      <c r="H4" t="s">
        <v>279</v>
      </c>
      <c r="I4" t="s">
        <v>280</v>
      </c>
      <c r="J4" t="s">
        <v>281</v>
      </c>
      <c r="K4" t="s">
        <v>282</v>
      </c>
      <c r="M4">
        <f t="shared" si="1"/>
        <v>3</v>
      </c>
      <c r="N4" t="s">
        <v>283</v>
      </c>
      <c r="O4" t="s">
        <v>284</v>
      </c>
      <c r="P4" t="s">
        <v>285</v>
      </c>
      <c r="Q4" t="s">
        <v>286</v>
      </c>
      <c r="S4">
        <f t="shared" si="2"/>
        <v>3</v>
      </c>
      <c r="T4" t="s">
        <v>287</v>
      </c>
      <c r="U4" t="s">
        <v>288</v>
      </c>
      <c r="V4" t="s">
        <v>289</v>
      </c>
      <c r="W4" t="s">
        <v>290</v>
      </c>
      <c r="Y4">
        <f t="shared" si="3"/>
        <v>3</v>
      </c>
      <c r="AE4">
        <f t="shared" si="4"/>
        <v>3</v>
      </c>
      <c r="AF4" t="s">
        <v>291</v>
      </c>
      <c r="AG4" t="s">
        <v>292</v>
      </c>
      <c r="AH4" t="s">
        <v>293</v>
      </c>
      <c r="AI4" t="s">
        <v>294</v>
      </c>
      <c r="AK4">
        <f t="shared" si="5"/>
        <v>3</v>
      </c>
      <c r="AQ4">
        <f t="shared" si="6"/>
        <v>3</v>
      </c>
      <c r="AR4" t="s">
        <v>295</v>
      </c>
      <c r="AS4" t="s">
        <v>296</v>
      </c>
      <c r="AT4" t="s">
        <v>297</v>
      </c>
      <c r="AU4" t="s">
        <v>298</v>
      </c>
      <c r="AW4">
        <f t="shared" si="7"/>
        <v>3</v>
      </c>
      <c r="AX4" t="s">
        <v>299</v>
      </c>
      <c r="AY4" t="s">
        <v>300</v>
      </c>
      <c r="AZ4" t="s">
        <v>301</v>
      </c>
      <c r="BA4" t="s">
        <v>302</v>
      </c>
      <c r="BC4">
        <f t="shared" si="8"/>
        <v>3</v>
      </c>
      <c r="BI4">
        <f t="shared" si="9"/>
        <v>3</v>
      </c>
      <c r="BJ4" t="s">
        <v>303</v>
      </c>
      <c r="BK4" t="s">
        <v>304</v>
      </c>
      <c r="BL4" t="s">
        <v>305</v>
      </c>
      <c r="BM4" t="s">
        <v>306</v>
      </c>
      <c r="BO4">
        <f t="shared" si="10"/>
        <v>3</v>
      </c>
      <c r="BP4" t="s">
        <v>307</v>
      </c>
      <c r="BQ4" t="s">
        <v>308</v>
      </c>
      <c r="BR4" t="s">
        <v>309</v>
      </c>
      <c r="BS4" t="s">
        <v>310</v>
      </c>
    </row>
    <row r="5" spans="1:71" x14ac:dyDescent="0.2">
      <c r="A5">
        <f t="shared" si="0"/>
        <v>4</v>
      </c>
      <c r="B5" t="s">
        <v>311</v>
      </c>
      <c r="C5" t="s">
        <v>312</v>
      </c>
      <c r="D5" t="s">
        <v>313</v>
      </c>
      <c r="E5" t="s">
        <v>314</v>
      </c>
      <c r="G5">
        <f>ROW()-1</f>
        <v>4</v>
      </c>
      <c r="H5" t="s">
        <v>315</v>
      </c>
      <c r="I5" t="s">
        <v>316</v>
      </c>
      <c r="J5" t="s">
        <v>317</v>
      </c>
      <c r="K5" t="s">
        <v>318</v>
      </c>
      <c r="M5">
        <f t="shared" si="1"/>
        <v>4</v>
      </c>
      <c r="N5" t="s">
        <v>319</v>
      </c>
      <c r="O5" t="s">
        <v>320</v>
      </c>
      <c r="P5" t="s">
        <v>321</v>
      </c>
      <c r="Q5" t="s">
        <v>322</v>
      </c>
      <c r="S5">
        <f t="shared" si="2"/>
        <v>4</v>
      </c>
      <c r="Y5">
        <f t="shared" si="3"/>
        <v>4</v>
      </c>
      <c r="AE5">
        <f t="shared" si="4"/>
        <v>4</v>
      </c>
      <c r="AF5" t="s">
        <v>323</v>
      </c>
      <c r="AG5" t="s">
        <v>324</v>
      </c>
      <c r="AH5" t="s">
        <v>325</v>
      </c>
      <c r="AI5" t="s">
        <v>326</v>
      </c>
      <c r="AK5">
        <f t="shared" si="5"/>
        <v>4</v>
      </c>
      <c r="AQ5">
        <f t="shared" si="6"/>
        <v>4</v>
      </c>
      <c r="AR5" t="s">
        <v>327</v>
      </c>
      <c r="AS5" t="s">
        <v>328</v>
      </c>
      <c r="AT5" t="s">
        <v>329</v>
      </c>
      <c r="AU5" t="s">
        <v>330</v>
      </c>
      <c r="AW5">
        <f t="shared" si="7"/>
        <v>4</v>
      </c>
      <c r="BC5">
        <f t="shared" si="8"/>
        <v>4</v>
      </c>
      <c r="BI5">
        <f t="shared" si="9"/>
        <v>4</v>
      </c>
      <c r="BO5">
        <f t="shared" si="10"/>
        <v>4</v>
      </c>
      <c r="BP5" t="s">
        <v>331</v>
      </c>
      <c r="BQ5" t="s">
        <v>332</v>
      </c>
      <c r="BR5" t="s">
        <v>333</v>
      </c>
      <c r="BS5" t="s">
        <v>334</v>
      </c>
    </row>
    <row r="6" spans="1:71" x14ac:dyDescent="0.2">
      <c r="A6">
        <f t="shared" si="0"/>
        <v>5</v>
      </c>
      <c r="B6" t="s">
        <v>335</v>
      </c>
      <c r="C6" t="s">
        <v>336</v>
      </c>
      <c r="D6" t="s">
        <v>337</v>
      </c>
      <c r="E6" t="s">
        <v>338</v>
      </c>
      <c r="G6">
        <f t="shared" ref="G6:G8" si="11">ROW()-1</f>
        <v>5</v>
      </c>
      <c r="H6" t="s">
        <v>339</v>
      </c>
      <c r="I6" t="s">
        <v>340</v>
      </c>
      <c r="J6" t="s">
        <v>341</v>
      </c>
      <c r="K6" t="s">
        <v>342</v>
      </c>
      <c r="M6">
        <f t="shared" si="1"/>
        <v>5</v>
      </c>
      <c r="N6" t="s">
        <v>343</v>
      </c>
      <c r="O6" t="s">
        <v>344</v>
      </c>
      <c r="P6" t="s">
        <v>345</v>
      </c>
      <c r="Q6" t="s">
        <v>346</v>
      </c>
      <c r="S6">
        <f t="shared" si="2"/>
        <v>5</v>
      </c>
      <c r="Y6">
        <f t="shared" si="3"/>
        <v>5</v>
      </c>
      <c r="AE6">
        <f t="shared" si="4"/>
        <v>5</v>
      </c>
      <c r="AF6" t="s">
        <v>347</v>
      </c>
      <c r="AG6" t="s">
        <v>348</v>
      </c>
      <c r="AH6" t="s">
        <v>349</v>
      </c>
      <c r="AI6" t="s">
        <v>350</v>
      </c>
      <c r="AK6">
        <f t="shared" si="5"/>
        <v>5</v>
      </c>
      <c r="AQ6">
        <f t="shared" si="6"/>
        <v>5</v>
      </c>
      <c r="AR6" t="s">
        <v>351</v>
      </c>
      <c r="AS6" t="s">
        <v>352</v>
      </c>
      <c r="AT6" t="s">
        <v>353</v>
      </c>
      <c r="AU6" t="s">
        <v>354</v>
      </c>
      <c r="AW6">
        <f t="shared" si="7"/>
        <v>5</v>
      </c>
      <c r="BC6">
        <f t="shared" si="8"/>
        <v>5</v>
      </c>
      <c r="BI6">
        <f t="shared" si="9"/>
        <v>5</v>
      </c>
      <c r="BO6">
        <f t="shared" si="10"/>
        <v>5</v>
      </c>
    </row>
    <row r="7" spans="1:71" x14ac:dyDescent="0.2">
      <c r="A7">
        <f t="shared" si="0"/>
        <v>6</v>
      </c>
      <c r="B7" t="s">
        <v>355</v>
      </c>
      <c r="C7" t="s">
        <v>356</v>
      </c>
      <c r="D7" t="s">
        <v>357</v>
      </c>
      <c r="E7" t="s">
        <v>358</v>
      </c>
      <c r="G7">
        <f t="shared" si="11"/>
        <v>6</v>
      </c>
      <c r="H7" t="s">
        <v>359</v>
      </c>
      <c r="I7" t="s">
        <v>360</v>
      </c>
      <c r="J7" t="s">
        <v>361</v>
      </c>
      <c r="K7" t="s">
        <v>362</v>
      </c>
      <c r="M7">
        <f t="shared" si="1"/>
        <v>6</v>
      </c>
      <c r="N7" t="s">
        <v>363</v>
      </c>
      <c r="O7" t="s">
        <v>364</v>
      </c>
      <c r="P7" t="s">
        <v>365</v>
      </c>
      <c r="Q7" t="s">
        <v>366</v>
      </c>
      <c r="S7">
        <f t="shared" si="2"/>
        <v>6</v>
      </c>
      <c r="Y7">
        <f t="shared" si="3"/>
        <v>6</v>
      </c>
      <c r="AE7">
        <f t="shared" si="4"/>
        <v>6</v>
      </c>
      <c r="AF7" t="s">
        <v>367</v>
      </c>
      <c r="AG7" t="s">
        <v>368</v>
      </c>
      <c r="AH7" t="s">
        <v>369</v>
      </c>
      <c r="AI7" t="s">
        <v>370</v>
      </c>
      <c r="AK7">
        <f t="shared" si="5"/>
        <v>6</v>
      </c>
      <c r="AQ7">
        <f t="shared" si="6"/>
        <v>6</v>
      </c>
      <c r="AW7">
        <f t="shared" si="7"/>
        <v>6</v>
      </c>
      <c r="BC7">
        <f t="shared" si="8"/>
        <v>6</v>
      </c>
      <c r="BI7">
        <f t="shared" si="9"/>
        <v>6</v>
      </c>
      <c r="BO7">
        <f t="shared" si="10"/>
        <v>6</v>
      </c>
    </row>
    <row r="8" spans="1:71" x14ac:dyDescent="0.2">
      <c r="A8">
        <f t="shared" si="0"/>
        <v>7</v>
      </c>
      <c r="B8" t="s">
        <v>371</v>
      </c>
      <c r="C8" t="s">
        <v>3047</v>
      </c>
      <c r="D8" t="s">
        <v>372</v>
      </c>
      <c r="E8" t="s">
        <v>373</v>
      </c>
      <c r="G8">
        <f t="shared" si="11"/>
        <v>7</v>
      </c>
      <c r="H8" t="s">
        <v>374</v>
      </c>
      <c r="I8" t="s">
        <v>375</v>
      </c>
      <c r="J8" t="s">
        <v>376</v>
      </c>
      <c r="K8" t="s">
        <v>377</v>
      </c>
      <c r="M8">
        <f t="shared" si="1"/>
        <v>7</v>
      </c>
      <c r="N8" t="s">
        <v>378</v>
      </c>
      <c r="O8" t="s">
        <v>379</v>
      </c>
      <c r="P8" t="s">
        <v>380</v>
      </c>
      <c r="Q8" t="s">
        <v>381</v>
      </c>
      <c r="S8">
        <f t="shared" si="2"/>
        <v>7</v>
      </c>
      <c r="Y8">
        <f t="shared" si="3"/>
        <v>7</v>
      </c>
      <c r="AE8">
        <f t="shared" si="4"/>
        <v>7</v>
      </c>
      <c r="AF8" t="s">
        <v>382</v>
      </c>
      <c r="AG8" t="s">
        <v>383</v>
      </c>
      <c r="AH8" t="s">
        <v>384</v>
      </c>
      <c r="AI8" t="s">
        <v>385</v>
      </c>
      <c r="AK8">
        <f t="shared" si="5"/>
        <v>7</v>
      </c>
      <c r="AQ8">
        <f t="shared" si="6"/>
        <v>7</v>
      </c>
      <c r="AW8">
        <f t="shared" si="7"/>
        <v>7</v>
      </c>
      <c r="BC8">
        <f t="shared" si="8"/>
        <v>7</v>
      </c>
      <c r="BI8">
        <f t="shared" si="9"/>
        <v>7</v>
      </c>
      <c r="BO8">
        <f t="shared" si="10"/>
        <v>7</v>
      </c>
    </row>
    <row r="9" spans="1:71" x14ac:dyDescent="0.2">
      <c r="A9">
        <f t="shared" ref="A9:A13" si="12">ROW()-1</f>
        <v>8</v>
      </c>
      <c r="B9" t="s">
        <v>386</v>
      </c>
      <c r="C9" t="s">
        <v>387</v>
      </c>
      <c r="D9" t="s">
        <v>388</v>
      </c>
      <c r="E9" t="s">
        <v>389</v>
      </c>
      <c r="G9">
        <f>ROW()-1</f>
        <v>8</v>
      </c>
      <c r="H9" t="s">
        <v>390</v>
      </c>
      <c r="I9" t="s">
        <v>391</v>
      </c>
      <c r="J9" t="s">
        <v>392</v>
      </c>
      <c r="K9" t="s">
        <v>393</v>
      </c>
      <c r="M9">
        <f t="shared" si="1"/>
        <v>8</v>
      </c>
      <c r="N9" t="s">
        <v>394</v>
      </c>
      <c r="O9" t="s">
        <v>395</v>
      </c>
      <c r="P9" t="s">
        <v>396</v>
      </c>
      <c r="Q9" t="s">
        <v>397</v>
      </c>
      <c r="S9">
        <f t="shared" si="2"/>
        <v>8</v>
      </c>
      <c r="Y9">
        <f t="shared" si="3"/>
        <v>8</v>
      </c>
      <c r="AE9">
        <f t="shared" si="4"/>
        <v>8</v>
      </c>
      <c r="AK9">
        <f t="shared" si="5"/>
        <v>8</v>
      </c>
      <c r="AQ9">
        <f t="shared" si="6"/>
        <v>8</v>
      </c>
      <c r="AW9">
        <f t="shared" si="7"/>
        <v>8</v>
      </c>
      <c r="BC9">
        <f t="shared" si="8"/>
        <v>8</v>
      </c>
      <c r="BI9">
        <f t="shared" si="9"/>
        <v>8</v>
      </c>
      <c r="BO9">
        <f t="shared" si="10"/>
        <v>8</v>
      </c>
    </row>
    <row r="10" spans="1:71" x14ac:dyDescent="0.2">
      <c r="A10">
        <f t="shared" si="12"/>
        <v>9</v>
      </c>
      <c r="B10" t="s">
        <v>398</v>
      </c>
      <c r="C10" t="s">
        <v>399</v>
      </c>
      <c r="D10" t="s">
        <v>400</v>
      </c>
      <c r="E10" t="s">
        <v>401</v>
      </c>
      <c r="G10">
        <f t="shared" ref="G10:G14" si="13">ROW()-1</f>
        <v>9</v>
      </c>
      <c r="H10" t="s">
        <v>402</v>
      </c>
      <c r="I10" t="s">
        <v>403</v>
      </c>
      <c r="J10" t="s">
        <v>404</v>
      </c>
      <c r="K10" t="s">
        <v>405</v>
      </c>
      <c r="M10">
        <f t="shared" si="1"/>
        <v>9</v>
      </c>
      <c r="N10" t="s">
        <v>406</v>
      </c>
      <c r="O10" t="s">
        <v>407</v>
      </c>
      <c r="P10" t="s">
        <v>408</v>
      </c>
      <c r="Q10" t="s">
        <v>409</v>
      </c>
      <c r="S10">
        <f t="shared" si="2"/>
        <v>9</v>
      </c>
      <c r="Y10">
        <f t="shared" si="3"/>
        <v>9</v>
      </c>
      <c r="AE10">
        <f t="shared" si="4"/>
        <v>9</v>
      </c>
      <c r="AK10">
        <f t="shared" si="5"/>
        <v>9</v>
      </c>
      <c r="AQ10">
        <f t="shared" si="6"/>
        <v>9</v>
      </c>
      <c r="AW10">
        <f t="shared" si="7"/>
        <v>9</v>
      </c>
      <c r="BC10">
        <f t="shared" si="8"/>
        <v>9</v>
      </c>
      <c r="BI10">
        <f t="shared" si="9"/>
        <v>9</v>
      </c>
      <c r="BO10">
        <f t="shared" si="10"/>
        <v>9</v>
      </c>
    </row>
    <row r="11" spans="1:71" x14ac:dyDescent="0.2">
      <c r="A11">
        <f t="shared" si="12"/>
        <v>10</v>
      </c>
      <c r="B11" t="s">
        <v>410</v>
      </c>
      <c r="C11" t="s">
        <v>411</v>
      </c>
      <c r="D11" t="s">
        <v>412</v>
      </c>
      <c r="E11" t="s">
        <v>413</v>
      </c>
      <c r="G11">
        <f t="shared" si="13"/>
        <v>10</v>
      </c>
      <c r="H11" t="s">
        <v>414</v>
      </c>
      <c r="I11" t="s">
        <v>415</v>
      </c>
      <c r="J11" t="s">
        <v>416</v>
      </c>
      <c r="K11" t="s">
        <v>417</v>
      </c>
      <c r="M11">
        <f t="shared" si="1"/>
        <v>10</v>
      </c>
      <c r="N11" t="s">
        <v>418</v>
      </c>
      <c r="O11" t="s">
        <v>3039</v>
      </c>
      <c r="P11" t="s">
        <v>419</v>
      </c>
      <c r="Q11" t="s">
        <v>420</v>
      </c>
      <c r="S11">
        <f t="shared" si="2"/>
        <v>10</v>
      </c>
      <c r="Y11">
        <f t="shared" si="3"/>
        <v>10</v>
      </c>
      <c r="AE11">
        <f t="shared" si="4"/>
        <v>10</v>
      </c>
      <c r="AK11">
        <f t="shared" si="5"/>
        <v>10</v>
      </c>
      <c r="AQ11">
        <f t="shared" si="6"/>
        <v>10</v>
      </c>
      <c r="AW11">
        <f t="shared" si="7"/>
        <v>10</v>
      </c>
      <c r="BC11">
        <f t="shared" si="8"/>
        <v>10</v>
      </c>
      <c r="BI11">
        <f t="shared" si="9"/>
        <v>10</v>
      </c>
      <c r="BO11">
        <f t="shared" si="10"/>
        <v>10</v>
      </c>
    </row>
    <row r="12" spans="1:71" x14ac:dyDescent="0.2">
      <c r="A12">
        <f t="shared" si="12"/>
        <v>11</v>
      </c>
      <c r="B12" t="s">
        <v>421</v>
      </c>
      <c r="C12" t="s">
        <v>422</v>
      </c>
      <c r="D12" t="s">
        <v>423</v>
      </c>
      <c r="E12" t="s">
        <v>424</v>
      </c>
      <c r="G12">
        <f t="shared" si="13"/>
        <v>11</v>
      </c>
      <c r="H12" t="s">
        <v>425</v>
      </c>
      <c r="I12" t="s">
        <v>426</v>
      </c>
      <c r="J12" t="s">
        <v>427</v>
      </c>
      <c r="K12" t="s">
        <v>428</v>
      </c>
      <c r="M12">
        <f t="shared" si="1"/>
        <v>11</v>
      </c>
      <c r="N12" t="s">
        <v>429</v>
      </c>
      <c r="O12" t="s">
        <v>430</v>
      </c>
      <c r="P12" t="s">
        <v>431</v>
      </c>
      <c r="Q12" t="s">
        <v>432</v>
      </c>
      <c r="S12">
        <f t="shared" si="2"/>
        <v>11</v>
      </c>
      <c r="T12" t="s">
        <v>433</v>
      </c>
      <c r="U12" t="s">
        <v>434</v>
      </c>
      <c r="V12" t="s">
        <v>435</v>
      </c>
      <c r="W12" t="s">
        <v>436</v>
      </c>
      <c r="Y12">
        <f t="shared" si="3"/>
        <v>11</v>
      </c>
      <c r="Z12" t="s">
        <v>437</v>
      </c>
      <c r="AA12" t="s">
        <v>437</v>
      </c>
      <c r="AB12" t="s">
        <v>437</v>
      </c>
      <c r="AC12" t="s">
        <v>437</v>
      </c>
      <c r="AE12">
        <f t="shared" si="4"/>
        <v>11</v>
      </c>
      <c r="AF12" t="s">
        <v>433</v>
      </c>
      <c r="AG12" t="s">
        <v>434</v>
      </c>
      <c r="AH12" t="s">
        <v>435</v>
      </c>
      <c r="AI12" t="s">
        <v>436</v>
      </c>
      <c r="AK12">
        <f t="shared" si="5"/>
        <v>11</v>
      </c>
      <c r="AL12" t="s">
        <v>438</v>
      </c>
      <c r="AM12" t="s">
        <v>438</v>
      </c>
      <c r="AN12" t="s">
        <v>438</v>
      </c>
      <c r="AO12" t="s">
        <v>438</v>
      </c>
      <c r="AQ12">
        <f t="shared" si="6"/>
        <v>11</v>
      </c>
      <c r="AR12" t="s">
        <v>439</v>
      </c>
      <c r="AS12" t="s">
        <v>440</v>
      </c>
      <c r="AT12" t="s">
        <v>441</v>
      </c>
      <c r="AU12" t="s">
        <v>442</v>
      </c>
      <c r="AW12">
        <f t="shared" si="7"/>
        <v>11</v>
      </c>
      <c r="AX12" t="s">
        <v>443</v>
      </c>
      <c r="AY12" t="s">
        <v>444</v>
      </c>
      <c r="AZ12" t="s">
        <v>445</v>
      </c>
      <c r="BA12" t="s">
        <v>446</v>
      </c>
      <c r="BC12">
        <f t="shared" si="8"/>
        <v>11</v>
      </c>
      <c r="BD12" t="s">
        <v>447</v>
      </c>
      <c r="BE12" t="s">
        <v>448</v>
      </c>
      <c r="BF12" t="s">
        <v>449</v>
      </c>
      <c r="BG12" t="s">
        <v>450</v>
      </c>
      <c r="BI12">
        <f t="shared" si="9"/>
        <v>11</v>
      </c>
      <c r="BJ12" t="s">
        <v>451</v>
      </c>
      <c r="BK12" t="s">
        <v>452</v>
      </c>
      <c r="BL12" t="s">
        <v>453</v>
      </c>
      <c r="BM12" t="s">
        <v>366</v>
      </c>
      <c r="BO12">
        <f t="shared" si="10"/>
        <v>11</v>
      </c>
      <c r="BP12" t="s">
        <v>454</v>
      </c>
      <c r="BQ12" t="s">
        <v>455</v>
      </c>
      <c r="BR12" t="s">
        <v>456</v>
      </c>
      <c r="BS12" t="s">
        <v>457</v>
      </c>
    </row>
    <row r="13" spans="1:71" x14ac:dyDescent="0.2">
      <c r="A13">
        <f t="shared" si="12"/>
        <v>12</v>
      </c>
      <c r="B13" t="s">
        <v>458</v>
      </c>
      <c r="C13" t="s">
        <v>459</v>
      </c>
      <c r="D13" t="s">
        <v>460</v>
      </c>
      <c r="E13" t="s">
        <v>461</v>
      </c>
      <c r="G13">
        <f t="shared" si="13"/>
        <v>12</v>
      </c>
      <c r="H13" t="s">
        <v>462</v>
      </c>
      <c r="I13" t="s">
        <v>463</v>
      </c>
      <c r="J13" t="s">
        <v>464</v>
      </c>
      <c r="K13" t="s">
        <v>465</v>
      </c>
      <c r="M13">
        <f t="shared" si="1"/>
        <v>12</v>
      </c>
      <c r="S13">
        <f t="shared" si="2"/>
        <v>12</v>
      </c>
      <c r="T13" t="s">
        <v>164</v>
      </c>
      <c r="U13" t="s">
        <v>164</v>
      </c>
      <c r="V13" t="s">
        <v>164</v>
      </c>
      <c r="W13" t="s">
        <v>164</v>
      </c>
      <c r="Y13">
        <f t="shared" si="3"/>
        <v>12</v>
      </c>
      <c r="Z13" t="s">
        <v>466</v>
      </c>
      <c r="AA13" t="s">
        <v>467</v>
      </c>
      <c r="AB13" t="s">
        <v>468</v>
      </c>
      <c r="AC13" t="s">
        <v>469</v>
      </c>
      <c r="AE13">
        <f t="shared" si="4"/>
        <v>12</v>
      </c>
      <c r="AF13" t="s">
        <v>164</v>
      </c>
      <c r="AG13" t="s">
        <v>164</v>
      </c>
      <c r="AH13" t="s">
        <v>164</v>
      </c>
      <c r="AI13" t="s">
        <v>164</v>
      </c>
      <c r="AK13">
        <f t="shared" si="5"/>
        <v>12</v>
      </c>
      <c r="AL13" t="s">
        <v>164</v>
      </c>
      <c r="AM13" t="s">
        <v>164</v>
      </c>
      <c r="AN13" t="s">
        <v>164</v>
      </c>
      <c r="AO13" t="s">
        <v>164</v>
      </c>
      <c r="AQ13">
        <f t="shared" si="6"/>
        <v>12</v>
      </c>
      <c r="AR13" t="s">
        <v>470</v>
      </c>
      <c r="AS13" t="s">
        <v>471</v>
      </c>
      <c r="AT13" t="s">
        <v>472</v>
      </c>
      <c r="AU13" t="s">
        <v>473</v>
      </c>
      <c r="AW13">
        <f t="shared" si="7"/>
        <v>12</v>
      </c>
      <c r="AX13" t="s">
        <v>474</v>
      </c>
      <c r="AY13" t="s">
        <v>475</v>
      </c>
      <c r="AZ13" t="s">
        <v>476</v>
      </c>
      <c r="BA13" t="s">
        <v>477</v>
      </c>
      <c r="BC13">
        <f t="shared" si="8"/>
        <v>12</v>
      </c>
      <c r="BD13" t="s">
        <v>478</v>
      </c>
      <c r="BE13" t="s">
        <v>479</v>
      </c>
      <c r="BF13" t="s">
        <v>480</v>
      </c>
      <c r="BG13" t="s">
        <v>481</v>
      </c>
      <c r="BI13">
        <f t="shared" si="9"/>
        <v>12</v>
      </c>
      <c r="BJ13" t="s">
        <v>482</v>
      </c>
      <c r="BK13" t="s">
        <v>483</v>
      </c>
      <c r="BL13" t="s">
        <v>484</v>
      </c>
      <c r="BM13" t="s">
        <v>485</v>
      </c>
      <c r="BO13">
        <f t="shared" si="10"/>
        <v>12</v>
      </c>
      <c r="BP13" t="s">
        <v>478</v>
      </c>
      <c r="BQ13" t="s">
        <v>479</v>
      </c>
      <c r="BR13" t="s">
        <v>480</v>
      </c>
      <c r="BS13" t="s">
        <v>481</v>
      </c>
    </row>
    <row r="14" spans="1:71" x14ac:dyDescent="0.2">
      <c r="A14">
        <f t="shared" ref="A14:A17" si="14">ROW()-1</f>
        <v>13</v>
      </c>
      <c r="B14" t="s">
        <v>486</v>
      </c>
      <c r="C14" t="s">
        <v>487</v>
      </c>
      <c r="D14" t="s">
        <v>488</v>
      </c>
      <c r="E14" t="s">
        <v>489</v>
      </c>
      <c r="G14">
        <f t="shared" si="13"/>
        <v>13</v>
      </c>
      <c r="H14" t="s">
        <v>490</v>
      </c>
      <c r="I14" t="s">
        <v>491</v>
      </c>
      <c r="J14" t="s">
        <v>492</v>
      </c>
      <c r="K14" t="s">
        <v>493</v>
      </c>
      <c r="M14">
        <f t="shared" si="1"/>
        <v>13</v>
      </c>
      <c r="S14">
        <f t="shared" si="2"/>
        <v>13</v>
      </c>
      <c r="Y14">
        <f t="shared" si="3"/>
        <v>13</v>
      </c>
      <c r="AE14">
        <f t="shared" si="4"/>
        <v>13</v>
      </c>
      <c r="AF14" t="s">
        <v>478</v>
      </c>
      <c r="AG14" t="s">
        <v>479</v>
      </c>
      <c r="AH14" t="s">
        <v>480</v>
      </c>
      <c r="AI14" t="s">
        <v>481</v>
      </c>
      <c r="AK14">
        <f t="shared" si="5"/>
        <v>13</v>
      </c>
      <c r="AQ14">
        <f t="shared" si="6"/>
        <v>13</v>
      </c>
      <c r="AR14" t="s">
        <v>494</v>
      </c>
      <c r="AS14" t="s">
        <v>495</v>
      </c>
      <c r="AT14" t="s">
        <v>496</v>
      </c>
      <c r="AU14" t="s">
        <v>497</v>
      </c>
      <c r="AW14">
        <f t="shared" si="7"/>
        <v>13</v>
      </c>
      <c r="AX14" t="s">
        <v>164</v>
      </c>
      <c r="AY14" t="s">
        <v>164</v>
      </c>
      <c r="AZ14" t="s">
        <v>164</v>
      </c>
      <c r="BA14" t="s">
        <v>164</v>
      </c>
      <c r="BC14">
        <f t="shared" si="8"/>
        <v>13</v>
      </c>
      <c r="BD14" t="s">
        <v>433</v>
      </c>
      <c r="BE14" t="s">
        <v>434</v>
      </c>
      <c r="BF14" t="s">
        <v>435</v>
      </c>
      <c r="BG14" t="s">
        <v>436</v>
      </c>
      <c r="BI14">
        <f t="shared" si="9"/>
        <v>13</v>
      </c>
      <c r="BJ14" t="s">
        <v>454</v>
      </c>
      <c r="BK14" t="s">
        <v>455</v>
      </c>
      <c r="BL14" t="s">
        <v>456</v>
      </c>
      <c r="BM14" t="s">
        <v>457</v>
      </c>
      <c r="BO14">
        <f t="shared" si="10"/>
        <v>13</v>
      </c>
      <c r="BP14" t="s">
        <v>498</v>
      </c>
      <c r="BQ14" t="s">
        <v>499</v>
      </c>
      <c r="BR14" t="s">
        <v>500</v>
      </c>
      <c r="BS14" t="s">
        <v>501</v>
      </c>
    </row>
    <row r="15" spans="1:71" x14ac:dyDescent="0.2">
      <c r="A15">
        <f t="shared" si="14"/>
        <v>14</v>
      </c>
      <c r="B15" t="s">
        <v>502</v>
      </c>
      <c r="C15" t="s">
        <v>502</v>
      </c>
      <c r="D15" t="s">
        <v>503</v>
      </c>
      <c r="E15" t="s">
        <v>504</v>
      </c>
      <c r="G15">
        <f t="shared" ref="G15:G20" si="15">ROW()-1</f>
        <v>14</v>
      </c>
      <c r="H15" t="s">
        <v>505</v>
      </c>
      <c r="I15" t="s">
        <v>506</v>
      </c>
      <c r="J15" t="s">
        <v>507</v>
      </c>
      <c r="K15" t="s">
        <v>508</v>
      </c>
      <c r="M15">
        <f t="shared" si="1"/>
        <v>14</v>
      </c>
      <c r="S15">
        <f t="shared" si="2"/>
        <v>14</v>
      </c>
      <c r="Y15">
        <f t="shared" si="3"/>
        <v>14</v>
      </c>
      <c r="AE15">
        <f t="shared" si="4"/>
        <v>14</v>
      </c>
      <c r="AF15" t="s">
        <v>509</v>
      </c>
      <c r="AG15" t="s">
        <v>510</v>
      </c>
      <c r="AH15" t="s">
        <v>511</v>
      </c>
      <c r="AI15" t="s">
        <v>512</v>
      </c>
      <c r="AK15">
        <f t="shared" si="5"/>
        <v>14</v>
      </c>
      <c r="AQ15">
        <f t="shared" si="6"/>
        <v>14</v>
      </c>
      <c r="AR15" t="s">
        <v>513</v>
      </c>
      <c r="AS15" t="s">
        <v>514</v>
      </c>
      <c r="AT15" t="s">
        <v>515</v>
      </c>
      <c r="AU15" t="s">
        <v>516</v>
      </c>
      <c r="AW15">
        <f t="shared" si="7"/>
        <v>14</v>
      </c>
      <c r="AX15" t="s">
        <v>517</v>
      </c>
      <c r="AY15" t="s">
        <v>518</v>
      </c>
      <c r="AZ15" t="s">
        <v>518</v>
      </c>
      <c r="BA15" t="s">
        <v>517</v>
      </c>
      <c r="BC15">
        <f t="shared" si="8"/>
        <v>14</v>
      </c>
      <c r="BD15" t="s">
        <v>519</v>
      </c>
      <c r="BE15" t="s">
        <v>520</v>
      </c>
      <c r="BF15" t="s">
        <v>521</v>
      </c>
      <c r="BG15" t="s">
        <v>522</v>
      </c>
      <c r="BI15">
        <f t="shared" si="9"/>
        <v>14</v>
      </c>
      <c r="BJ15" t="s">
        <v>478</v>
      </c>
      <c r="BK15" t="s">
        <v>479</v>
      </c>
      <c r="BL15" t="s">
        <v>480</v>
      </c>
      <c r="BM15" t="s">
        <v>481</v>
      </c>
      <c r="BO15">
        <f t="shared" si="10"/>
        <v>14</v>
      </c>
    </row>
    <row r="16" spans="1:71" x14ac:dyDescent="0.2">
      <c r="A16">
        <f t="shared" si="14"/>
        <v>15</v>
      </c>
      <c r="B16" t="s">
        <v>523</v>
      </c>
      <c r="C16" t="s">
        <v>524</v>
      </c>
      <c r="D16" t="s">
        <v>525</v>
      </c>
      <c r="E16" t="s">
        <v>524</v>
      </c>
      <c r="G16">
        <f t="shared" si="15"/>
        <v>15</v>
      </c>
      <c r="H16" t="s">
        <v>526</v>
      </c>
      <c r="I16" t="s">
        <v>527</v>
      </c>
      <c r="J16" t="s">
        <v>528</v>
      </c>
      <c r="K16" t="s">
        <v>529</v>
      </c>
      <c r="M16">
        <f t="shared" si="1"/>
        <v>15</v>
      </c>
      <c r="S16">
        <f t="shared" si="2"/>
        <v>15</v>
      </c>
      <c r="Y16">
        <f t="shared" si="3"/>
        <v>15</v>
      </c>
      <c r="AE16">
        <f t="shared" si="4"/>
        <v>15</v>
      </c>
      <c r="AF16" t="s">
        <v>530</v>
      </c>
      <c r="AG16" t="s">
        <v>531</v>
      </c>
      <c r="AH16" t="s">
        <v>532</v>
      </c>
      <c r="AI16" t="s">
        <v>533</v>
      </c>
      <c r="AK16">
        <f t="shared" si="5"/>
        <v>15</v>
      </c>
      <c r="AQ16">
        <f t="shared" si="6"/>
        <v>15</v>
      </c>
      <c r="AR16" t="s">
        <v>164</v>
      </c>
      <c r="AS16" t="s">
        <v>164</v>
      </c>
      <c r="AT16" t="s">
        <v>164</v>
      </c>
      <c r="AU16" t="s">
        <v>164</v>
      </c>
      <c r="AW16">
        <f t="shared" si="7"/>
        <v>15</v>
      </c>
      <c r="BC16">
        <f t="shared" si="8"/>
        <v>15</v>
      </c>
      <c r="BD16" t="s">
        <v>534</v>
      </c>
      <c r="BE16" t="s">
        <v>535</v>
      </c>
      <c r="BF16" t="s">
        <v>536</v>
      </c>
      <c r="BG16" t="s">
        <v>537</v>
      </c>
      <c r="BI16">
        <f t="shared" si="9"/>
        <v>15</v>
      </c>
      <c r="BJ16" t="s">
        <v>538</v>
      </c>
      <c r="BK16" t="s">
        <v>539</v>
      </c>
      <c r="BL16" t="s">
        <v>540</v>
      </c>
      <c r="BM16" t="s">
        <v>539</v>
      </c>
      <c r="BO16">
        <f t="shared" si="10"/>
        <v>15</v>
      </c>
    </row>
    <row r="17" spans="1:71" x14ac:dyDescent="0.2">
      <c r="A17">
        <f t="shared" si="14"/>
        <v>16</v>
      </c>
      <c r="B17" t="s">
        <v>541</v>
      </c>
      <c r="C17" t="s">
        <v>542</v>
      </c>
      <c r="D17" t="s">
        <v>543</v>
      </c>
      <c r="E17" t="s">
        <v>544</v>
      </c>
      <c r="G17">
        <f t="shared" si="15"/>
        <v>16</v>
      </c>
      <c r="H17" t="s">
        <v>545</v>
      </c>
      <c r="I17" t="s">
        <v>546</v>
      </c>
      <c r="J17" t="s">
        <v>547</v>
      </c>
      <c r="K17" t="s">
        <v>548</v>
      </c>
      <c r="M17">
        <f t="shared" si="1"/>
        <v>16</v>
      </c>
      <c r="S17">
        <f t="shared" si="2"/>
        <v>16</v>
      </c>
      <c r="Y17">
        <f t="shared" si="3"/>
        <v>16</v>
      </c>
      <c r="AE17">
        <f t="shared" si="4"/>
        <v>16</v>
      </c>
      <c r="AF17" t="s">
        <v>451</v>
      </c>
      <c r="AG17" t="s">
        <v>452</v>
      </c>
      <c r="AH17" t="s">
        <v>453</v>
      </c>
      <c r="AI17" t="s">
        <v>366</v>
      </c>
      <c r="AK17">
        <f t="shared" si="5"/>
        <v>16</v>
      </c>
      <c r="AQ17">
        <f t="shared" si="6"/>
        <v>16</v>
      </c>
      <c r="AR17" t="s">
        <v>549</v>
      </c>
      <c r="AS17" t="s">
        <v>550</v>
      </c>
      <c r="AT17" t="s">
        <v>549</v>
      </c>
      <c r="AU17" t="s">
        <v>549</v>
      </c>
      <c r="AW17">
        <f t="shared" si="7"/>
        <v>16</v>
      </c>
      <c r="BC17">
        <f t="shared" si="8"/>
        <v>16</v>
      </c>
      <c r="BI17">
        <f t="shared" si="9"/>
        <v>16</v>
      </c>
      <c r="BO17">
        <f t="shared" si="10"/>
        <v>16</v>
      </c>
    </row>
    <row r="18" spans="1:71" x14ac:dyDescent="0.2">
      <c r="A18">
        <f t="shared" ref="A18:A31" si="16">ROW()-1</f>
        <v>17</v>
      </c>
      <c r="B18" t="s">
        <v>551</v>
      </c>
      <c r="C18" t="s">
        <v>552</v>
      </c>
      <c r="D18" t="s">
        <v>553</v>
      </c>
      <c r="E18" t="s">
        <v>554</v>
      </c>
      <c r="G18">
        <f t="shared" si="15"/>
        <v>17</v>
      </c>
      <c r="H18" t="s">
        <v>555</v>
      </c>
      <c r="I18" t="s">
        <v>556</v>
      </c>
      <c r="J18" t="s">
        <v>557</v>
      </c>
      <c r="K18" t="s">
        <v>558</v>
      </c>
      <c r="M18">
        <f t="shared" si="1"/>
        <v>17</v>
      </c>
      <c r="S18">
        <f t="shared" si="2"/>
        <v>17</v>
      </c>
      <c r="Y18">
        <f t="shared" si="3"/>
        <v>17</v>
      </c>
      <c r="AE18">
        <f t="shared" si="4"/>
        <v>17</v>
      </c>
      <c r="AF18" t="s">
        <v>517</v>
      </c>
      <c r="AG18" t="s">
        <v>518</v>
      </c>
      <c r="AH18" t="s">
        <v>518</v>
      </c>
      <c r="AI18" t="s">
        <v>517</v>
      </c>
      <c r="AK18">
        <f t="shared" si="5"/>
        <v>17</v>
      </c>
      <c r="AQ18">
        <f t="shared" si="6"/>
        <v>17</v>
      </c>
      <c r="AR18" t="s">
        <v>559</v>
      </c>
      <c r="AS18" t="s">
        <v>560</v>
      </c>
      <c r="AT18" t="s">
        <v>559</v>
      </c>
      <c r="AU18" t="s">
        <v>559</v>
      </c>
      <c r="AW18">
        <f t="shared" si="7"/>
        <v>17</v>
      </c>
      <c r="BC18">
        <f t="shared" si="8"/>
        <v>17</v>
      </c>
      <c r="BI18">
        <f t="shared" si="9"/>
        <v>17</v>
      </c>
      <c r="BO18">
        <f t="shared" si="10"/>
        <v>17</v>
      </c>
    </row>
    <row r="19" spans="1:71" x14ac:dyDescent="0.2">
      <c r="A19">
        <f t="shared" si="16"/>
        <v>18</v>
      </c>
      <c r="B19" t="s">
        <v>561</v>
      </c>
      <c r="C19" t="s">
        <v>562</v>
      </c>
      <c r="D19" t="s">
        <v>563</v>
      </c>
      <c r="E19" t="s">
        <v>564</v>
      </c>
      <c r="G19">
        <f t="shared" si="15"/>
        <v>18</v>
      </c>
      <c r="H19" t="s">
        <v>565</v>
      </c>
      <c r="I19" t="s">
        <v>566</v>
      </c>
      <c r="J19" t="s">
        <v>567</v>
      </c>
      <c r="K19" t="s">
        <v>568</v>
      </c>
      <c r="M19">
        <f t="shared" si="1"/>
        <v>18</v>
      </c>
      <c r="S19">
        <f t="shared" si="2"/>
        <v>18</v>
      </c>
      <c r="Y19">
        <f t="shared" si="3"/>
        <v>18</v>
      </c>
      <c r="AE19">
        <f t="shared" si="4"/>
        <v>18</v>
      </c>
      <c r="AK19">
        <f t="shared" si="5"/>
        <v>18</v>
      </c>
      <c r="AQ19">
        <f t="shared" si="6"/>
        <v>18</v>
      </c>
      <c r="AW19">
        <f t="shared" si="7"/>
        <v>18</v>
      </c>
      <c r="BC19">
        <f t="shared" si="8"/>
        <v>18</v>
      </c>
      <c r="BI19">
        <f t="shared" si="9"/>
        <v>18</v>
      </c>
      <c r="BO19">
        <f t="shared" si="10"/>
        <v>18</v>
      </c>
    </row>
    <row r="20" spans="1:71" ht="14.25" x14ac:dyDescent="0.25">
      <c r="A20">
        <f t="shared" si="16"/>
        <v>19</v>
      </c>
      <c r="B20" t="s">
        <v>569</v>
      </c>
      <c r="C20" t="s">
        <v>570</v>
      </c>
      <c r="D20" t="s">
        <v>571</v>
      </c>
      <c r="E20" t="s">
        <v>572</v>
      </c>
      <c r="G20">
        <f t="shared" si="15"/>
        <v>19</v>
      </c>
      <c r="H20" t="s">
        <v>573</v>
      </c>
      <c r="I20" t="s">
        <v>574</v>
      </c>
      <c r="J20" t="s">
        <v>575</v>
      </c>
      <c r="K20" t="s">
        <v>576</v>
      </c>
      <c r="M20">
        <f t="shared" si="1"/>
        <v>19</v>
      </c>
      <c r="S20">
        <f t="shared" si="2"/>
        <v>19</v>
      </c>
      <c r="Y20">
        <f t="shared" si="3"/>
        <v>19</v>
      </c>
      <c r="AE20">
        <f t="shared" si="4"/>
        <v>19</v>
      </c>
      <c r="AK20">
        <f t="shared" si="5"/>
        <v>19</v>
      </c>
      <c r="AQ20">
        <f t="shared" si="6"/>
        <v>19</v>
      </c>
      <c r="AW20">
        <f t="shared" si="7"/>
        <v>19</v>
      </c>
      <c r="BC20">
        <f t="shared" si="8"/>
        <v>19</v>
      </c>
      <c r="BI20">
        <f t="shared" si="9"/>
        <v>19</v>
      </c>
      <c r="BO20">
        <f t="shared" si="10"/>
        <v>19</v>
      </c>
    </row>
    <row r="21" spans="1:71" x14ac:dyDescent="0.2">
      <c r="A21">
        <f t="shared" si="16"/>
        <v>20</v>
      </c>
      <c r="B21" t="s">
        <v>577</v>
      </c>
      <c r="C21" t="s">
        <v>578</v>
      </c>
      <c r="D21" t="s">
        <v>579</v>
      </c>
      <c r="E21" t="s">
        <v>580</v>
      </c>
      <c r="M21">
        <f t="shared" si="1"/>
        <v>20</v>
      </c>
      <c r="S21">
        <f t="shared" si="2"/>
        <v>20</v>
      </c>
      <c r="Y21">
        <f t="shared" si="3"/>
        <v>20</v>
      </c>
      <c r="AE21">
        <f t="shared" si="4"/>
        <v>20</v>
      </c>
      <c r="AK21">
        <f t="shared" si="5"/>
        <v>20</v>
      </c>
      <c r="AQ21">
        <f t="shared" si="6"/>
        <v>20</v>
      </c>
      <c r="AW21">
        <f t="shared" si="7"/>
        <v>20</v>
      </c>
      <c r="BC21">
        <f t="shared" si="8"/>
        <v>20</v>
      </c>
      <c r="BI21">
        <f t="shared" si="9"/>
        <v>20</v>
      </c>
      <c r="BO21">
        <f t="shared" si="10"/>
        <v>20</v>
      </c>
    </row>
    <row r="22" spans="1:71" x14ac:dyDescent="0.2">
      <c r="A22">
        <f t="shared" si="16"/>
        <v>21</v>
      </c>
      <c r="B22" t="s">
        <v>581</v>
      </c>
      <c r="C22" t="s">
        <v>582</v>
      </c>
      <c r="D22" t="s">
        <v>583</v>
      </c>
      <c r="E22" t="s">
        <v>584</v>
      </c>
      <c r="M22">
        <f t="shared" si="1"/>
        <v>21</v>
      </c>
      <c r="N22" t="s">
        <v>164</v>
      </c>
      <c r="O22" t="s">
        <v>164</v>
      </c>
      <c r="P22" t="s">
        <v>164</v>
      </c>
      <c r="Q22" t="s">
        <v>164</v>
      </c>
      <c r="S22">
        <f t="shared" si="2"/>
        <v>21</v>
      </c>
      <c r="Y22">
        <f t="shared" si="3"/>
        <v>21</v>
      </c>
      <c r="AE22">
        <f t="shared" si="4"/>
        <v>21</v>
      </c>
      <c r="AK22">
        <f t="shared" si="5"/>
        <v>21</v>
      </c>
      <c r="AQ22">
        <f t="shared" si="6"/>
        <v>21</v>
      </c>
      <c r="AW22">
        <f t="shared" si="7"/>
        <v>21</v>
      </c>
      <c r="BC22">
        <f t="shared" si="8"/>
        <v>21</v>
      </c>
      <c r="BI22">
        <f t="shared" si="9"/>
        <v>21</v>
      </c>
      <c r="BO22">
        <f t="shared" si="10"/>
        <v>21</v>
      </c>
    </row>
    <row r="23" spans="1:71" x14ac:dyDescent="0.2">
      <c r="A23">
        <f t="shared" si="16"/>
        <v>22</v>
      </c>
      <c r="B23" t="s">
        <v>585</v>
      </c>
      <c r="C23" t="s">
        <v>586</v>
      </c>
      <c r="D23" t="s">
        <v>587</v>
      </c>
      <c r="E23" t="s">
        <v>586</v>
      </c>
      <c r="M23">
        <f t="shared" si="1"/>
        <v>22</v>
      </c>
      <c r="N23" t="s">
        <v>433</v>
      </c>
      <c r="O23" t="s">
        <v>434</v>
      </c>
      <c r="P23" t="s">
        <v>435</v>
      </c>
      <c r="Q23" t="s">
        <v>436</v>
      </c>
      <c r="S23">
        <f t="shared" si="2"/>
        <v>22</v>
      </c>
      <c r="Y23">
        <f t="shared" si="3"/>
        <v>22</v>
      </c>
      <c r="AE23">
        <f t="shared" si="4"/>
        <v>22</v>
      </c>
      <c r="AK23">
        <f t="shared" si="5"/>
        <v>22</v>
      </c>
      <c r="AQ23">
        <f t="shared" si="6"/>
        <v>22</v>
      </c>
      <c r="AW23">
        <f t="shared" si="7"/>
        <v>22</v>
      </c>
      <c r="BC23">
        <f t="shared" si="8"/>
        <v>22</v>
      </c>
      <c r="BI23">
        <f t="shared" si="9"/>
        <v>22</v>
      </c>
      <c r="BO23">
        <f t="shared" si="10"/>
        <v>22</v>
      </c>
    </row>
    <row r="24" spans="1:71" x14ac:dyDescent="0.2">
      <c r="A24">
        <f t="shared" si="16"/>
        <v>23</v>
      </c>
      <c r="B24" t="s">
        <v>588</v>
      </c>
      <c r="C24" t="s">
        <v>589</v>
      </c>
      <c r="D24" t="s">
        <v>590</v>
      </c>
      <c r="E24" t="s">
        <v>591</v>
      </c>
      <c r="M24">
        <f t="shared" si="1"/>
        <v>23</v>
      </c>
      <c r="N24" t="s">
        <v>592</v>
      </c>
      <c r="O24" t="s">
        <v>593</v>
      </c>
      <c r="P24" t="s">
        <v>594</v>
      </c>
      <c r="Q24" t="s">
        <v>595</v>
      </c>
      <c r="S24">
        <f t="shared" si="2"/>
        <v>23</v>
      </c>
      <c r="Y24">
        <f t="shared" si="3"/>
        <v>23</v>
      </c>
      <c r="AE24">
        <f t="shared" si="4"/>
        <v>23</v>
      </c>
      <c r="AK24">
        <f t="shared" si="5"/>
        <v>23</v>
      </c>
      <c r="AQ24">
        <f t="shared" si="6"/>
        <v>23</v>
      </c>
      <c r="AW24">
        <f t="shared" si="7"/>
        <v>23</v>
      </c>
      <c r="BC24">
        <f t="shared" si="8"/>
        <v>23</v>
      </c>
      <c r="BI24">
        <f t="shared" si="9"/>
        <v>23</v>
      </c>
      <c r="BO24">
        <f t="shared" si="10"/>
        <v>23</v>
      </c>
    </row>
    <row r="25" spans="1:71" x14ac:dyDescent="0.2">
      <c r="A25">
        <f t="shared" si="16"/>
        <v>24</v>
      </c>
      <c r="B25" t="s">
        <v>596</v>
      </c>
      <c r="C25" t="s">
        <v>597</v>
      </c>
      <c r="D25" t="s">
        <v>598</v>
      </c>
      <c r="E25" t="s">
        <v>599</v>
      </c>
      <c r="M25">
        <f t="shared" si="1"/>
        <v>24</v>
      </c>
      <c r="N25" t="s">
        <v>513</v>
      </c>
      <c r="O25" t="s">
        <v>600</v>
      </c>
      <c r="P25" t="s">
        <v>515</v>
      </c>
      <c r="Q25" t="s">
        <v>601</v>
      </c>
      <c r="S25">
        <f t="shared" si="2"/>
        <v>24</v>
      </c>
      <c r="Y25">
        <f t="shared" si="3"/>
        <v>24</v>
      </c>
      <c r="AE25">
        <f t="shared" si="4"/>
        <v>24</v>
      </c>
      <c r="AK25">
        <f t="shared" si="5"/>
        <v>24</v>
      </c>
      <c r="AQ25">
        <f t="shared" si="6"/>
        <v>24</v>
      </c>
      <c r="AW25">
        <f t="shared" si="7"/>
        <v>24</v>
      </c>
      <c r="BC25">
        <f t="shared" si="8"/>
        <v>24</v>
      </c>
      <c r="BI25">
        <f t="shared" si="9"/>
        <v>24</v>
      </c>
      <c r="BO25">
        <f t="shared" si="10"/>
        <v>24</v>
      </c>
    </row>
    <row r="26" spans="1:71" x14ac:dyDescent="0.2">
      <c r="A26">
        <f t="shared" si="16"/>
        <v>25</v>
      </c>
      <c r="B26" t="s">
        <v>602</v>
      </c>
      <c r="C26" t="s">
        <v>603</v>
      </c>
      <c r="D26" t="s">
        <v>604</v>
      </c>
      <c r="E26" t="s">
        <v>605</v>
      </c>
      <c r="M26">
        <f t="shared" si="1"/>
        <v>25</v>
      </c>
      <c r="N26" t="s">
        <v>606</v>
      </c>
      <c r="O26" t="s">
        <v>607</v>
      </c>
      <c r="P26" t="s">
        <v>608</v>
      </c>
      <c r="Q26" t="s">
        <v>609</v>
      </c>
      <c r="S26">
        <f t="shared" si="2"/>
        <v>25</v>
      </c>
      <c r="Y26">
        <f t="shared" si="3"/>
        <v>25</v>
      </c>
      <c r="AE26">
        <f t="shared" si="4"/>
        <v>25</v>
      </c>
      <c r="AK26">
        <f t="shared" si="5"/>
        <v>25</v>
      </c>
      <c r="AQ26">
        <f t="shared" si="6"/>
        <v>25</v>
      </c>
      <c r="AW26">
        <f t="shared" si="7"/>
        <v>25</v>
      </c>
      <c r="BC26">
        <f t="shared" si="8"/>
        <v>25</v>
      </c>
      <c r="BI26">
        <f t="shared" si="9"/>
        <v>25</v>
      </c>
      <c r="BO26">
        <f t="shared" si="10"/>
        <v>25</v>
      </c>
    </row>
    <row r="27" spans="1:71" x14ac:dyDescent="0.2">
      <c r="A27">
        <f t="shared" si="16"/>
        <v>26</v>
      </c>
      <c r="B27" t="s">
        <v>610</v>
      </c>
      <c r="C27" t="s">
        <v>611</v>
      </c>
      <c r="D27" t="s">
        <v>612</v>
      </c>
      <c r="E27" t="s">
        <v>613</v>
      </c>
      <c r="M27">
        <f t="shared" si="1"/>
        <v>26</v>
      </c>
      <c r="N27" t="s">
        <v>614</v>
      </c>
      <c r="O27" t="s">
        <v>615</v>
      </c>
      <c r="P27" t="s">
        <v>616</v>
      </c>
      <c r="Q27" t="s">
        <v>617</v>
      </c>
      <c r="S27">
        <f t="shared" si="2"/>
        <v>26</v>
      </c>
      <c r="Y27">
        <f t="shared" si="3"/>
        <v>26</v>
      </c>
      <c r="AE27">
        <f t="shared" si="4"/>
        <v>26</v>
      </c>
      <c r="AK27">
        <f t="shared" si="5"/>
        <v>26</v>
      </c>
      <c r="AQ27">
        <f t="shared" si="6"/>
        <v>26</v>
      </c>
      <c r="AW27">
        <f t="shared" si="7"/>
        <v>26</v>
      </c>
      <c r="BC27">
        <f t="shared" si="8"/>
        <v>26</v>
      </c>
      <c r="BI27">
        <f t="shared" si="9"/>
        <v>26</v>
      </c>
      <c r="BO27">
        <f t="shared" si="10"/>
        <v>26</v>
      </c>
    </row>
    <row r="28" spans="1:71" x14ac:dyDescent="0.2">
      <c r="A28">
        <f t="shared" si="16"/>
        <v>27</v>
      </c>
      <c r="B28" t="s">
        <v>618</v>
      </c>
      <c r="C28" t="s">
        <v>619</v>
      </c>
      <c r="D28" t="s">
        <v>620</v>
      </c>
      <c r="E28" t="s">
        <v>621</v>
      </c>
      <c r="M28">
        <f t="shared" si="1"/>
        <v>27</v>
      </c>
      <c r="N28" t="s">
        <v>622</v>
      </c>
      <c r="O28" t="s">
        <v>623</v>
      </c>
      <c r="P28" t="s">
        <v>624</v>
      </c>
      <c r="Q28" t="s">
        <v>625</v>
      </c>
      <c r="S28">
        <f t="shared" si="2"/>
        <v>27</v>
      </c>
      <c r="Y28">
        <f t="shared" si="3"/>
        <v>27</v>
      </c>
      <c r="AE28">
        <f t="shared" si="4"/>
        <v>27</v>
      </c>
      <c r="AK28">
        <f t="shared" si="5"/>
        <v>27</v>
      </c>
      <c r="AQ28">
        <f t="shared" si="6"/>
        <v>27</v>
      </c>
      <c r="AW28">
        <f t="shared" si="7"/>
        <v>27</v>
      </c>
      <c r="BC28">
        <f t="shared" si="8"/>
        <v>27</v>
      </c>
      <c r="BI28">
        <f t="shared" si="9"/>
        <v>27</v>
      </c>
      <c r="BO28">
        <f t="shared" si="10"/>
        <v>27</v>
      </c>
    </row>
    <row r="29" spans="1:71" x14ac:dyDescent="0.2">
      <c r="A29">
        <f t="shared" si="16"/>
        <v>28</v>
      </c>
      <c r="B29" t="s">
        <v>626</v>
      </c>
      <c r="C29" t="s">
        <v>627</v>
      </c>
      <c r="D29" t="s">
        <v>628</v>
      </c>
      <c r="E29" t="s">
        <v>629</v>
      </c>
      <c r="M29">
        <f t="shared" si="1"/>
        <v>28</v>
      </c>
      <c r="N29" t="s">
        <v>478</v>
      </c>
      <c r="O29" t="s">
        <v>479</v>
      </c>
      <c r="P29" t="s">
        <v>480</v>
      </c>
      <c r="Q29" t="s">
        <v>481</v>
      </c>
      <c r="S29">
        <f t="shared" si="2"/>
        <v>28</v>
      </c>
      <c r="Y29">
        <f t="shared" si="3"/>
        <v>28</v>
      </c>
      <c r="AE29">
        <f t="shared" si="4"/>
        <v>28</v>
      </c>
      <c r="AK29">
        <f t="shared" si="5"/>
        <v>28</v>
      </c>
      <c r="AQ29">
        <f t="shared" si="6"/>
        <v>28</v>
      </c>
      <c r="AW29">
        <f t="shared" si="7"/>
        <v>28</v>
      </c>
      <c r="BC29">
        <f t="shared" si="8"/>
        <v>28</v>
      </c>
      <c r="BI29">
        <f t="shared" si="9"/>
        <v>28</v>
      </c>
      <c r="BO29">
        <f t="shared" si="10"/>
        <v>28</v>
      </c>
    </row>
    <row r="30" spans="1:71" x14ac:dyDescent="0.2">
      <c r="A30">
        <f t="shared" si="16"/>
        <v>29</v>
      </c>
      <c r="B30" t="s">
        <v>630</v>
      </c>
      <c r="C30" t="s">
        <v>631</v>
      </c>
      <c r="D30" t="s">
        <v>632</v>
      </c>
      <c r="E30" t="s">
        <v>633</v>
      </c>
      <c r="M30">
        <f t="shared" si="1"/>
        <v>29</v>
      </c>
      <c r="N30" t="s">
        <v>634</v>
      </c>
      <c r="O30" t="s">
        <v>635</v>
      </c>
      <c r="P30" t="s">
        <v>634</v>
      </c>
      <c r="Q30" t="s">
        <v>634</v>
      </c>
      <c r="S30">
        <f t="shared" si="2"/>
        <v>29</v>
      </c>
      <c r="Y30">
        <f t="shared" si="3"/>
        <v>29</v>
      </c>
      <c r="AE30">
        <f t="shared" si="4"/>
        <v>29</v>
      </c>
      <c r="AK30">
        <f t="shared" si="5"/>
        <v>29</v>
      </c>
      <c r="AQ30">
        <f t="shared" si="6"/>
        <v>29</v>
      </c>
      <c r="AW30">
        <f t="shared" si="7"/>
        <v>29</v>
      </c>
      <c r="BC30">
        <f t="shared" si="8"/>
        <v>29</v>
      </c>
      <c r="BI30">
        <f t="shared" si="9"/>
        <v>29</v>
      </c>
      <c r="BO30">
        <f t="shared" si="10"/>
        <v>29</v>
      </c>
    </row>
    <row r="31" spans="1:71" x14ac:dyDescent="0.2">
      <c r="A31">
        <f t="shared" si="16"/>
        <v>30</v>
      </c>
      <c r="B31" t="s">
        <v>636</v>
      </c>
      <c r="C31" t="s">
        <v>637</v>
      </c>
      <c r="D31" t="s">
        <v>638</v>
      </c>
      <c r="E31" t="s">
        <v>639</v>
      </c>
      <c r="M31">
        <f t="shared" si="1"/>
        <v>30</v>
      </c>
      <c r="N31" t="s">
        <v>640</v>
      </c>
      <c r="O31" t="s">
        <v>641</v>
      </c>
      <c r="P31" t="s">
        <v>642</v>
      </c>
      <c r="Q31" t="s">
        <v>643</v>
      </c>
      <c r="S31">
        <f t="shared" si="2"/>
        <v>30</v>
      </c>
      <c r="Y31">
        <f t="shared" si="3"/>
        <v>30</v>
      </c>
      <c r="AE31">
        <f t="shared" si="4"/>
        <v>30</v>
      </c>
      <c r="AK31">
        <f t="shared" si="5"/>
        <v>30</v>
      </c>
      <c r="AQ31">
        <f t="shared" si="6"/>
        <v>30</v>
      </c>
      <c r="AW31">
        <f t="shared" si="7"/>
        <v>30</v>
      </c>
      <c r="BC31">
        <f t="shared" si="8"/>
        <v>30</v>
      </c>
      <c r="BI31">
        <f t="shared" si="9"/>
        <v>30</v>
      </c>
      <c r="BO31">
        <f t="shared" si="10"/>
        <v>30</v>
      </c>
    </row>
    <row r="32" spans="1:71" x14ac:dyDescent="0.2">
      <c r="A32">
        <f>ROW()-1</f>
        <v>31</v>
      </c>
      <c r="B32" t="s">
        <v>644</v>
      </c>
      <c r="C32" t="s">
        <v>645</v>
      </c>
      <c r="D32" t="s">
        <v>646</v>
      </c>
      <c r="E32" t="s">
        <v>647</v>
      </c>
      <c r="M32">
        <f t="shared" si="1"/>
        <v>31</v>
      </c>
      <c r="N32" t="s">
        <v>648</v>
      </c>
      <c r="O32" t="s">
        <v>649</v>
      </c>
      <c r="P32" t="s">
        <v>650</v>
      </c>
      <c r="Q32" t="s">
        <v>651</v>
      </c>
      <c r="S32">
        <f t="shared" si="2"/>
        <v>31</v>
      </c>
      <c r="T32" t="s">
        <v>652</v>
      </c>
      <c r="U32" t="s">
        <v>653</v>
      </c>
      <c r="V32" t="s">
        <v>654</v>
      </c>
      <c r="W32" t="s">
        <v>655</v>
      </c>
      <c r="Y32">
        <f t="shared" si="3"/>
        <v>31</v>
      </c>
      <c r="Z32" t="s">
        <v>656</v>
      </c>
      <c r="AA32" t="s">
        <v>657</v>
      </c>
      <c r="AB32" t="s">
        <v>658</v>
      </c>
      <c r="AC32" t="s">
        <v>659</v>
      </c>
      <c r="AE32">
        <f t="shared" si="4"/>
        <v>31</v>
      </c>
      <c r="AF32" t="s">
        <v>660</v>
      </c>
      <c r="AG32" t="s">
        <v>661</v>
      </c>
      <c r="AH32" t="s">
        <v>662</v>
      </c>
      <c r="AI32" t="s">
        <v>661</v>
      </c>
      <c r="AK32">
        <f t="shared" si="5"/>
        <v>31</v>
      </c>
      <c r="AL32" t="s">
        <v>663</v>
      </c>
      <c r="AM32" t="s">
        <v>664</v>
      </c>
      <c r="AN32" t="s">
        <v>665</v>
      </c>
      <c r="AO32" t="s">
        <v>666</v>
      </c>
      <c r="AQ32">
        <f t="shared" si="6"/>
        <v>31</v>
      </c>
      <c r="AR32" t="s">
        <v>667</v>
      </c>
      <c r="AS32" t="s">
        <v>668</v>
      </c>
      <c r="AT32" t="s">
        <v>669</v>
      </c>
      <c r="AU32" t="s">
        <v>670</v>
      </c>
      <c r="AW32">
        <f t="shared" si="7"/>
        <v>31</v>
      </c>
      <c r="AX32" t="s">
        <v>671</v>
      </c>
      <c r="AY32" t="s">
        <v>672</v>
      </c>
      <c r="AZ32" t="s">
        <v>673</v>
      </c>
      <c r="BA32" t="s">
        <v>674</v>
      </c>
      <c r="BC32">
        <f t="shared" si="8"/>
        <v>31</v>
      </c>
      <c r="BD32" t="s">
        <v>675</v>
      </c>
      <c r="BE32" t="s">
        <v>676</v>
      </c>
      <c r="BF32" t="s">
        <v>677</v>
      </c>
      <c r="BG32" t="s">
        <v>676</v>
      </c>
      <c r="BI32">
        <f t="shared" si="9"/>
        <v>31</v>
      </c>
      <c r="BJ32" t="s">
        <v>227</v>
      </c>
      <c r="BK32" t="s">
        <v>228</v>
      </c>
      <c r="BL32" t="s">
        <v>229</v>
      </c>
      <c r="BM32" t="s">
        <v>230</v>
      </c>
      <c r="BO32">
        <f t="shared" si="10"/>
        <v>31</v>
      </c>
      <c r="BP32" t="s">
        <v>678</v>
      </c>
      <c r="BQ32" t="s">
        <v>679</v>
      </c>
      <c r="BR32" t="s">
        <v>680</v>
      </c>
      <c r="BS32" t="s">
        <v>681</v>
      </c>
    </row>
    <row r="33" spans="1:71" x14ac:dyDescent="0.2">
      <c r="A33">
        <f t="shared" ref="A33:A36" si="17">ROW()-1</f>
        <v>32</v>
      </c>
      <c r="B33" t="s">
        <v>682</v>
      </c>
      <c r="C33" t="s">
        <v>683</v>
      </c>
      <c r="D33" t="s">
        <v>684</v>
      </c>
      <c r="E33" t="s">
        <v>685</v>
      </c>
      <c r="M33">
        <f t="shared" si="1"/>
        <v>32</v>
      </c>
      <c r="N33" t="s">
        <v>686</v>
      </c>
      <c r="O33" t="s">
        <v>687</v>
      </c>
      <c r="P33" t="s">
        <v>688</v>
      </c>
      <c r="Q33" t="s">
        <v>689</v>
      </c>
      <c r="S33">
        <f t="shared" si="2"/>
        <v>32</v>
      </c>
      <c r="T33" t="s">
        <v>690</v>
      </c>
      <c r="U33" t="s">
        <v>691</v>
      </c>
      <c r="V33" t="s">
        <v>692</v>
      </c>
      <c r="W33" t="s">
        <v>693</v>
      </c>
      <c r="Y33">
        <f t="shared" si="3"/>
        <v>32</v>
      </c>
      <c r="Z33" t="s">
        <v>694</v>
      </c>
      <c r="AA33" t="s">
        <v>695</v>
      </c>
      <c r="AB33" t="s">
        <v>696</v>
      </c>
      <c r="AC33" t="s">
        <v>697</v>
      </c>
      <c r="AE33">
        <f t="shared" si="4"/>
        <v>32</v>
      </c>
      <c r="AF33" t="s">
        <v>698</v>
      </c>
      <c r="AG33" t="s">
        <v>699</v>
      </c>
      <c r="AH33" t="s">
        <v>700</v>
      </c>
      <c r="AI33" t="s">
        <v>701</v>
      </c>
      <c r="AK33">
        <f t="shared" si="5"/>
        <v>32</v>
      </c>
      <c r="AL33" t="s">
        <v>702</v>
      </c>
      <c r="AM33" t="s">
        <v>703</v>
      </c>
      <c r="AN33" t="s">
        <v>704</v>
      </c>
      <c r="AO33" t="s">
        <v>705</v>
      </c>
      <c r="AQ33">
        <f t="shared" si="6"/>
        <v>32</v>
      </c>
      <c r="AR33" t="s">
        <v>706</v>
      </c>
      <c r="AS33" t="s">
        <v>707</v>
      </c>
      <c r="AT33" t="s">
        <v>708</v>
      </c>
      <c r="AU33" t="s">
        <v>709</v>
      </c>
      <c r="AW33">
        <f t="shared" si="7"/>
        <v>32</v>
      </c>
      <c r="AX33" t="s">
        <v>710</v>
      </c>
      <c r="AY33" t="s">
        <v>711</v>
      </c>
      <c r="AZ33" t="s">
        <v>712</v>
      </c>
      <c r="BA33" t="s">
        <v>713</v>
      </c>
      <c r="BC33">
        <f t="shared" si="8"/>
        <v>32</v>
      </c>
      <c r="BD33" t="s">
        <v>714</v>
      </c>
      <c r="BE33" t="s">
        <v>715</v>
      </c>
      <c r="BF33" t="s">
        <v>716</v>
      </c>
      <c r="BG33" t="s">
        <v>717</v>
      </c>
      <c r="BI33">
        <f t="shared" si="9"/>
        <v>32</v>
      </c>
      <c r="BJ33" t="s">
        <v>718</v>
      </c>
      <c r="BK33" t="s">
        <v>719</v>
      </c>
      <c r="BL33" t="s">
        <v>720</v>
      </c>
      <c r="BM33" t="s">
        <v>721</v>
      </c>
      <c r="BO33">
        <f t="shared" si="10"/>
        <v>32</v>
      </c>
      <c r="BP33" t="s">
        <v>722</v>
      </c>
      <c r="BQ33" t="s">
        <v>723</v>
      </c>
      <c r="BR33" t="s">
        <v>724</v>
      </c>
      <c r="BS33" t="s">
        <v>725</v>
      </c>
    </row>
    <row r="34" spans="1:71" x14ac:dyDescent="0.2">
      <c r="A34">
        <f t="shared" si="17"/>
        <v>33</v>
      </c>
      <c r="B34" t="s">
        <v>726</v>
      </c>
      <c r="C34" t="s">
        <v>727</v>
      </c>
      <c r="D34" t="s">
        <v>728</v>
      </c>
      <c r="E34" t="s">
        <v>729</v>
      </c>
      <c r="M34">
        <f t="shared" si="1"/>
        <v>33</v>
      </c>
      <c r="N34" t="s">
        <v>730</v>
      </c>
      <c r="O34" t="s">
        <v>731</v>
      </c>
      <c r="P34" t="s">
        <v>732</v>
      </c>
      <c r="Q34" t="s">
        <v>733</v>
      </c>
      <c r="S34">
        <f t="shared" si="2"/>
        <v>33</v>
      </c>
      <c r="T34" t="s">
        <v>734</v>
      </c>
      <c r="U34" t="s">
        <v>735</v>
      </c>
      <c r="V34" t="s">
        <v>736</v>
      </c>
      <c r="W34" t="s">
        <v>737</v>
      </c>
      <c r="Y34">
        <f t="shared" si="3"/>
        <v>33</v>
      </c>
      <c r="Z34" t="s">
        <v>738</v>
      </c>
      <c r="AA34" t="s">
        <v>739</v>
      </c>
      <c r="AB34" t="s">
        <v>740</v>
      </c>
      <c r="AC34" t="s">
        <v>741</v>
      </c>
      <c r="AE34">
        <f t="shared" si="4"/>
        <v>33</v>
      </c>
      <c r="AF34" t="s">
        <v>742</v>
      </c>
      <c r="AG34" t="s">
        <v>743</v>
      </c>
      <c r="AH34" t="s">
        <v>744</v>
      </c>
      <c r="AI34" t="s">
        <v>745</v>
      </c>
      <c r="AK34">
        <f t="shared" si="5"/>
        <v>33</v>
      </c>
      <c r="AL34" t="s">
        <v>746</v>
      </c>
      <c r="AM34" t="s">
        <v>747</v>
      </c>
      <c r="AN34" t="s">
        <v>748</v>
      </c>
      <c r="AO34" t="s">
        <v>749</v>
      </c>
      <c r="AQ34">
        <f t="shared" si="6"/>
        <v>33</v>
      </c>
      <c r="AR34" t="s">
        <v>750</v>
      </c>
      <c r="AS34" t="s">
        <v>751</v>
      </c>
      <c r="AT34" t="s">
        <v>752</v>
      </c>
      <c r="AU34" t="s">
        <v>753</v>
      </c>
      <c r="AW34">
        <f t="shared" si="7"/>
        <v>33</v>
      </c>
      <c r="AX34" t="s">
        <v>754</v>
      </c>
      <c r="AY34" t="s">
        <v>754</v>
      </c>
      <c r="AZ34" t="s">
        <v>755</v>
      </c>
      <c r="BA34" t="s">
        <v>754</v>
      </c>
      <c r="BC34">
        <f t="shared" si="8"/>
        <v>33</v>
      </c>
      <c r="BD34" t="s">
        <v>756</v>
      </c>
      <c r="BE34" t="s">
        <v>757</v>
      </c>
      <c r="BF34" t="s">
        <v>758</v>
      </c>
      <c r="BG34" t="s">
        <v>759</v>
      </c>
      <c r="BI34">
        <f t="shared" si="9"/>
        <v>33</v>
      </c>
      <c r="BJ34" t="s">
        <v>760</v>
      </c>
      <c r="BK34" t="s">
        <v>761</v>
      </c>
      <c r="BL34" t="s">
        <v>762</v>
      </c>
      <c r="BM34" t="s">
        <v>763</v>
      </c>
      <c r="BO34">
        <f t="shared" si="10"/>
        <v>33</v>
      </c>
      <c r="BP34" t="s">
        <v>764</v>
      </c>
      <c r="BQ34" t="s">
        <v>765</v>
      </c>
      <c r="BR34" t="s">
        <v>766</v>
      </c>
      <c r="BS34" t="s">
        <v>767</v>
      </c>
    </row>
    <row r="35" spans="1:71" x14ac:dyDescent="0.2">
      <c r="A35">
        <f t="shared" si="17"/>
        <v>34</v>
      </c>
      <c r="B35" t="s">
        <v>768</v>
      </c>
      <c r="C35" t="s">
        <v>768</v>
      </c>
      <c r="D35" t="s">
        <v>768</v>
      </c>
      <c r="E35" t="s">
        <v>768</v>
      </c>
      <c r="M35">
        <f t="shared" si="1"/>
        <v>34</v>
      </c>
      <c r="N35" t="s">
        <v>530</v>
      </c>
      <c r="O35" t="s">
        <v>531</v>
      </c>
      <c r="P35" t="s">
        <v>532</v>
      </c>
      <c r="Q35" t="s">
        <v>533</v>
      </c>
      <c r="S35">
        <f t="shared" si="2"/>
        <v>34</v>
      </c>
      <c r="T35" t="s">
        <v>769</v>
      </c>
      <c r="U35" t="s">
        <v>770</v>
      </c>
      <c r="V35" t="s">
        <v>771</v>
      </c>
      <c r="W35" t="s">
        <v>772</v>
      </c>
      <c r="Y35">
        <f t="shared" si="3"/>
        <v>34</v>
      </c>
      <c r="Z35" t="s">
        <v>773</v>
      </c>
      <c r="AA35" t="s">
        <v>774</v>
      </c>
      <c r="AB35" t="s">
        <v>775</v>
      </c>
      <c r="AC35" t="s">
        <v>776</v>
      </c>
      <c r="AE35">
        <f t="shared" si="4"/>
        <v>34</v>
      </c>
      <c r="AF35" t="s">
        <v>777</v>
      </c>
      <c r="AG35" t="s">
        <v>778</v>
      </c>
      <c r="AH35" t="s">
        <v>779</v>
      </c>
      <c r="AI35" t="s">
        <v>780</v>
      </c>
      <c r="AK35">
        <f t="shared" si="5"/>
        <v>34</v>
      </c>
      <c r="AL35" t="s">
        <v>781</v>
      </c>
      <c r="AM35" t="s">
        <v>782</v>
      </c>
      <c r="AN35" t="s">
        <v>783</v>
      </c>
      <c r="AO35" t="s">
        <v>784</v>
      </c>
      <c r="AQ35">
        <f t="shared" si="6"/>
        <v>34</v>
      </c>
      <c r="AR35" t="s">
        <v>785</v>
      </c>
      <c r="AS35" t="s">
        <v>786</v>
      </c>
      <c r="AT35" t="s">
        <v>787</v>
      </c>
      <c r="AU35" t="s">
        <v>788</v>
      </c>
      <c r="AW35">
        <f t="shared" si="7"/>
        <v>34</v>
      </c>
      <c r="AX35" t="s">
        <v>789</v>
      </c>
      <c r="AY35" t="s">
        <v>789</v>
      </c>
      <c r="AZ35" t="s">
        <v>789</v>
      </c>
      <c r="BA35" t="s">
        <v>790</v>
      </c>
      <c r="BC35">
        <f t="shared" si="8"/>
        <v>34</v>
      </c>
      <c r="BD35" t="s">
        <v>791</v>
      </c>
      <c r="BE35" t="s">
        <v>792</v>
      </c>
      <c r="BF35" t="s">
        <v>793</v>
      </c>
      <c r="BG35" t="s">
        <v>794</v>
      </c>
      <c r="BI35">
        <f t="shared" si="9"/>
        <v>34</v>
      </c>
      <c r="BJ35" t="s">
        <v>795</v>
      </c>
      <c r="BK35" t="s">
        <v>796</v>
      </c>
      <c r="BL35" t="s">
        <v>797</v>
      </c>
      <c r="BM35" t="s">
        <v>798</v>
      </c>
      <c r="BO35">
        <f t="shared" si="10"/>
        <v>34</v>
      </c>
      <c r="BP35" t="s">
        <v>799</v>
      </c>
      <c r="BQ35" t="s">
        <v>800</v>
      </c>
      <c r="BR35" t="s">
        <v>801</v>
      </c>
      <c r="BS35" t="s">
        <v>802</v>
      </c>
    </row>
    <row r="36" spans="1:71" x14ac:dyDescent="0.2">
      <c r="A36">
        <f t="shared" si="17"/>
        <v>35</v>
      </c>
      <c r="B36" t="s">
        <v>803</v>
      </c>
      <c r="C36" t="s">
        <v>804</v>
      </c>
      <c r="D36" t="s">
        <v>805</v>
      </c>
      <c r="E36" t="s">
        <v>806</v>
      </c>
      <c r="M36">
        <f t="shared" si="1"/>
        <v>35</v>
      </c>
      <c r="N36" t="s">
        <v>451</v>
      </c>
      <c r="O36" t="s">
        <v>452</v>
      </c>
      <c r="P36" t="s">
        <v>453</v>
      </c>
      <c r="Q36" t="s">
        <v>366</v>
      </c>
      <c r="S36">
        <f t="shared" si="2"/>
        <v>35</v>
      </c>
      <c r="T36" t="s">
        <v>807</v>
      </c>
      <c r="U36" t="s">
        <v>808</v>
      </c>
      <c r="V36" t="s">
        <v>809</v>
      </c>
      <c r="W36" t="s">
        <v>810</v>
      </c>
      <c r="Y36">
        <f t="shared" si="3"/>
        <v>35</v>
      </c>
      <c r="Z36" t="s">
        <v>811</v>
      </c>
      <c r="AA36" t="s">
        <v>812</v>
      </c>
      <c r="AB36" t="s">
        <v>813</v>
      </c>
      <c r="AC36" t="s">
        <v>814</v>
      </c>
      <c r="AE36">
        <f t="shared" si="4"/>
        <v>35</v>
      </c>
      <c r="AF36" t="s">
        <v>815</v>
      </c>
      <c r="AG36" t="s">
        <v>816</v>
      </c>
      <c r="AH36" t="s">
        <v>817</v>
      </c>
      <c r="AI36" t="s">
        <v>818</v>
      </c>
      <c r="AK36">
        <f t="shared" si="5"/>
        <v>35</v>
      </c>
      <c r="AL36" t="s">
        <v>819</v>
      </c>
      <c r="AM36" t="s">
        <v>820</v>
      </c>
      <c r="AN36" t="s">
        <v>821</v>
      </c>
      <c r="AO36" t="s">
        <v>822</v>
      </c>
      <c r="AQ36">
        <f t="shared" si="6"/>
        <v>35</v>
      </c>
      <c r="AR36" t="s">
        <v>823</v>
      </c>
      <c r="AS36" t="s">
        <v>824</v>
      </c>
      <c r="AT36" t="s">
        <v>825</v>
      </c>
      <c r="AU36" t="s">
        <v>826</v>
      </c>
      <c r="AW36">
        <f t="shared" si="7"/>
        <v>35</v>
      </c>
      <c r="AX36" t="s">
        <v>827</v>
      </c>
      <c r="AY36" t="s">
        <v>828</v>
      </c>
      <c r="AZ36" t="s">
        <v>829</v>
      </c>
      <c r="BA36" t="s">
        <v>830</v>
      </c>
      <c r="BC36">
        <f t="shared" si="8"/>
        <v>35</v>
      </c>
      <c r="BD36" t="s">
        <v>831</v>
      </c>
      <c r="BE36" t="s">
        <v>832</v>
      </c>
      <c r="BF36" t="s">
        <v>833</v>
      </c>
      <c r="BG36" t="s">
        <v>834</v>
      </c>
      <c r="BI36">
        <f t="shared" si="9"/>
        <v>35</v>
      </c>
      <c r="BJ36" t="s">
        <v>835</v>
      </c>
      <c r="BK36" t="s">
        <v>836</v>
      </c>
      <c r="BL36" t="s">
        <v>837</v>
      </c>
      <c r="BM36" t="s">
        <v>838</v>
      </c>
      <c r="BO36">
        <f t="shared" si="10"/>
        <v>35</v>
      </c>
      <c r="BP36" t="s">
        <v>839</v>
      </c>
      <c r="BQ36" t="s">
        <v>840</v>
      </c>
      <c r="BR36" t="s">
        <v>841</v>
      </c>
      <c r="BS36" t="s">
        <v>842</v>
      </c>
    </row>
    <row r="37" spans="1:71" x14ac:dyDescent="0.2">
      <c r="A37">
        <f t="shared" ref="A37:A47" si="18">ROW()-1</f>
        <v>36</v>
      </c>
      <c r="B37" t="s">
        <v>843</v>
      </c>
      <c r="C37" t="s">
        <v>844</v>
      </c>
      <c r="D37" t="s">
        <v>845</v>
      </c>
      <c r="E37" t="s">
        <v>846</v>
      </c>
      <c r="M37">
        <f t="shared" si="1"/>
        <v>36</v>
      </c>
      <c r="N37" t="s">
        <v>482</v>
      </c>
      <c r="O37" t="s">
        <v>483</v>
      </c>
      <c r="P37" t="s">
        <v>484</v>
      </c>
      <c r="Q37" t="s">
        <v>485</v>
      </c>
      <c r="S37">
        <f t="shared" si="2"/>
        <v>36</v>
      </c>
      <c r="T37" t="s">
        <v>847</v>
      </c>
      <c r="U37" t="s">
        <v>848</v>
      </c>
      <c r="V37" t="s">
        <v>849</v>
      </c>
      <c r="W37" t="s">
        <v>850</v>
      </c>
      <c r="Y37">
        <f t="shared" si="3"/>
        <v>36</v>
      </c>
      <c r="Z37" t="s">
        <v>851</v>
      </c>
      <c r="AA37" t="s">
        <v>852</v>
      </c>
      <c r="AB37" t="s">
        <v>853</v>
      </c>
      <c r="AC37" t="s">
        <v>854</v>
      </c>
      <c r="AE37">
        <f t="shared" si="4"/>
        <v>36</v>
      </c>
      <c r="AF37" t="s">
        <v>855</v>
      </c>
      <c r="AG37" t="s">
        <v>856</v>
      </c>
      <c r="AH37" t="s">
        <v>857</v>
      </c>
      <c r="AI37" t="s">
        <v>858</v>
      </c>
      <c r="AK37">
        <f t="shared" si="5"/>
        <v>36</v>
      </c>
      <c r="AL37" t="s">
        <v>859</v>
      </c>
      <c r="AM37" t="s">
        <v>860</v>
      </c>
      <c r="AN37" t="s">
        <v>861</v>
      </c>
      <c r="AO37" t="s">
        <v>862</v>
      </c>
      <c r="AQ37">
        <f t="shared" si="6"/>
        <v>36</v>
      </c>
      <c r="AR37" t="s">
        <v>863</v>
      </c>
      <c r="AS37" t="s">
        <v>864</v>
      </c>
      <c r="AT37" t="s">
        <v>865</v>
      </c>
      <c r="AU37" t="s">
        <v>866</v>
      </c>
      <c r="AW37">
        <f t="shared" si="7"/>
        <v>36</v>
      </c>
      <c r="AX37" t="s">
        <v>867</v>
      </c>
      <c r="AY37" t="s">
        <v>868</v>
      </c>
      <c r="AZ37" t="s">
        <v>869</v>
      </c>
      <c r="BA37" t="s">
        <v>870</v>
      </c>
      <c r="BC37">
        <f t="shared" si="8"/>
        <v>36</v>
      </c>
      <c r="BD37" t="s">
        <v>871</v>
      </c>
      <c r="BE37" t="s">
        <v>872</v>
      </c>
      <c r="BF37" t="s">
        <v>873</v>
      </c>
      <c r="BG37" t="s">
        <v>874</v>
      </c>
      <c r="BI37">
        <f t="shared" si="9"/>
        <v>36</v>
      </c>
      <c r="BJ37" t="s">
        <v>875</v>
      </c>
      <c r="BK37" t="s">
        <v>876</v>
      </c>
      <c r="BL37" t="s">
        <v>877</v>
      </c>
      <c r="BM37" t="s">
        <v>878</v>
      </c>
      <c r="BO37">
        <f t="shared" si="10"/>
        <v>36</v>
      </c>
      <c r="BP37" t="s">
        <v>879</v>
      </c>
      <c r="BQ37" t="s">
        <v>880</v>
      </c>
      <c r="BR37" t="s">
        <v>881</v>
      </c>
      <c r="BS37" t="s">
        <v>882</v>
      </c>
    </row>
    <row r="38" spans="1:71" x14ac:dyDescent="0.2">
      <c r="A38">
        <f t="shared" si="18"/>
        <v>37</v>
      </c>
      <c r="B38" t="s">
        <v>883</v>
      </c>
      <c r="C38" t="s">
        <v>884</v>
      </c>
      <c r="D38" t="s">
        <v>885</v>
      </c>
      <c r="E38" t="s">
        <v>886</v>
      </c>
      <c r="M38">
        <f t="shared" si="1"/>
        <v>37</v>
      </c>
      <c r="N38" t="s">
        <v>454</v>
      </c>
      <c r="O38" t="s">
        <v>455</v>
      </c>
      <c r="P38" t="s">
        <v>456</v>
      </c>
      <c r="Q38" t="s">
        <v>457</v>
      </c>
      <c r="S38">
        <f t="shared" si="2"/>
        <v>37</v>
      </c>
      <c r="T38" t="s">
        <v>887</v>
      </c>
      <c r="U38" t="s">
        <v>888</v>
      </c>
      <c r="V38" t="s">
        <v>889</v>
      </c>
      <c r="W38" t="s">
        <v>890</v>
      </c>
      <c r="Y38">
        <f t="shared" si="3"/>
        <v>37</v>
      </c>
      <c r="Z38" t="s">
        <v>891</v>
      </c>
      <c r="AA38" t="s">
        <v>892</v>
      </c>
      <c r="AB38" t="s">
        <v>893</v>
      </c>
      <c r="AC38" t="s">
        <v>894</v>
      </c>
      <c r="AE38">
        <f t="shared" si="4"/>
        <v>37</v>
      </c>
      <c r="AF38" t="s">
        <v>895</v>
      </c>
      <c r="AG38" t="s">
        <v>896</v>
      </c>
      <c r="AH38" t="s">
        <v>897</v>
      </c>
      <c r="AI38" t="s">
        <v>898</v>
      </c>
      <c r="AK38">
        <f t="shared" si="5"/>
        <v>37</v>
      </c>
      <c r="AL38" t="s">
        <v>899</v>
      </c>
      <c r="AM38" t="s">
        <v>900</v>
      </c>
      <c r="AN38" t="s">
        <v>901</v>
      </c>
      <c r="AO38" t="s">
        <v>902</v>
      </c>
      <c r="AQ38">
        <f t="shared" si="6"/>
        <v>37</v>
      </c>
      <c r="AR38" t="s">
        <v>903</v>
      </c>
      <c r="AS38" t="s">
        <v>904</v>
      </c>
      <c r="AT38" t="s">
        <v>905</v>
      </c>
      <c r="AU38" t="s">
        <v>906</v>
      </c>
      <c r="AW38">
        <f t="shared" si="7"/>
        <v>37</v>
      </c>
      <c r="AX38" t="s">
        <v>754</v>
      </c>
      <c r="AY38" t="s">
        <v>754</v>
      </c>
      <c r="AZ38" t="s">
        <v>755</v>
      </c>
      <c r="BA38" t="s">
        <v>754</v>
      </c>
      <c r="BC38">
        <f t="shared" si="8"/>
        <v>37</v>
      </c>
      <c r="BD38" t="s">
        <v>907</v>
      </c>
      <c r="BE38" t="s">
        <v>908</v>
      </c>
      <c r="BF38" t="s">
        <v>909</v>
      </c>
      <c r="BG38" t="s">
        <v>910</v>
      </c>
      <c r="BI38">
        <f t="shared" si="9"/>
        <v>37</v>
      </c>
      <c r="BJ38" t="s">
        <v>911</v>
      </c>
      <c r="BK38" t="s">
        <v>912</v>
      </c>
      <c r="BL38" t="s">
        <v>913</v>
      </c>
      <c r="BM38" t="s">
        <v>914</v>
      </c>
      <c r="BO38">
        <f t="shared" si="10"/>
        <v>37</v>
      </c>
    </row>
    <row r="39" spans="1:71" x14ac:dyDescent="0.2">
      <c r="A39">
        <f t="shared" si="18"/>
        <v>38</v>
      </c>
      <c r="B39" t="s">
        <v>915</v>
      </c>
      <c r="C39" t="s">
        <v>916</v>
      </c>
      <c r="D39" t="s">
        <v>917</v>
      </c>
      <c r="E39" t="s">
        <v>918</v>
      </c>
      <c r="M39">
        <f t="shared" si="1"/>
        <v>38</v>
      </c>
      <c r="N39" t="s">
        <v>517</v>
      </c>
      <c r="O39" t="s">
        <v>518</v>
      </c>
      <c r="P39" t="s">
        <v>518</v>
      </c>
      <c r="Q39" t="s">
        <v>517</v>
      </c>
      <c r="S39">
        <f t="shared" si="2"/>
        <v>38</v>
      </c>
      <c r="T39" t="s">
        <v>919</v>
      </c>
      <c r="U39" t="s">
        <v>888</v>
      </c>
      <c r="V39" t="s">
        <v>920</v>
      </c>
      <c r="W39" t="s">
        <v>921</v>
      </c>
      <c r="Y39">
        <f t="shared" si="3"/>
        <v>38</v>
      </c>
      <c r="Z39" s="1" t="s">
        <v>922</v>
      </c>
      <c r="AA39" t="s">
        <v>923</v>
      </c>
      <c r="AB39" t="s">
        <v>924</v>
      </c>
      <c r="AC39" t="s">
        <v>925</v>
      </c>
      <c r="AE39">
        <f t="shared" si="4"/>
        <v>38</v>
      </c>
      <c r="AK39">
        <f t="shared" si="5"/>
        <v>38</v>
      </c>
      <c r="AL39" t="s">
        <v>926</v>
      </c>
      <c r="AM39" t="s">
        <v>927</v>
      </c>
      <c r="AN39" t="s">
        <v>928</v>
      </c>
      <c r="AO39" t="s">
        <v>929</v>
      </c>
      <c r="AQ39">
        <f t="shared" si="6"/>
        <v>38</v>
      </c>
      <c r="AR39" t="s">
        <v>930</v>
      </c>
      <c r="AS39" t="s">
        <v>931</v>
      </c>
      <c r="AT39" t="s">
        <v>932</v>
      </c>
      <c r="AU39" t="s">
        <v>933</v>
      </c>
      <c r="AW39">
        <f t="shared" si="7"/>
        <v>38</v>
      </c>
      <c r="AX39" t="s">
        <v>789</v>
      </c>
      <c r="AY39" t="s">
        <v>789</v>
      </c>
      <c r="AZ39" t="s">
        <v>789</v>
      </c>
      <c r="BA39" t="s">
        <v>790</v>
      </c>
      <c r="BC39">
        <f t="shared" si="8"/>
        <v>38</v>
      </c>
      <c r="BD39" t="s">
        <v>934</v>
      </c>
      <c r="BE39" t="s">
        <v>935</v>
      </c>
      <c r="BF39" t="s">
        <v>936</v>
      </c>
      <c r="BG39" t="s">
        <v>937</v>
      </c>
      <c r="BI39">
        <f t="shared" si="9"/>
        <v>38</v>
      </c>
      <c r="BJ39" t="s">
        <v>938</v>
      </c>
      <c r="BK39" t="s">
        <v>939</v>
      </c>
      <c r="BL39" t="s">
        <v>940</v>
      </c>
      <c r="BM39" t="s">
        <v>941</v>
      </c>
      <c r="BO39">
        <f t="shared" si="10"/>
        <v>38</v>
      </c>
    </row>
    <row r="40" spans="1:71" x14ac:dyDescent="0.2">
      <c r="A40">
        <f t="shared" si="18"/>
        <v>39</v>
      </c>
      <c r="B40" t="s">
        <v>942</v>
      </c>
      <c r="C40" t="s">
        <v>943</v>
      </c>
      <c r="D40" t="s">
        <v>944</v>
      </c>
      <c r="E40" t="s">
        <v>945</v>
      </c>
      <c r="M40">
        <f t="shared" si="1"/>
        <v>39</v>
      </c>
      <c r="S40">
        <f t="shared" si="2"/>
        <v>39</v>
      </c>
      <c r="T40" t="s">
        <v>690</v>
      </c>
      <c r="U40" t="s">
        <v>691</v>
      </c>
      <c r="V40" t="s">
        <v>692</v>
      </c>
      <c r="W40" t="s">
        <v>693</v>
      </c>
      <c r="Y40">
        <f t="shared" si="3"/>
        <v>39</v>
      </c>
      <c r="AE40">
        <f t="shared" si="4"/>
        <v>39</v>
      </c>
      <c r="AK40">
        <f t="shared" si="5"/>
        <v>39</v>
      </c>
      <c r="AL40" t="s">
        <v>946</v>
      </c>
      <c r="AM40" t="s">
        <v>947</v>
      </c>
      <c r="AN40" t="s">
        <v>948</v>
      </c>
      <c r="AO40" t="s">
        <v>949</v>
      </c>
      <c r="AQ40">
        <f t="shared" si="6"/>
        <v>39</v>
      </c>
      <c r="AR40" t="s">
        <v>950</v>
      </c>
      <c r="AS40" t="s">
        <v>951</v>
      </c>
      <c r="AT40" t="s">
        <v>952</v>
      </c>
      <c r="AU40" t="s">
        <v>953</v>
      </c>
      <c r="AW40">
        <f t="shared" si="7"/>
        <v>39</v>
      </c>
      <c r="AX40" t="s">
        <v>827</v>
      </c>
      <c r="AY40" t="s">
        <v>828</v>
      </c>
      <c r="AZ40" t="s">
        <v>829</v>
      </c>
      <c r="BA40" t="s">
        <v>830</v>
      </c>
      <c r="BC40">
        <f t="shared" si="8"/>
        <v>39</v>
      </c>
      <c r="BD40" t="s">
        <v>954</v>
      </c>
      <c r="BE40" t="s">
        <v>955</v>
      </c>
      <c r="BF40" t="s">
        <v>956</v>
      </c>
      <c r="BG40" t="s">
        <v>957</v>
      </c>
      <c r="BI40">
        <f t="shared" si="9"/>
        <v>39</v>
      </c>
      <c r="BJ40" t="s">
        <v>958</v>
      </c>
      <c r="BK40" t="s">
        <v>959</v>
      </c>
      <c r="BL40" t="s">
        <v>960</v>
      </c>
      <c r="BM40" t="s">
        <v>961</v>
      </c>
      <c r="BO40">
        <f t="shared" si="10"/>
        <v>39</v>
      </c>
    </row>
    <row r="41" spans="1:71" x14ac:dyDescent="0.2">
      <c r="A41">
        <f t="shared" si="18"/>
        <v>40</v>
      </c>
      <c r="B41" t="s">
        <v>962</v>
      </c>
      <c r="C41" t="s">
        <v>963</v>
      </c>
      <c r="D41" t="s">
        <v>964</v>
      </c>
      <c r="E41" t="s">
        <v>965</v>
      </c>
      <c r="M41">
        <f t="shared" si="1"/>
        <v>40</v>
      </c>
      <c r="S41">
        <f t="shared" si="2"/>
        <v>40</v>
      </c>
      <c r="T41" t="s">
        <v>966</v>
      </c>
      <c r="U41" t="s">
        <v>967</v>
      </c>
      <c r="V41" t="s">
        <v>968</v>
      </c>
      <c r="W41" t="s">
        <v>969</v>
      </c>
      <c r="Y41">
        <f t="shared" si="3"/>
        <v>40</v>
      </c>
      <c r="AE41">
        <f t="shared" si="4"/>
        <v>40</v>
      </c>
      <c r="AK41">
        <f t="shared" si="5"/>
        <v>40</v>
      </c>
      <c r="AL41" t="s">
        <v>970</v>
      </c>
      <c r="AM41" t="s">
        <v>971</v>
      </c>
      <c r="AN41" t="s">
        <v>972</v>
      </c>
      <c r="AO41" t="s">
        <v>973</v>
      </c>
      <c r="AQ41">
        <f t="shared" si="6"/>
        <v>40</v>
      </c>
      <c r="AR41" t="s">
        <v>974</v>
      </c>
      <c r="AS41" t="s">
        <v>975</v>
      </c>
      <c r="AT41" t="s">
        <v>976</v>
      </c>
      <c r="AU41" t="s">
        <v>977</v>
      </c>
      <c r="AW41">
        <f t="shared" si="7"/>
        <v>40</v>
      </c>
      <c r="AX41" t="s">
        <v>978</v>
      </c>
      <c r="AY41" t="s">
        <v>979</v>
      </c>
      <c r="AZ41" t="s">
        <v>980</v>
      </c>
      <c r="BA41" t="s">
        <v>981</v>
      </c>
      <c r="BC41">
        <f t="shared" si="8"/>
        <v>40</v>
      </c>
      <c r="BD41" t="s">
        <v>982</v>
      </c>
      <c r="BE41" t="s">
        <v>983</v>
      </c>
      <c r="BF41" t="s">
        <v>984</v>
      </c>
      <c r="BG41" t="s">
        <v>985</v>
      </c>
      <c r="BI41">
        <f t="shared" si="9"/>
        <v>40</v>
      </c>
      <c r="BJ41" t="s">
        <v>986</v>
      </c>
      <c r="BK41" t="s">
        <v>987</v>
      </c>
      <c r="BL41" t="s">
        <v>988</v>
      </c>
      <c r="BM41" t="s">
        <v>989</v>
      </c>
      <c r="BO41">
        <f t="shared" si="10"/>
        <v>40</v>
      </c>
    </row>
    <row r="42" spans="1:71" x14ac:dyDescent="0.2">
      <c r="A42">
        <f t="shared" si="18"/>
        <v>41</v>
      </c>
      <c r="B42" t="s">
        <v>990</v>
      </c>
      <c r="C42" t="s">
        <v>991</v>
      </c>
      <c r="D42" t="s">
        <v>992</v>
      </c>
      <c r="E42" t="s">
        <v>993</v>
      </c>
      <c r="M42">
        <f t="shared" si="1"/>
        <v>41</v>
      </c>
      <c r="N42" t="s">
        <v>994</v>
      </c>
      <c r="O42" t="s">
        <v>995</v>
      </c>
      <c r="P42" t="s">
        <v>996</v>
      </c>
      <c r="Q42" t="s">
        <v>997</v>
      </c>
      <c r="S42">
        <f t="shared" si="2"/>
        <v>41</v>
      </c>
      <c r="T42" t="s">
        <v>998</v>
      </c>
      <c r="U42" t="s">
        <v>999</v>
      </c>
      <c r="V42" t="s">
        <v>1000</v>
      </c>
      <c r="W42" t="s">
        <v>1001</v>
      </c>
      <c r="Y42">
        <f t="shared" si="3"/>
        <v>41</v>
      </c>
      <c r="AE42">
        <f t="shared" si="4"/>
        <v>41</v>
      </c>
      <c r="AF42" t="s">
        <v>1002</v>
      </c>
      <c r="AG42" t="s">
        <v>1003</v>
      </c>
      <c r="AH42" t="s">
        <v>1004</v>
      </c>
      <c r="AI42" t="s">
        <v>1005</v>
      </c>
      <c r="AK42">
        <f t="shared" si="5"/>
        <v>41</v>
      </c>
      <c r="AL42" t="s">
        <v>1006</v>
      </c>
      <c r="AM42" t="s">
        <v>1007</v>
      </c>
      <c r="AN42" t="s">
        <v>1008</v>
      </c>
      <c r="AO42" t="s">
        <v>1009</v>
      </c>
      <c r="AQ42">
        <f t="shared" si="6"/>
        <v>41</v>
      </c>
      <c r="AR42" t="s">
        <v>1010</v>
      </c>
      <c r="AS42" t="s">
        <v>1011</v>
      </c>
      <c r="AT42" t="s">
        <v>1012</v>
      </c>
      <c r="AU42" t="s">
        <v>1013</v>
      </c>
      <c r="AW42">
        <f t="shared" si="7"/>
        <v>41</v>
      </c>
      <c r="AX42" t="s">
        <v>1014</v>
      </c>
      <c r="AY42" t="s">
        <v>1015</v>
      </c>
      <c r="AZ42" t="s">
        <v>1016</v>
      </c>
      <c r="BA42" t="s">
        <v>1017</v>
      </c>
      <c r="BC42">
        <f t="shared" si="8"/>
        <v>41</v>
      </c>
      <c r="BD42" t="s">
        <v>1018</v>
      </c>
      <c r="BE42" t="s">
        <v>1019</v>
      </c>
      <c r="BF42" t="s">
        <v>1020</v>
      </c>
      <c r="BG42" t="s">
        <v>1021</v>
      </c>
      <c r="BI42">
        <f t="shared" si="9"/>
        <v>41</v>
      </c>
      <c r="BJ42" t="s">
        <v>1022</v>
      </c>
      <c r="BK42" t="s">
        <v>1023</v>
      </c>
      <c r="BL42" t="s">
        <v>1024</v>
      </c>
      <c r="BM42" t="s">
        <v>1025</v>
      </c>
      <c r="BO42">
        <f t="shared" si="10"/>
        <v>41</v>
      </c>
    </row>
    <row r="43" spans="1:71" x14ac:dyDescent="0.2">
      <c r="A43">
        <f t="shared" si="18"/>
        <v>42</v>
      </c>
      <c r="B43" t="s">
        <v>1026</v>
      </c>
      <c r="C43" t="s">
        <v>1027</v>
      </c>
      <c r="D43" t="s">
        <v>1028</v>
      </c>
      <c r="E43" t="s">
        <v>1029</v>
      </c>
      <c r="M43">
        <f t="shared" si="1"/>
        <v>42</v>
      </c>
      <c r="N43" t="s">
        <v>1030</v>
      </c>
      <c r="O43" t="s">
        <v>1031</v>
      </c>
      <c r="P43" t="s">
        <v>1032</v>
      </c>
      <c r="Q43" t="s">
        <v>1033</v>
      </c>
      <c r="S43">
        <f t="shared" si="2"/>
        <v>42</v>
      </c>
      <c r="T43" t="s">
        <v>1034</v>
      </c>
      <c r="U43" t="s">
        <v>1035</v>
      </c>
      <c r="V43" t="s">
        <v>1036</v>
      </c>
      <c r="W43" t="s">
        <v>1037</v>
      </c>
      <c r="Y43">
        <f t="shared" si="3"/>
        <v>42</v>
      </c>
      <c r="AE43">
        <f t="shared" si="4"/>
        <v>42</v>
      </c>
      <c r="AF43" t="s">
        <v>1038</v>
      </c>
      <c r="AG43" t="s">
        <v>1039</v>
      </c>
      <c r="AH43" t="s">
        <v>1040</v>
      </c>
      <c r="AI43" t="s">
        <v>1041</v>
      </c>
      <c r="AK43">
        <f t="shared" si="5"/>
        <v>42</v>
      </c>
      <c r="AL43" t="s">
        <v>1042</v>
      </c>
      <c r="AM43" t="s">
        <v>1043</v>
      </c>
      <c r="AN43" t="s">
        <v>1044</v>
      </c>
      <c r="AO43" t="s">
        <v>1045</v>
      </c>
      <c r="AQ43">
        <f t="shared" si="6"/>
        <v>42</v>
      </c>
      <c r="AR43" t="s">
        <v>1046</v>
      </c>
      <c r="AS43" t="s">
        <v>1047</v>
      </c>
      <c r="AT43" t="s">
        <v>1048</v>
      </c>
      <c r="AU43" t="s">
        <v>1047</v>
      </c>
      <c r="AW43">
        <f t="shared" si="7"/>
        <v>42</v>
      </c>
      <c r="AX43" t="s">
        <v>1049</v>
      </c>
      <c r="AY43" t="s">
        <v>1050</v>
      </c>
      <c r="AZ43" t="s">
        <v>1051</v>
      </c>
      <c r="BA43" t="s">
        <v>1052</v>
      </c>
      <c r="BC43">
        <f t="shared" si="8"/>
        <v>42</v>
      </c>
      <c r="BD43" t="s">
        <v>1053</v>
      </c>
      <c r="BE43" t="s">
        <v>1054</v>
      </c>
      <c r="BF43" t="s">
        <v>1055</v>
      </c>
      <c r="BG43" t="s">
        <v>1056</v>
      </c>
      <c r="BI43">
        <f t="shared" si="9"/>
        <v>42</v>
      </c>
      <c r="BJ43" t="s">
        <v>1057</v>
      </c>
      <c r="BK43" t="s">
        <v>1058</v>
      </c>
      <c r="BL43" t="s">
        <v>1059</v>
      </c>
      <c r="BM43" t="s">
        <v>1060</v>
      </c>
      <c r="BO43">
        <f t="shared" si="10"/>
        <v>42</v>
      </c>
    </row>
    <row r="44" spans="1:71" x14ac:dyDescent="0.2">
      <c r="A44">
        <f t="shared" si="18"/>
        <v>43</v>
      </c>
      <c r="B44" t="s">
        <v>1061</v>
      </c>
      <c r="C44" t="s">
        <v>1062</v>
      </c>
      <c r="D44" t="s">
        <v>1063</v>
      </c>
      <c r="E44" t="s">
        <v>1064</v>
      </c>
      <c r="M44">
        <f t="shared" si="1"/>
        <v>43</v>
      </c>
      <c r="N44" t="s">
        <v>1065</v>
      </c>
      <c r="O44" t="s">
        <v>1066</v>
      </c>
      <c r="P44" t="s">
        <v>1067</v>
      </c>
      <c r="Q44" t="s">
        <v>1068</v>
      </c>
      <c r="S44">
        <f t="shared" si="2"/>
        <v>43</v>
      </c>
      <c r="T44" t="s">
        <v>1069</v>
      </c>
      <c r="U44" t="s">
        <v>1070</v>
      </c>
      <c r="V44" t="s">
        <v>1071</v>
      </c>
      <c r="W44" t="s">
        <v>1072</v>
      </c>
      <c r="Y44">
        <f t="shared" si="3"/>
        <v>43</v>
      </c>
      <c r="AE44">
        <f t="shared" si="4"/>
        <v>43</v>
      </c>
      <c r="AF44" t="s">
        <v>1073</v>
      </c>
      <c r="AG44" t="s">
        <v>1074</v>
      </c>
      <c r="AH44" t="s">
        <v>1075</v>
      </c>
      <c r="AI44" t="s">
        <v>1076</v>
      </c>
      <c r="AK44">
        <f t="shared" si="5"/>
        <v>43</v>
      </c>
      <c r="AL44" t="s">
        <v>1077</v>
      </c>
      <c r="AM44" t="s">
        <v>1078</v>
      </c>
      <c r="AN44" t="s">
        <v>1079</v>
      </c>
      <c r="AO44" t="s">
        <v>1080</v>
      </c>
      <c r="AQ44">
        <f t="shared" si="6"/>
        <v>43</v>
      </c>
      <c r="AR44" t="s">
        <v>1081</v>
      </c>
      <c r="AS44" t="s">
        <v>1082</v>
      </c>
      <c r="AT44" t="s">
        <v>1083</v>
      </c>
      <c r="AU44" t="s">
        <v>1084</v>
      </c>
      <c r="AW44">
        <f t="shared" si="7"/>
        <v>43</v>
      </c>
      <c r="AX44" t="s">
        <v>1085</v>
      </c>
      <c r="AY44" t="s">
        <v>1086</v>
      </c>
      <c r="AZ44" t="s">
        <v>1087</v>
      </c>
      <c r="BA44" t="s">
        <v>1088</v>
      </c>
      <c r="BC44">
        <f t="shared" si="8"/>
        <v>43</v>
      </c>
      <c r="BD44" t="s">
        <v>714</v>
      </c>
      <c r="BE44" t="s">
        <v>715</v>
      </c>
      <c r="BF44" t="s">
        <v>716</v>
      </c>
      <c r="BG44" t="s">
        <v>717</v>
      </c>
      <c r="BI44">
        <f t="shared" si="9"/>
        <v>43</v>
      </c>
      <c r="BJ44" t="s">
        <v>1089</v>
      </c>
      <c r="BK44" t="s">
        <v>1090</v>
      </c>
      <c r="BL44" t="s">
        <v>1091</v>
      </c>
      <c r="BM44" t="s">
        <v>1092</v>
      </c>
      <c r="BO44">
        <f t="shared" si="10"/>
        <v>43</v>
      </c>
    </row>
    <row r="45" spans="1:71" x14ac:dyDescent="0.2">
      <c r="A45">
        <f t="shared" si="18"/>
        <v>44</v>
      </c>
      <c r="B45" t="s">
        <v>1093</v>
      </c>
      <c r="C45" t="s">
        <v>1094</v>
      </c>
      <c r="D45" t="s">
        <v>1095</v>
      </c>
      <c r="E45" t="s">
        <v>1094</v>
      </c>
      <c r="M45">
        <f t="shared" si="1"/>
        <v>44</v>
      </c>
      <c r="N45" t="s">
        <v>1096</v>
      </c>
      <c r="O45" t="s">
        <v>1097</v>
      </c>
      <c r="P45" t="s">
        <v>1098</v>
      </c>
      <c r="Q45" t="s">
        <v>1099</v>
      </c>
      <c r="S45">
        <f t="shared" si="2"/>
        <v>44</v>
      </c>
      <c r="Y45">
        <f t="shared" si="3"/>
        <v>44</v>
      </c>
      <c r="AE45">
        <f t="shared" si="4"/>
        <v>44</v>
      </c>
      <c r="AF45" t="s">
        <v>1100</v>
      </c>
      <c r="AG45" t="s">
        <v>1101</v>
      </c>
      <c r="AH45" t="s">
        <v>1102</v>
      </c>
      <c r="AI45" t="s">
        <v>1103</v>
      </c>
      <c r="AK45">
        <f t="shared" si="5"/>
        <v>44</v>
      </c>
      <c r="AL45" t="s">
        <v>1104</v>
      </c>
      <c r="AM45" t="s">
        <v>1105</v>
      </c>
      <c r="AN45" t="s">
        <v>1106</v>
      </c>
      <c r="AO45" t="s">
        <v>1107</v>
      </c>
      <c r="AQ45">
        <f t="shared" si="6"/>
        <v>44</v>
      </c>
      <c r="AR45" t="s">
        <v>1108</v>
      </c>
      <c r="AS45" t="s">
        <v>1109</v>
      </c>
      <c r="AT45" t="s">
        <v>1110</v>
      </c>
      <c r="AU45" t="s">
        <v>1111</v>
      </c>
      <c r="AW45">
        <f t="shared" si="7"/>
        <v>44</v>
      </c>
      <c r="AX45" t="s">
        <v>1112</v>
      </c>
      <c r="AY45" t="s">
        <v>1113</v>
      </c>
      <c r="AZ45" t="s">
        <v>1114</v>
      </c>
      <c r="BA45" t="s">
        <v>1115</v>
      </c>
      <c r="BC45">
        <f t="shared" si="8"/>
        <v>44</v>
      </c>
      <c r="BD45" t="s">
        <v>1116</v>
      </c>
      <c r="BE45" t="s">
        <v>1117</v>
      </c>
      <c r="BF45" t="s">
        <v>1118</v>
      </c>
      <c r="BG45" t="s">
        <v>1119</v>
      </c>
      <c r="BI45">
        <f t="shared" si="9"/>
        <v>44</v>
      </c>
      <c r="BJ45" t="s">
        <v>1120</v>
      </c>
      <c r="BK45" t="s">
        <v>1121</v>
      </c>
      <c r="BL45" t="s">
        <v>1122</v>
      </c>
      <c r="BM45" t="s">
        <v>1123</v>
      </c>
      <c r="BO45">
        <f t="shared" si="10"/>
        <v>44</v>
      </c>
    </row>
    <row r="46" spans="1:71" x14ac:dyDescent="0.2">
      <c r="A46">
        <f t="shared" si="18"/>
        <v>45</v>
      </c>
      <c r="B46" t="s">
        <v>1124</v>
      </c>
      <c r="C46" t="s">
        <v>1125</v>
      </c>
      <c r="D46" t="s">
        <v>1126</v>
      </c>
      <c r="E46" t="s">
        <v>1127</v>
      </c>
      <c r="M46">
        <f t="shared" si="1"/>
        <v>45</v>
      </c>
      <c r="N46" s="25" t="s">
        <v>1128</v>
      </c>
      <c r="O46" s="25" t="s">
        <v>1129</v>
      </c>
      <c r="P46" s="25" t="s">
        <v>1130</v>
      </c>
      <c r="Q46" s="25" t="s">
        <v>1131</v>
      </c>
      <c r="S46">
        <f t="shared" si="2"/>
        <v>45</v>
      </c>
      <c r="Y46">
        <f t="shared" si="3"/>
        <v>45</v>
      </c>
      <c r="AE46">
        <f t="shared" si="4"/>
        <v>45</v>
      </c>
      <c r="AF46" t="s">
        <v>1132</v>
      </c>
      <c r="AG46" t="s">
        <v>1133</v>
      </c>
      <c r="AH46" t="s">
        <v>1134</v>
      </c>
      <c r="AI46" t="s">
        <v>1135</v>
      </c>
      <c r="AK46">
        <f t="shared" si="5"/>
        <v>45</v>
      </c>
      <c r="AL46" t="s">
        <v>1136</v>
      </c>
      <c r="AM46" t="s">
        <v>1137</v>
      </c>
      <c r="AN46" t="s">
        <v>1138</v>
      </c>
      <c r="AO46" t="s">
        <v>1139</v>
      </c>
      <c r="AQ46">
        <f t="shared" si="6"/>
        <v>45</v>
      </c>
      <c r="AR46" t="s">
        <v>1140</v>
      </c>
      <c r="AS46" t="s">
        <v>1141</v>
      </c>
      <c r="AT46" t="s">
        <v>1142</v>
      </c>
      <c r="AU46" t="s">
        <v>1143</v>
      </c>
      <c r="AW46">
        <f t="shared" si="7"/>
        <v>45</v>
      </c>
      <c r="AX46" t="s">
        <v>1144</v>
      </c>
      <c r="AY46" t="s">
        <v>1145</v>
      </c>
      <c r="AZ46" t="s">
        <v>1146</v>
      </c>
      <c r="BA46" t="s">
        <v>1147</v>
      </c>
      <c r="BC46">
        <f t="shared" si="8"/>
        <v>45</v>
      </c>
      <c r="BD46" t="s">
        <v>1148</v>
      </c>
      <c r="BE46" t="s">
        <v>1149</v>
      </c>
      <c r="BF46" t="s">
        <v>1150</v>
      </c>
      <c r="BG46" t="s">
        <v>1151</v>
      </c>
      <c r="BI46">
        <f t="shared" si="9"/>
        <v>45</v>
      </c>
      <c r="BJ46" t="s">
        <v>1152</v>
      </c>
      <c r="BK46" t="s">
        <v>1153</v>
      </c>
      <c r="BL46" t="s">
        <v>1154</v>
      </c>
      <c r="BM46" t="s">
        <v>1155</v>
      </c>
      <c r="BO46">
        <f t="shared" si="10"/>
        <v>45</v>
      </c>
    </row>
    <row r="47" spans="1:71" x14ac:dyDescent="0.2">
      <c r="A47">
        <f t="shared" si="18"/>
        <v>46</v>
      </c>
      <c r="B47" t="s">
        <v>1156</v>
      </c>
      <c r="C47" t="s">
        <v>1156</v>
      </c>
      <c r="D47" t="s">
        <v>1156</v>
      </c>
      <c r="E47" t="s">
        <v>1156</v>
      </c>
      <c r="M47">
        <f t="shared" si="1"/>
        <v>46</v>
      </c>
      <c r="N47" s="16" t="s">
        <v>1157</v>
      </c>
      <c r="O47" s="25" t="s">
        <v>1158</v>
      </c>
      <c r="P47" t="s">
        <v>1159</v>
      </c>
      <c r="Q47" s="25" t="s">
        <v>1160</v>
      </c>
      <c r="S47">
        <f t="shared" si="2"/>
        <v>46</v>
      </c>
      <c r="Y47">
        <f t="shared" si="3"/>
        <v>46</v>
      </c>
      <c r="AE47">
        <f t="shared" si="4"/>
        <v>46</v>
      </c>
      <c r="AF47" t="s">
        <v>1161</v>
      </c>
      <c r="AG47" t="s">
        <v>1162</v>
      </c>
      <c r="AH47" t="s">
        <v>1163</v>
      </c>
      <c r="AI47" t="s">
        <v>1164</v>
      </c>
      <c r="AK47">
        <f t="shared" si="5"/>
        <v>46</v>
      </c>
      <c r="AL47" t="s">
        <v>1165</v>
      </c>
      <c r="AM47" t="s">
        <v>1166</v>
      </c>
      <c r="AN47" t="s">
        <v>1167</v>
      </c>
      <c r="AO47" t="s">
        <v>1168</v>
      </c>
      <c r="AQ47">
        <f t="shared" si="6"/>
        <v>46</v>
      </c>
      <c r="AR47" t="s">
        <v>1169</v>
      </c>
      <c r="AS47" t="s">
        <v>1170</v>
      </c>
      <c r="AT47" t="s">
        <v>1171</v>
      </c>
      <c r="AU47" t="s">
        <v>1172</v>
      </c>
      <c r="AW47">
        <f t="shared" si="7"/>
        <v>46</v>
      </c>
      <c r="AX47" t="s">
        <v>1173</v>
      </c>
      <c r="AY47" t="s">
        <v>1174</v>
      </c>
      <c r="AZ47" t="s">
        <v>1175</v>
      </c>
      <c r="BA47" t="s">
        <v>1176</v>
      </c>
      <c r="BC47">
        <f t="shared" si="8"/>
        <v>46</v>
      </c>
      <c r="BD47" t="s">
        <v>1177</v>
      </c>
      <c r="BE47" t="s">
        <v>1178</v>
      </c>
      <c r="BF47" t="s">
        <v>1179</v>
      </c>
      <c r="BG47" t="s">
        <v>1180</v>
      </c>
      <c r="BI47">
        <f t="shared" si="9"/>
        <v>46</v>
      </c>
      <c r="BJ47" t="s">
        <v>1181</v>
      </c>
      <c r="BK47" t="s">
        <v>1182</v>
      </c>
      <c r="BL47" t="s">
        <v>1183</v>
      </c>
      <c r="BM47" t="s">
        <v>1184</v>
      </c>
      <c r="BO47">
        <f t="shared" si="10"/>
        <v>46</v>
      </c>
    </row>
    <row r="48" spans="1:71" x14ac:dyDescent="0.2">
      <c r="A48">
        <f t="shared" ref="A48:A53" si="19">ROW()-1</f>
        <v>47</v>
      </c>
      <c r="B48" t="s">
        <v>1185</v>
      </c>
      <c r="C48" t="s">
        <v>1186</v>
      </c>
      <c r="D48" t="s">
        <v>1187</v>
      </c>
      <c r="E48" t="s">
        <v>1188</v>
      </c>
      <c r="M48">
        <f t="shared" si="1"/>
        <v>47</v>
      </c>
      <c r="N48" s="16" t="s">
        <v>1189</v>
      </c>
      <c r="O48" s="25" t="s">
        <v>1190</v>
      </c>
      <c r="P48" s="16" t="s">
        <v>1191</v>
      </c>
      <c r="Q48" s="25" t="s">
        <v>1192</v>
      </c>
      <c r="S48">
        <f t="shared" si="2"/>
        <v>47</v>
      </c>
      <c r="Y48">
        <f t="shared" si="3"/>
        <v>47</v>
      </c>
      <c r="AE48">
        <f t="shared" si="4"/>
        <v>47</v>
      </c>
      <c r="AF48" t="s">
        <v>1193</v>
      </c>
      <c r="AG48" t="s">
        <v>1194</v>
      </c>
      <c r="AH48" t="s">
        <v>1195</v>
      </c>
      <c r="AI48" t="s">
        <v>1196</v>
      </c>
      <c r="AK48">
        <f t="shared" si="5"/>
        <v>47</v>
      </c>
      <c r="AL48" t="s">
        <v>1197</v>
      </c>
      <c r="AM48" t="s">
        <v>1198</v>
      </c>
      <c r="AN48" t="s">
        <v>1199</v>
      </c>
      <c r="AO48" t="s">
        <v>1200</v>
      </c>
      <c r="AQ48">
        <f t="shared" si="6"/>
        <v>47</v>
      </c>
      <c r="AR48" t="s">
        <v>1201</v>
      </c>
      <c r="AS48" t="s">
        <v>1202</v>
      </c>
      <c r="AT48" t="s">
        <v>1203</v>
      </c>
      <c r="AU48" t="s">
        <v>1204</v>
      </c>
      <c r="AW48">
        <f t="shared" si="7"/>
        <v>47</v>
      </c>
      <c r="AX48" t="s">
        <v>1205</v>
      </c>
      <c r="AY48" t="s">
        <v>1206</v>
      </c>
      <c r="AZ48" t="s">
        <v>1207</v>
      </c>
      <c r="BA48" t="s">
        <v>1208</v>
      </c>
      <c r="BC48">
        <f t="shared" si="8"/>
        <v>47</v>
      </c>
      <c r="BD48" t="s">
        <v>1209</v>
      </c>
      <c r="BE48" t="s">
        <v>1210</v>
      </c>
      <c r="BF48" t="s">
        <v>1211</v>
      </c>
      <c r="BG48" t="s">
        <v>1212</v>
      </c>
      <c r="BI48">
        <f t="shared" si="9"/>
        <v>47</v>
      </c>
      <c r="BJ48" t="s">
        <v>1213</v>
      </c>
      <c r="BK48" t="s">
        <v>1214</v>
      </c>
      <c r="BL48" t="s">
        <v>1215</v>
      </c>
      <c r="BM48" t="s">
        <v>1216</v>
      </c>
      <c r="BO48">
        <f t="shared" si="10"/>
        <v>47</v>
      </c>
    </row>
    <row r="49" spans="1:71" x14ac:dyDescent="0.2">
      <c r="A49">
        <f t="shared" si="19"/>
        <v>48</v>
      </c>
      <c r="B49" t="s">
        <v>1217</v>
      </c>
      <c r="C49" t="s">
        <v>1218</v>
      </c>
      <c r="D49" t="s">
        <v>1219</v>
      </c>
      <c r="E49" t="s">
        <v>1220</v>
      </c>
      <c r="M49">
        <f t="shared" si="1"/>
        <v>48</v>
      </c>
      <c r="N49" s="16" t="s">
        <v>1221</v>
      </c>
      <c r="O49" s="25" t="s">
        <v>1222</v>
      </c>
      <c r="P49" t="s">
        <v>1223</v>
      </c>
      <c r="Q49" s="25" t="s">
        <v>1224</v>
      </c>
      <c r="S49">
        <f t="shared" si="2"/>
        <v>48</v>
      </c>
      <c r="Y49">
        <f t="shared" si="3"/>
        <v>48</v>
      </c>
      <c r="AE49">
        <f t="shared" si="4"/>
        <v>48</v>
      </c>
      <c r="AF49" t="s">
        <v>1225</v>
      </c>
      <c r="AG49" t="s">
        <v>1226</v>
      </c>
      <c r="AH49" t="s">
        <v>1226</v>
      </c>
      <c r="AI49" t="s">
        <v>1227</v>
      </c>
      <c r="AK49">
        <f t="shared" si="5"/>
        <v>48</v>
      </c>
      <c r="AL49" t="s">
        <v>899</v>
      </c>
      <c r="AM49" t="s">
        <v>900</v>
      </c>
      <c r="AN49" t="s">
        <v>901</v>
      </c>
      <c r="AO49" t="s">
        <v>902</v>
      </c>
      <c r="AQ49">
        <f t="shared" si="6"/>
        <v>48</v>
      </c>
      <c r="AR49" t="s">
        <v>1228</v>
      </c>
      <c r="AS49" t="s">
        <v>1229</v>
      </c>
      <c r="AT49" t="s">
        <v>1230</v>
      </c>
      <c r="AU49" t="s">
        <v>1231</v>
      </c>
      <c r="AW49">
        <f t="shared" si="7"/>
        <v>48</v>
      </c>
      <c r="AX49" t="s">
        <v>1232</v>
      </c>
      <c r="AY49" t="s">
        <v>1233</v>
      </c>
      <c r="AZ49" t="s">
        <v>1234</v>
      </c>
      <c r="BA49" t="s">
        <v>1235</v>
      </c>
      <c r="BC49">
        <f t="shared" si="8"/>
        <v>48</v>
      </c>
      <c r="BD49" t="s">
        <v>1236</v>
      </c>
      <c r="BE49" t="s">
        <v>1237</v>
      </c>
      <c r="BF49" t="s">
        <v>1238</v>
      </c>
      <c r="BG49" t="s">
        <v>1239</v>
      </c>
      <c r="BI49">
        <f t="shared" si="9"/>
        <v>48</v>
      </c>
      <c r="BO49">
        <f t="shared" si="10"/>
        <v>48</v>
      </c>
    </row>
    <row r="50" spans="1:71" x14ac:dyDescent="0.2">
      <c r="A50">
        <f t="shared" si="19"/>
        <v>49</v>
      </c>
      <c r="B50" t="s">
        <v>1240</v>
      </c>
      <c r="C50" t="s">
        <v>1240</v>
      </c>
      <c r="D50" t="s">
        <v>1240</v>
      </c>
      <c r="E50" t="s">
        <v>1240</v>
      </c>
      <c r="M50">
        <f t="shared" si="1"/>
        <v>49</v>
      </c>
      <c r="S50">
        <f t="shared" si="2"/>
        <v>49</v>
      </c>
      <c r="Y50">
        <f t="shared" si="3"/>
        <v>49</v>
      </c>
      <c r="AE50">
        <f t="shared" si="4"/>
        <v>49</v>
      </c>
      <c r="AK50">
        <f t="shared" si="5"/>
        <v>49</v>
      </c>
      <c r="AL50" t="s">
        <v>926</v>
      </c>
      <c r="AM50" t="s">
        <v>1241</v>
      </c>
      <c r="AN50" t="s">
        <v>1242</v>
      </c>
      <c r="AO50" t="s">
        <v>1243</v>
      </c>
      <c r="AQ50">
        <f t="shared" si="6"/>
        <v>49</v>
      </c>
      <c r="AR50" t="s">
        <v>1244</v>
      </c>
      <c r="AS50" t="s">
        <v>1245</v>
      </c>
      <c r="AT50" t="s">
        <v>1246</v>
      </c>
      <c r="AU50" t="s">
        <v>1247</v>
      </c>
      <c r="AW50">
        <f t="shared" si="7"/>
        <v>49</v>
      </c>
      <c r="AX50" t="s">
        <v>710</v>
      </c>
      <c r="AY50" t="s">
        <v>711</v>
      </c>
      <c r="AZ50" t="s">
        <v>712</v>
      </c>
      <c r="BA50" t="s">
        <v>713</v>
      </c>
      <c r="BC50">
        <f t="shared" si="8"/>
        <v>49</v>
      </c>
      <c r="BD50" t="s">
        <v>1248</v>
      </c>
      <c r="BE50" t="s">
        <v>1249</v>
      </c>
      <c r="BF50" t="s">
        <v>1250</v>
      </c>
      <c r="BG50" t="s">
        <v>1251</v>
      </c>
      <c r="BI50">
        <f t="shared" si="9"/>
        <v>49</v>
      </c>
      <c r="BO50">
        <f t="shared" si="10"/>
        <v>49</v>
      </c>
    </row>
    <row r="51" spans="1:71" x14ac:dyDescent="0.2">
      <c r="A51">
        <f t="shared" si="19"/>
        <v>50</v>
      </c>
      <c r="B51" t="s">
        <v>1252</v>
      </c>
      <c r="C51" t="s">
        <v>1253</v>
      </c>
      <c r="D51" t="s">
        <v>1254</v>
      </c>
      <c r="E51" t="s">
        <v>1255</v>
      </c>
      <c r="M51">
        <f t="shared" si="1"/>
        <v>50</v>
      </c>
      <c r="S51">
        <f t="shared" si="2"/>
        <v>50</v>
      </c>
      <c r="Y51">
        <f t="shared" si="3"/>
        <v>50</v>
      </c>
      <c r="AE51">
        <f t="shared" si="4"/>
        <v>50</v>
      </c>
      <c r="AK51">
        <f t="shared" si="5"/>
        <v>50</v>
      </c>
      <c r="AL51" t="s">
        <v>1256</v>
      </c>
      <c r="AM51" t="s">
        <v>1257</v>
      </c>
      <c r="AN51" t="s">
        <v>1258</v>
      </c>
      <c r="AO51" t="s">
        <v>1259</v>
      </c>
      <c r="AQ51">
        <f t="shared" si="6"/>
        <v>50</v>
      </c>
      <c r="AR51" t="s">
        <v>1260</v>
      </c>
      <c r="AS51" t="s">
        <v>1261</v>
      </c>
      <c r="AT51" t="s">
        <v>1262</v>
      </c>
      <c r="AU51" t="s">
        <v>1263</v>
      </c>
      <c r="AW51">
        <f t="shared" si="7"/>
        <v>50</v>
      </c>
      <c r="AX51" t="s">
        <v>754</v>
      </c>
      <c r="AY51" t="s">
        <v>754</v>
      </c>
      <c r="AZ51" t="s">
        <v>755</v>
      </c>
      <c r="BA51" t="s">
        <v>754</v>
      </c>
      <c r="BC51">
        <f t="shared" si="8"/>
        <v>50</v>
      </c>
      <c r="BD51" t="s">
        <v>1264</v>
      </c>
      <c r="BE51" t="s">
        <v>715</v>
      </c>
      <c r="BF51" t="s">
        <v>1265</v>
      </c>
      <c r="BG51" t="s">
        <v>717</v>
      </c>
      <c r="BI51">
        <f t="shared" si="9"/>
        <v>50</v>
      </c>
      <c r="BO51">
        <f t="shared" si="10"/>
        <v>50</v>
      </c>
    </row>
    <row r="52" spans="1:71" x14ac:dyDescent="0.2">
      <c r="A52">
        <f t="shared" si="19"/>
        <v>51</v>
      </c>
      <c r="B52" t="s">
        <v>1266</v>
      </c>
      <c r="C52" t="s">
        <v>1267</v>
      </c>
      <c r="D52" t="s">
        <v>1268</v>
      </c>
      <c r="E52" t="s">
        <v>1269</v>
      </c>
      <c r="M52">
        <f t="shared" si="1"/>
        <v>51</v>
      </c>
      <c r="N52" t="s">
        <v>1270</v>
      </c>
      <c r="O52" t="s">
        <v>1271</v>
      </c>
      <c r="P52" t="s">
        <v>1272</v>
      </c>
      <c r="Q52" t="s">
        <v>1273</v>
      </c>
      <c r="S52">
        <f t="shared" si="2"/>
        <v>51</v>
      </c>
      <c r="T52" t="s">
        <v>1274</v>
      </c>
      <c r="U52" t="s">
        <v>1275</v>
      </c>
      <c r="V52" t="s">
        <v>1276</v>
      </c>
      <c r="W52" t="s">
        <v>1277</v>
      </c>
      <c r="Y52">
        <f t="shared" si="3"/>
        <v>51</v>
      </c>
      <c r="AE52">
        <f t="shared" si="4"/>
        <v>51</v>
      </c>
      <c r="AK52">
        <f t="shared" si="5"/>
        <v>51</v>
      </c>
      <c r="AL52" t="s">
        <v>1278</v>
      </c>
      <c r="AM52" t="s">
        <v>1279</v>
      </c>
      <c r="AN52" t="s">
        <v>1280</v>
      </c>
      <c r="AO52" t="s">
        <v>1281</v>
      </c>
      <c r="AQ52">
        <f t="shared" si="6"/>
        <v>51</v>
      </c>
      <c r="AR52" t="s">
        <v>1282</v>
      </c>
      <c r="AS52" t="s">
        <v>1283</v>
      </c>
      <c r="AT52" t="s">
        <v>1284</v>
      </c>
      <c r="AU52" t="s">
        <v>1285</v>
      </c>
      <c r="AW52">
        <f t="shared" si="7"/>
        <v>51</v>
      </c>
      <c r="AX52" t="s">
        <v>789</v>
      </c>
      <c r="AY52" t="s">
        <v>789</v>
      </c>
      <c r="AZ52" t="s">
        <v>789</v>
      </c>
      <c r="BA52" t="s">
        <v>790</v>
      </c>
      <c r="BC52">
        <f t="shared" si="8"/>
        <v>51</v>
      </c>
      <c r="BD52" t="s">
        <v>1286</v>
      </c>
      <c r="BE52" t="s">
        <v>1117</v>
      </c>
      <c r="BF52" t="s">
        <v>1287</v>
      </c>
      <c r="BG52" t="s">
        <v>1119</v>
      </c>
      <c r="BI52">
        <f t="shared" si="9"/>
        <v>51</v>
      </c>
      <c r="BO52">
        <f t="shared" si="10"/>
        <v>51</v>
      </c>
      <c r="BP52" t="s">
        <v>1288</v>
      </c>
      <c r="BQ52" t="s">
        <v>1289</v>
      </c>
      <c r="BR52" t="s">
        <v>1290</v>
      </c>
      <c r="BS52" t="s">
        <v>1291</v>
      </c>
    </row>
    <row r="53" spans="1:71" x14ac:dyDescent="0.2">
      <c r="A53">
        <f t="shared" si="19"/>
        <v>52</v>
      </c>
      <c r="B53" t="s">
        <v>1292</v>
      </c>
      <c r="C53" t="s">
        <v>1293</v>
      </c>
      <c r="D53" t="s">
        <v>1294</v>
      </c>
      <c r="E53" t="s">
        <v>1295</v>
      </c>
      <c r="M53">
        <f t="shared" si="1"/>
        <v>52</v>
      </c>
      <c r="N53" t="s">
        <v>1296</v>
      </c>
      <c r="O53" t="s">
        <v>1297</v>
      </c>
      <c r="P53" t="s">
        <v>1298</v>
      </c>
      <c r="Q53" t="s">
        <v>1299</v>
      </c>
      <c r="S53">
        <f t="shared" si="2"/>
        <v>52</v>
      </c>
      <c r="T53" t="s">
        <v>1300</v>
      </c>
      <c r="U53" t="s">
        <v>1301</v>
      </c>
      <c r="V53" t="s">
        <v>1302</v>
      </c>
      <c r="W53" t="s">
        <v>1303</v>
      </c>
      <c r="Y53">
        <f t="shared" si="3"/>
        <v>52</v>
      </c>
      <c r="AE53">
        <f t="shared" si="4"/>
        <v>52</v>
      </c>
      <c r="AK53">
        <f t="shared" si="5"/>
        <v>52</v>
      </c>
      <c r="AL53" t="s">
        <v>1304</v>
      </c>
      <c r="AM53" t="s">
        <v>1305</v>
      </c>
      <c r="AN53" t="s">
        <v>1306</v>
      </c>
      <c r="AO53" t="s">
        <v>1307</v>
      </c>
      <c r="AQ53">
        <f t="shared" si="6"/>
        <v>52</v>
      </c>
      <c r="AR53" t="s">
        <v>1308</v>
      </c>
      <c r="AS53" t="s">
        <v>1309</v>
      </c>
      <c r="AT53" t="s">
        <v>1310</v>
      </c>
      <c r="AU53" t="s">
        <v>1311</v>
      </c>
      <c r="AW53">
        <f t="shared" si="7"/>
        <v>52</v>
      </c>
      <c r="AX53" t="s">
        <v>827</v>
      </c>
      <c r="AY53" t="s">
        <v>828</v>
      </c>
      <c r="AZ53" t="s">
        <v>829</v>
      </c>
      <c r="BA53" t="s">
        <v>830</v>
      </c>
      <c r="BC53">
        <f t="shared" si="8"/>
        <v>52</v>
      </c>
      <c r="BD53" t="s">
        <v>1312</v>
      </c>
      <c r="BE53" t="s">
        <v>1313</v>
      </c>
      <c r="BF53" t="s">
        <v>1314</v>
      </c>
      <c r="BG53" t="s">
        <v>1315</v>
      </c>
      <c r="BI53">
        <f t="shared" si="9"/>
        <v>52</v>
      </c>
      <c r="BO53">
        <f t="shared" si="10"/>
        <v>52</v>
      </c>
      <c r="BP53" t="s">
        <v>1316</v>
      </c>
      <c r="BQ53" t="s">
        <v>1317</v>
      </c>
      <c r="BR53" t="s">
        <v>1318</v>
      </c>
      <c r="BS53" t="s">
        <v>1319</v>
      </c>
    </row>
    <row r="54" spans="1:71" x14ac:dyDescent="0.2">
      <c r="A54">
        <f t="shared" ref="A54:A67" si="20">ROW()-1</f>
        <v>53</v>
      </c>
      <c r="B54" t="s">
        <v>1320</v>
      </c>
      <c r="C54" t="s">
        <v>1321</v>
      </c>
      <c r="D54" t="s">
        <v>1322</v>
      </c>
      <c r="E54" t="s">
        <v>1323</v>
      </c>
      <c r="M54">
        <f t="shared" si="1"/>
        <v>53</v>
      </c>
      <c r="N54" t="s">
        <v>1324</v>
      </c>
      <c r="O54" t="s">
        <v>1325</v>
      </c>
      <c r="P54" t="s">
        <v>1326</v>
      </c>
      <c r="Q54" t="s">
        <v>1327</v>
      </c>
      <c r="S54">
        <f t="shared" si="2"/>
        <v>53</v>
      </c>
      <c r="Y54">
        <f t="shared" si="3"/>
        <v>53</v>
      </c>
      <c r="AE54">
        <f t="shared" si="4"/>
        <v>53</v>
      </c>
      <c r="AK54">
        <f t="shared" si="5"/>
        <v>53</v>
      </c>
      <c r="AL54" t="s">
        <v>1328</v>
      </c>
      <c r="AM54" t="s">
        <v>1329</v>
      </c>
      <c r="AN54" t="s">
        <v>1330</v>
      </c>
      <c r="AO54" t="s">
        <v>1331</v>
      </c>
      <c r="AQ54">
        <f t="shared" si="6"/>
        <v>53</v>
      </c>
      <c r="AR54" t="s">
        <v>1332</v>
      </c>
      <c r="AS54" t="s">
        <v>1333</v>
      </c>
      <c r="AT54" t="s">
        <v>1334</v>
      </c>
      <c r="AU54" t="s">
        <v>1335</v>
      </c>
      <c r="AW54">
        <f t="shared" si="7"/>
        <v>53</v>
      </c>
      <c r="AX54" t="s">
        <v>867</v>
      </c>
      <c r="AY54" t="s">
        <v>868</v>
      </c>
      <c r="AZ54" t="s">
        <v>869</v>
      </c>
      <c r="BA54" t="s">
        <v>870</v>
      </c>
      <c r="BC54">
        <f t="shared" si="8"/>
        <v>53</v>
      </c>
      <c r="BD54" t="s">
        <v>1336</v>
      </c>
      <c r="BE54" t="s">
        <v>1337</v>
      </c>
      <c r="BF54" t="s">
        <v>1338</v>
      </c>
      <c r="BG54" t="s">
        <v>1339</v>
      </c>
      <c r="BI54">
        <f t="shared" si="9"/>
        <v>53</v>
      </c>
      <c r="BO54">
        <f t="shared" si="10"/>
        <v>53</v>
      </c>
      <c r="BP54" t="s">
        <v>1340</v>
      </c>
      <c r="BQ54" t="s">
        <v>1341</v>
      </c>
      <c r="BR54" t="s">
        <v>1342</v>
      </c>
      <c r="BS54" t="s">
        <v>1343</v>
      </c>
    </row>
    <row r="55" spans="1:71" x14ac:dyDescent="0.2">
      <c r="A55">
        <f t="shared" si="20"/>
        <v>54</v>
      </c>
      <c r="B55" t="s">
        <v>1344</v>
      </c>
      <c r="C55" t="s">
        <v>1345</v>
      </c>
      <c r="D55" t="s">
        <v>1346</v>
      </c>
      <c r="E55" t="s">
        <v>1347</v>
      </c>
      <c r="M55">
        <f t="shared" si="1"/>
        <v>54</v>
      </c>
      <c r="N55" t="s">
        <v>1348</v>
      </c>
      <c r="O55" t="s">
        <v>1349</v>
      </c>
      <c r="P55" t="s">
        <v>1350</v>
      </c>
      <c r="Q55" t="s">
        <v>1351</v>
      </c>
      <c r="S55">
        <f t="shared" si="2"/>
        <v>54</v>
      </c>
      <c r="Y55">
        <f t="shared" si="3"/>
        <v>54</v>
      </c>
      <c r="AE55">
        <f t="shared" si="4"/>
        <v>54</v>
      </c>
      <c r="AK55">
        <f t="shared" si="5"/>
        <v>54</v>
      </c>
      <c r="AL55" t="s">
        <v>1352</v>
      </c>
      <c r="AM55" t="s">
        <v>1353</v>
      </c>
      <c r="AN55" t="s">
        <v>1354</v>
      </c>
      <c r="AO55" t="s">
        <v>1355</v>
      </c>
      <c r="AQ55">
        <f t="shared" si="6"/>
        <v>54</v>
      </c>
      <c r="AR55" t="s">
        <v>1356</v>
      </c>
      <c r="AS55" t="s">
        <v>1357</v>
      </c>
      <c r="AT55" t="s">
        <v>1358</v>
      </c>
      <c r="AU55" t="s">
        <v>1359</v>
      </c>
      <c r="AW55">
        <f t="shared" si="7"/>
        <v>54</v>
      </c>
      <c r="AX55" t="s">
        <v>754</v>
      </c>
      <c r="AY55" t="s">
        <v>754</v>
      </c>
      <c r="AZ55" t="s">
        <v>755</v>
      </c>
      <c r="BA55" t="s">
        <v>754</v>
      </c>
      <c r="BC55">
        <f t="shared" si="8"/>
        <v>54</v>
      </c>
      <c r="BD55" t="s">
        <v>1360</v>
      </c>
      <c r="BE55" t="s">
        <v>1361</v>
      </c>
      <c r="BF55" t="s">
        <v>1362</v>
      </c>
      <c r="BG55" t="s">
        <v>1363</v>
      </c>
      <c r="BI55">
        <f t="shared" si="9"/>
        <v>54</v>
      </c>
      <c r="BO55">
        <f t="shared" si="10"/>
        <v>54</v>
      </c>
      <c r="BP55" t="s">
        <v>1364</v>
      </c>
      <c r="BQ55" t="s">
        <v>1365</v>
      </c>
      <c r="BR55" t="s">
        <v>1366</v>
      </c>
      <c r="BS55" t="s">
        <v>1367</v>
      </c>
    </row>
    <row r="56" spans="1:71" x14ac:dyDescent="0.2">
      <c r="A56">
        <f t="shared" si="20"/>
        <v>55</v>
      </c>
      <c r="B56" t="s">
        <v>1368</v>
      </c>
      <c r="C56" t="s">
        <v>1369</v>
      </c>
      <c r="D56" t="s">
        <v>1370</v>
      </c>
      <c r="E56" t="s">
        <v>1371</v>
      </c>
      <c r="M56">
        <f t="shared" si="1"/>
        <v>55</v>
      </c>
      <c r="S56">
        <f t="shared" si="2"/>
        <v>55</v>
      </c>
      <c r="Y56">
        <f t="shared" si="3"/>
        <v>55</v>
      </c>
      <c r="AE56">
        <f t="shared" si="4"/>
        <v>55</v>
      </c>
      <c r="AK56">
        <f t="shared" si="5"/>
        <v>55</v>
      </c>
      <c r="AL56" t="s">
        <v>1372</v>
      </c>
      <c r="AM56" t="s">
        <v>1373</v>
      </c>
      <c r="AN56" t="s">
        <v>1374</v>
      </c>
      <c r="AO56" t="s">
        <v>1375</v>
      </c>
      <c r="AQ56">
        <f t="shared" si="6"/>
        <v>55</v>
      </c>
      <c r="AR56" t="s">
        <v>1376</v>
      </c>
      <c r="AS56" t="s">
        <v>1376</v>
      </c>
      <c r="AT56" t="s">
        <v>1377</v>
      </c>
      <c r="AU56" t="s">
        <v>1376</v>
      </c>
      <c r="AW56">
        <f t="shared" si="7"/>
        <v>55</v>
      </c>
      <c r="AX56" t="s">
        <v>789</v>
      </c>
      <c r="AY56" t="s">
        <v>789</v>
      </c>
      <c r="AZ56" t="s">
        <v>789</v>
      </c>
      <c r="BA56" t="s">
        <v>790</v>
      </c>
      <c r="BC56">
        <f t="shared" si="8"/>
        <v>55</v>
      </c>
      <c r="BD56" t="s">
        <v>1378</v>
      </c>
      <c r="BE56" t="s">
        <v>1379</v>
      </c>
      <c r="BF56" t="s">
        <v>1380</v>
      </c>
      <c r="BG56" t="s">
        <v>1381</v>
      </c>
      <c r="BI56">
        <f t="shared" si="9"/>
        <v>55</v>
      </c>
      <c r="BO56">
        <f t="shared" si="10"/>
        <v>55</v>
      </c>
      <c r="BP56" t="s">
        <v>1382</v>
      </c>
      <c r="BQ56" t="s">
        <v>1383</v>
      </c>
      <c r="BR56" t="s">
        <v>1384</v>
      </c>
      <c r="BS56" t="s">
        <v>1385</v>
      </c>
    </row>
    <row r="57" spans="1:71" x14ac:dyDescent="0.2">
      <c r="A57">
        <f t="shared" si="20"/>
        <v>56</v>
      </c>
      <c r="M57">
        <f t="shared" si="1"/>
        <v>56</v>
      </c>
      <c r="S57">
        <f t="shared" si="2"/>
        <v>56</v>
      </c>
      <c r="Y57">
        <f t="shared" si="3"/>
        <v>56</v>
      </c>
      <c r="AE57">
        <f t="shared" si="4"/>
        <v>56</v>
      </c>
      <c r="AK57">
        <f t="shared" si="5"/>
        <v>56</v>
      </c>
      <c r="AL57" t="s">
        <v>1386</v>
      </c>
      <c r="AM57" t="s">
        <v>1387</v>
      </c>
      <c r="AN57" t="s">
        <v>1388</v>
      </c>
      <c r="AO57" t="s">
        <v>1389</v>
      </c>
      <c r="AQ57">
        <f t="shared" si="6"/>
        <v>56</v>
      </c>
      <c r="AR57" t="s">
        <v>1390</v>
      </c>
      <c r="AS57" t="s">
        <v>1391</v>
      </c>
      <c r="AT57" t="s">
        <v>1392</v>
      </c>
      <c r="AU57" t="s">
        <v>1393</v>
      </c>
      <c r="AW57">
        <f t="shared" si="7"/>
        <v>56</v>
      </c>
      <c r="AX57" t="s">
        <v>827</v>
      </c>
      <c r="AY57" t="s">
        <v>828</v>
      </c>
      <c r="AZ57" t="s">
        <v>829</v>
      </c>
      <c r="BA57" t="s">
        <v>830</v>
      </c>
      <c r="BC57">
        <f t="shared" si="8"/>
        <v>56</v>
      </c>
      <c r="BI57">
        <f t="shared" si="9"/>
        <v>56</v>
      </c>
      <c r="BO57">
        <f t="shared" si="10"/>
        <v>56</v>
      </c>
    </row>
    <row r="58" spans="1:71" x14ac:dyDescent="0.2">
      <c r="A58">
        <f t="shared" si="20"/>
        <v>57</v>
      </c>
      <c r="M58">
        <f t="shared" si="1"/>
        <v>57</v>
      </c>
      <c r="S58">
        <f t="shared" si="2"/>
        <v>57</v>
      </c>
      <c r="Y58">
        <f t="shared" si="3"/>
        <v>57</v>
      </c>
      <c r="AE58">
        <f t="shared" si="4"/>
        <v>57</v>
      </c>
      <c r="AK58">
        <f t="shared" si="5"/>
        <v>57</v>
      </c>
      <c r="AL58" t="s">
        <v>823</v>
      </c>
      <c r="AM58" t="s">
        <v>824</v>
      </c>
      <c r="AN58" t="s">
        <v>1394</v>
      </c>
      <c r="AO58" t="s">
        <v>826</v>
      </c>
      <c r="AQ58">
        <f t="shared" si="6"/>
        <v>57</v>
      </c>
      <c r="AR58" t="s">
        <v>1308</v>
      </c>
      <c r="AS58" t="s">
        <v>1309</v>
      </c>
      <c r="AT58" t="s">
        <v>1310</v>
      </c>
      <c r="AU58" t="s">
        <v>1311</v>
      </c>
      <c r="AW58">
        <f t="shared" si="7"/>
        <v>57</v>
      </c>
      <c r="AX58" t="s">
        <v>1395</v>
      </c>
      <c r="AY58" t="s">
        <v>1396</v>
      </c>
      <c r="AZ58" t="s">
        <v>1397</v>
      </c>
      <c r="BA58" t="s">
        <v>1398</v>
      </c>
      <c r="BC58">
        <f t="shared" si="8"/>
        <v>57</v>
      </c>
      <c r="BI58">
        <f t="shared" si="9"/>
        <v>57</v>
      </c>
      <c r="BO58">
        <f t="shared" si="10"/>
        <v>57</v>
      </c>
    </row>
    <row r="59" spans="1:71" x14ac:dyDescent="0.2">
      <c r="A59">
        <f t="shared" si="20"/>
        <v>58</v>
      </c>
      <c r="M59">
        <f t="shared" si="1"/>
        <v>58</v>
      </c>
      <c r="S59">
        <f t="shared" si="2"/>
        <v>58</v>
      </c>
      <c r="Y59">
        <f t="shared" si="3"/>
        <v>58</v>
      </c>
      <c r="AE59">
        <f t="shared" si="4"/>
        <v>58</v>
      </c>
      <c r="AK59">
        <f t="shared" si="5"/>
        <v>58</v>
      </c>
      <c r="AL59" t="s">
        <v>1399</v>
      </c>
      <c r="AM59" t="s">
        <v>1400</v>
      </c>
      <c r="AN59" t="s">
        <v>1401</v>
      </c>
      <c r="AO59" t="s">
        <v>1402</v>
      </c>
      <c r="AQ59">
        <f t="shared" si="6"/>
        <v>58</v>
      </c>
      <c r="AR59" t="s">
        <v>1403</v>
      </c>
      <c r="AS59" t="s">
        <v>1404</v>
      </c>
      <c r="AT59" t="s">
        <v>1405</v>
      </c>
      <c r="AU59" t="s">
        <v>1406</v>
      </c>
      <c r="AW59">
        <f t="shared" si="7"/>
        <v>58</v>
      </c>
      <c r="AX59" t="s">
        <v>1407</v>
      </c>
      <c r="AY59" t="s">
        <v>1408</v>
      </c>
      <c r="AZ59" t="s">
        <v>1409</v>
      </c>
      <c r="BA59" t="s">
        <v>1410</v>
      </c>
      <c r="BC59">
        <f t="shared" si="8"/>
        <v>58</v>
      </c>
      <c r="BI59">
        <f t="shared" si="9"/>
        <v>58</v>
      </c>
      <c r="BO59">
        <f t="shared" si="10"/>
        <v>58</v>
      </c>
    </row>
    <row r="60" spans="1:71" x14ac:dyDescent="0.2">
      <c r="A60">
        <f t="shared" si="20"/>
        <v>59</v>
      </c>
      <c r="M60">
        <f t="shared" si="1"/>
        <v>59</v>
      </c>
      <c r="S60">
        <f t="shared" si="2"/>
        <v>59</v>
      </c>
      <c r="Y60">
        <f t="shared" si="3"/>
        <v>59</v>
      </c>
      <c r="AE60">
        <f t="shared" si="4"/>
        <v>59</v>
      </c>
      <c r="AK60">
        <f t="shared" si="5"/>
        <v>59</v>
      </c>
      <c r="AL60" t="s">
        <v>1411</v>
      </c>
      <c r="AM60" t="s">
        <v>1412</v>
      </c>
      <c r="AN60" t="s">
        <v>1413</v>
      </c>
      <c r="AO60" t="s">
        <v>1414</v>
      </c>
      <c r="AQ60">
        <f t="shared" si="6"/>
        <v>59</v>
      </c>
      <c r="AR60" t="s">
        <v>1415</v>
      </c>
      <c r="AS60" t="s">
        <v>1416</v>
      </c>
      <c r="AT60" t="s">
        <v>1417</v>
      </c>
      <c r="AU60" t="s">
        <v>1418</v>
      </c>
      <c r="AW60">
        <f t="shared" si="7"/>
        <v>59</v>
      </c>
      <c r="BC60">
        <f t="shared" si="8"/>
        <v>59</v>
      </c>
      <c r="BI60">
        <f t="shared" si="9"/>
        <v>59</v>
      </c>
      <c r="BO60">
        <f t="shared" si="10"/>
        <v>59</v>
      </c>
    </row>
    <row r="61" spans="1:71" x14ac:dyDescent="0.2">
      <c r="A61">
        <f t="shared" si="20"/>
        <v>60</v>
      </c>
      <c r="M61">
        <f t="shared" si="1"/>
        <v>60</v>
      </c>
      <c r="S61">
        <f t="shared" si="2"/>
        <v>60</v>
      </c>
      <c r="Y61">
        <f t="shared" si="3"/>
        <v>60</v>
      </c>
      <c r="AE61">
        <f t="shared" si="4"/>
        <v>60</v>
      </c>
      <c r="AK61">
        <f t="shared" si="5"/>
        <v>60</v>
      </c>
      <c r="AL61" t="s">
        <v>1419</v>
      </c>
      <c r="AM61" t="s">
        <v>1420</v>
      </c>
      <c r="AN61" t="s">
        <v>1421</v>
      </c>
      <c r="AO61" t="s">
        <v>1422</v>
      </c>
      <c r="AQ61">
        <f t="shared" si="6"/>
        <v>60</v>
      </c>
      <c r="AR61" t="s">
        <v>1423</v>
      </c>
      <c r="AS61" t="s">
        <v>1424</v>
      </c>
      <c r="AT61" t="s">
        <v>1425</v>
      </c>
      <c r="AU61" t="s">
        <v>1426</v>
      </c>
      <c r="AW61">
        <f t="shared" si="7"/>
        <v>60</v>
      </c>
      <c r="BC61">
        <f t="shared" si="8"/>
        <v>60</v>
      </c>
      <c r="BI61">
        <f t="shared" si="9"/>
        <v>60</v>
      </c>
      <c r="BO61">
        <f t="shared" si="10"/>
        <v>60</v>
      </c>
    </row>
    <row r="62" spans="1:71" x14ac:dyDescent="0.2">
      <c r="A62">
        <f t="shared" si="20"/>
        <v>61</v>
      </c>
      <c r="M62">
        <f t="shared" si="1"/>
        <v>61</v>
      </c>
      <c r="N62" t="s">
        <v>998</v>
      </c>
      <c r="O62" t="s">
        <v>999</v>
      </c>
      <c r="P62" t="s">
        <v>1000</v>
      </c>
      <c r="Q62" t="s">
        <v>1001</v>
      </c>
      <c r="S62">
        <f t="shared" si="2"/>
        <v>61</v>
      </c>
      <c r="T62" t="s">
        <v>1427</v>
      </c>
      <c r="U62" t="s">
        <v>1428</v>
      </c>
      <c r="V62" t="s">
        <v>1429</v>
      </c>
      <c r="W62" t="s">
        <v>1430</v>
      </c>
      <c r="Y62">
        <f t="shared" si="3"/>
        <v>61</v>
      </c>
      <c r="AE62">
        <f t="shared" si="4"/>
        <v>61</v>
      </c>
      <c r="AF62" t="s">
        <v>1431</v>
      </c>
      <c r="AG62" t="s">
        <v>1432</v>
      </c>
      <c r="AH62" t="s">
        <v>1433</v>
      </c>
      <c r="AI62" t="s">
        <v>1434</v>
      </c>
      <c r="AK62">
        <f t="shared" si="5"/>
        <v>61</v>
      </c>
      <c r="AL62" t="s">
        <v>1435</v>
      </c>
      <c r="AM62" t="s">
        <v>1436</v>
      </c>
      <c r="AN62" t="s">
        <v>1437</v>
      </c>
      <c r="AO62" t="s">
        <v>1438</v>
      </c>
      <c r="AQ62">
        <f t="shared" si="6"/>
        <v>61</v>
      </c>
      <c r="AR62" t="s">
        <v>1439</v>
      </c>
      <c r="AS62" t="s">
        <v>1440</v>
      </c>
      <c r="AT62" t="s">
        <v>1441</v>
      </c>
      <c r="AU62" t="s">
        <v>1442</v>
      </c>
      <c r="AW62">
        <f t="shared" si="7"/>
        <v>61</v>
      </c>
      <c r="BC62">
        <f t="shared" si="8"/>
        <v>61</v>
      </c>
      <c r="BI62">
        <f t="shared" si="9"/>
        <v>61</v>
      </c>
      <c r="BJ62" t="s">
        <v>267</v>
      </c>
      <c r="BK62" t="s">
        <v>268</v>
      </c>
      <c r="BL62" t="s">
        <v>269</v>
      </c>
      <c r="BM62" t="s">
        <v>270</v>
      </c>
      <c r="BO62">
        <f t="shared" si="10"/>
        <v>61</v>
      </c>
    </row>
    <row r="63" spans="1:71" x14ac:dyDescent="0.2">
      <c r="A63">
        <f t="shared" si="20"/>
        <v>62</v>
      </c>
      <c r="M63">
        <f t="shared" si="1"/>
        <v>62</v>
      </c>
      <c r="N63" t="s">
        <v>1443</v>
      </c>
      <c r="O63" t="s">
        <v>1444</v>
      </c>
      <c r="P63" t="s">
        <v>1445</v>
      </c>
      <c r="Q63" t="s">
        <v>1446</v>
      </c>
      <c r="S63">
        <f t="shared" si="2"/>
        <v>62</v>
      </c>
      <c r="T63" t="s">
        <v>1447</v>
      </c>
      <c r="U63" t="s">
        <v>1448</v>
      </c>
      <c r="V63" t="s">
        <v>1449</v>
      </c>
      <c r="W63" t="s">
        <v>1450</v>
      </c>
      <c r="Y63">
        <f t="shared" si="3"/>
        <v>62</v>
      </c>
      <c r="AE63">
        <f t="shared" si="4"/>
        <v>62</v>
      </c>
      <c r="AF63" t="s">
        <v>1451</v>
      </c>
      <c r="AG63" s="25" t="s">
        <v>1452</v>
      </c>
      <c r="AH63" t="s">
        <v>1453</v>
      </c>
      <c r="AI63" t="s">
        <v>1454</v>
      </c>
      <c r="AK63">
        <f t="shared" si="5"/>
        <v>62</v>
      </c>
      <c r="AL63" t="s">
        <v>1455</v>
      </c>
      <c r="AM63" t="s">
        <v>1456</v>
      </c>
      <c r="AN63" t="s">
        <v>1457</v>
      </c>
      <c r="AO63" t="s">
        <v>1458</v>
      </c>
      <c r="AQ63">
        <f t="shared" si="6"/>
        <v>62</v>
      </c>
      <c r="AR63" t="s">
        <v>823</v>
      </c>
      <c r="AS63" t="s">
        <v>824</v>
      </c>
      <c r="AT63" t="s">
        <v>1459</v>
      </c>
      <c r="AU63" t="s">
        <v>826</v>
      </c>
      <c r="AW63">
        <f t="shared" si="7"/>
        <v>62</v>
      </c>
      <c r="BC63">
        <f t="shared" si="8"/>
        <v>62</v>
      </c>
      <c r="BI63">
        <f t="shared" si="9"/>
        <v>62</v>
      </c>
      <c r="BJ63" t="s">
        <v>1460</v>
      </c>
      <c r="BK63" t="s">
        <v>1461</v>
      </c>
      <c r="BL63" t="s">
        <v>1462</v>
      </c>
      <c r="BM63" t="s">
        <v>1463</v>
      </c>
      <c r="BO63">
        <f t="shared" si="10"/>
        <v>62</v>
      </c>
    </row>
    <row r="64" spans="1:71" x14ac:dyDescent="0.2">
      <c r="A64">
        <f t="shared" si="20"/>
        <v>63</v>
      </c>
      <c r="M64">
        <f t="shared" si="1"/>
        <v>63</v>
      </c>
      <c r="N64" t="s">
        <v>1464</v>
      </c>
      <c r="O64" t="s">
        <v>1465</v>
      </c>
      <c r="P64" t="s">
        <v>1466</v>
      </c>
      <c r="Q64" t="s">
        <v>1467</v>
      </c>
      <c r="S64">
        <f t="shared" si="2"/>
        <v>63</v>
      </c>
      <c r="T64" t="s">
        <v>1468</v>
      </c>
      <c r="U64" t="s">
        <v>1469</v>
      </c>
      <c r="V64" t="s">
        <v>1470</v>
      </c>
      <c r="W64" t="s">
        <v>1471</v>
      </c>
      <c r="Y64">
        <f t="shared" si="3"/>
        <v>63</v>
      </c>
      <c r="AE64">
        <f t="shared" si="4"/>
        <v>63</v>
      </c>
      <c r="AF64" t="s">
        <v>1472</v>
      </c>
      <c r="AG64" t="s">
        <v>1473</v>
      </c>
      <c r="AH64" t="s">
        <v>1474</v>
      </c>
      <c r="AI64" t="s">
        <v>1472</v>
      </c>
      <c r="AK64">
        <f t="shared" si="5"/>
        <v>63</v>
      </c>
      <c r="AL64" t="s">
        <v>1455</v>
      </c>
      <c r="AM64" t="s">
        <v>1456</v>
      </c>
      <c r="AN64" t="s">
        <v>1457</v>
      </c>
      <c r="AO64" t="s">
        <v>1458</v>
      </c>
      <c r="AQ64">
        <f t="shared" si="6"/>
        <v>63</v>
      </c>
      <c r="AR64" t="s">
        <v>1475</v>
      </c>
      <c r="AS64" t="s">
        <v>1476</v>
      </c>
      <c r="AT64" t="s">
        <v>1477</v>
      </c>
      <c r="AU64" t="s">
        <v>1478</v>
      </c>
      <c r="AW64">
        <f t="shared" si="7"/>
        <v>63</v>
      </c>
      <c r="BC64">
        <f t="shared" si="8"/>
        <v>63</v>
      </c>
      <c r="BI64">
        <f t="shared" si="9"/>
        <v>63</v>
      </c>
      <c r="BJ64" t="s">
        <v>1479</v>
      </c>
      <c r="BK64" t="s">
        <v>1480</v>
      </c>
      <c r="BL64" t="s">
        <v>1481</v>
      </c>
      <c r="BM64" t="s">
        <v>1482</v>
      </c>
      <c r="BO64">
        <f t="shared" si="10"/>
        <v>63</v>
      </c>
    </row>
    <row r="65" spans="1:71" x14ac:dyDescent="0.2">
      <c r="A65">
        <f t="shared" si="20"/>
        <v>64</v>
      </c>
      <c r="M65">
        <f t="shared" si="1"/>
        <v>64</v>
      </c>
      <c r="N65" t="s">
        <v>1483</v>
      </c>
      <c r="O65" t="s">
        <v>1484</v>
      </c>
      <c r="P65" t="s">
        <v>1485</v>
      </c>
      <c r="Q65" t="s">
        <v>1486</v>
      </c>
      <c r="S65">
        <f t="shared" si="2"/>
        <v>64</v>
      </c>
      <c r="T65" t="s">
        <v>1487</v>
      </c>
      <c r="U65" t="s">
        <v>1488</v>
      </c>
      <c r="V65" t="s">
        <v>1489</v>
      </c>
      <c r="W65" t="s">
        <v>1490</v>
      </c>
      <c r="Y65">
        <f t="shared" si="3"/>
        <v>64</v>
      </c>
      <c r="AE65">
        <f t="shared" si="4"/>
        <v>64</v>
      </c>
      <c r="AF65" t="s">
        <v>1491</v>
      </c>
      <c r="AG65" t="s">
        <v>1492</v>
      </c>
      <c r="AH65" t="s">
        <v>1493</v>
      </c>
      <c r="AI65" t="s">
        <v>1491</v>
      </c>
      <c r="AK65">
        <f t="shared" si="5"/>
        <v>64</v>
      </c>
      <c r="AL65" t="s">
        <v>1494</v>
      </c>
      <c r="AM65" t="s">
        <v>1495</v>
      </c>
      <c r="AN65" t="s">
        <v>1496</v>
      </c>
      <c r="AO65" t="s">
        <v>1497</v>
      </c>
      <c r="AQ65">
        <f t="shared" si="6"/>
        <v>64</v>
      </c>
      <c r="AR65" t="s">
        <v>1498</v>
      </c>
      <c r="AS65" t="s">
        <v>1499</v>
      </c>
      <c r="AT65" t="s">
        <v>1500</v>
      </c>
      <c r="AU65" t="s">
        <v>1501</v>
      </c>
      <c r="AW65">
        <f t="shared" si="7"/>
        <v>64</v>
      </c>
      <c r="BC65">
        <f t="shared" si="8"/>
        <v>64</v>
      </c>
      <c r="BI65">
        <f t="shared" si="9"/>
        <v>64</v>
      </c>
      <c r="BO65">
        <f t="shared" si="10"/>
        <v>64</v>
      </c>
    </row>
    <row r="66" spans="1:71" x14ac:dyDescent="0.2">
      <c r="A66">
        <f t="shared" si="20"/>
        <v>65</v>
      </c>
      <c r="M66">
        <f t="shared" si="1"/>
        <v>65</v>
      </c>
      <c r="N66" t="s">
        <v>1502</v>
      </c>
      <c r="O66" t="s">
        <v>1503</v>
      </c>
      <c r="P66" t="s">
        <v>1504</v>
      </c>
      <c r="Q66" t="s">
        <v>1505</v>
      </c>
      <c r="S66">
        <f t="shared" si="2"/>
        <v>65</v>
      </c>
      <c r="T66" t="s">
        <v>1506</v>
      </c>
      <c r="U66" t="s">
        <v>1507</v>
      </c>
      <c r="V66" t="s">
        <v>1508</v>
      </c>
      <c r="W66" t="s">
        <v>1509</v>
      </c>
      <c r="Y66">
        <f t="shared" si="3"/>
        <v>65</v>
      </c>
      <c r="AE66">
        <f t="shared" si="4"/>
        <v>65</v>
      </c>
      <c r="AF66" t="s">
        <v>1510</v>
      </c>
      <c r="AG66" t="s">
        <v>1511</v>
      </c>
      <c r="AH66" t="s">
        <v>1512</v>
      </c>
      <c r="AI66" t="s">
        <v>1510</v>
      </c>
      <c r="AK66">
        <f t="shared" si="5"/>
        <v>65</v>
      </c>
      <c r="AL66" t="s">
        <v>1513</v>
      </c>
      <c r="AM66" t="s">
        <v>1514</v>
      </c>
      <c r="AN66" t="s">
        <v>1515</v>
      </c>
      <c r="AO66" t="s">
        <v>1516</v>
      </c>
      <c r="AQ66">
        <f t="shared" si="6"/>
        <v>65</v>
      </c>
      <c r="AR66" t="s">
        <v>1517</v>
      </c>
      <c r="AS66" t="s">
        <v>1518</v>
      </c>
      <c r="AT66" t="s">
        <v>1519</v>
      </c>
      <c r="AU66" t="s">
        <v>1520</v>
      </c>
      <c r="AW66">
        <f t="shared" si="7"/>
        <v>65</v>
      </c>
      <c r="BC66">
        <f t="shared" si="8"/>
        <v>65</v>
      </c>
      <c r="BI66">
        <f t="shared" si="9"/>
        <v>65</v>
      </c>
      <c r="BO66">
        <f t="shared" si="10"/>
        <v>65</v>
      </c>
    </row>
    <row r="67" spans="1:71" x14ac:dyDescent="0.2">
      <c r="A67">
        <f t="shared" si="20"/>
        <v>66</v>
      </c>
      <c r="M67">
        <f t="shared" ref="M67:M130" si="21">ROW()-1</f>
        <v>66</v>
      </c>
      <c r="N67" t="s">
        <v>1521</v>
      </c>
      <c r="O67" t="s">
        <v>1522</v>
      </c>
      <c r="P67" t="s">
        <v>1523</v>
      </c>
      <c r="Q67" t="s">
        <v>1522</v>
      </c>
      <c r="S67">
        <f t="shared" ref="S67:S130" si="22">ROW()-1</f>
        <v>66</v>
      </c>
      <c r="T67" t="s">
        <v>1524</v>
      </c>
      <c r="U67" t="s">
        <v>1525</v>
      </c>
      <c r="V67" t="s">
        <v>1526</v>
      </c>
      <c r="W67" t="s">
        <v>1527</v>
      </c>
      <c r="Y67">
        <f t="shared" ref="Y67:Y130" si="23">ROW()-1</f>
        <v>66</v>
      </c>
      <c r="AE67">
        <f t="shared" ref="AE67:AE130" si="24">ROW()-1</f>
        <v>66</v>
      </c>
      <c r="AF67" t="s">
        <v>1528</v>
      </c>
      <c r="AG67" t="s">
        <v>1529</v>
      </c>
      <c r="AH67" t="s">
        <v>1530</v>
      </c>
      <c r="AI67" t="s">
        <v>1529</v>
      </c>
      <c r="AK67">
        <f t="shared" ref="AK67:AK130" si="25">ROW()-1</f>
        <v>66</v>
      </c>
      <c r="AL67" t="s">
        <v>1531</v>
      </c>
      <c r="AM67" t="s">
        <v>1532</v>
      </c>
      <c r="AN67" t="s">
        <v>1533</v>
      </c>
      <c r="AO67" t="s">
        <v>1534</v>
      </c>
      <c r="AQ67">
        <f t="shared" ref="AQ67:AQ130" si="26">ROW()-1</f>
        <v>66</v>
      </c>
      <c r="AR67" t="s">
        <v>1535</v>
      </c>
      <c r="AS67" t="s">
        <v>1536</v>
      </c>
      <c r="AT67" t="s">
        <v>1537</v>
      </c>
      <c r="AU67" t="s">
        <v>1538</v>
      </c>
      <c r="AW67">
        <f t="shared" ref="AW67:AW130" si="27">ROW()-1</f>
        <v>66</v>
      </c>
      <c r="BC67">
        <f t="shared" ref="BC67:BC130" si="28">ROW()-1</f>
        <v>66</v>
      </c>
      <c r="BI67">
        <f t="shared" ref="BI67:BI130" si="29">ROW()-1</f>
        <v>66</v>
      </c>
      <c r="BO67">
        <f t="shared" ref="BO67:BO130" si="30">ROW()-1</f>
        <v>66</v>
      </c>
    </row>
    <row r="68" spans="1:71" x14ac:dyDescent="0.2">
      <c r="M68">
        <f t="shared" si="21"/>
        <v>67</v>
      </c>
      <c r="N68" t="s">
        <v>1539</v>
      </c>
      <c r="O68" t="s">
        <v>1540</v>
      </c>
      <c r="P68" t="s">
        <v>1541</v>
      </c>
      <c r="Q68" t="s">
        <v>1542</v>
      </c>
      <c r="S68">
        <f t="shared" si="22"/>
        <v>67</v>
      </c>
      <c r="T68" t="s">
        <v>1543</v>
      </c>
      <c r="U68" t="s">
        <v>1544</v>
      </c>
      <c r="V68" t="s">
        <v>1545</v>
      </c>
      <c r="W68" t="s">
        <v>1546</v>
      </c>
      <c r="Y68">
        <f t="shared" si="23"/>
        <v>67</v>
      </c>
      <c r="AE68">
        <f t="shared" si="24"/>
        <v>67</v>
      </c>
      <c r="AF68" t="s">
        <v>1547</v>
      </c>
      <c r="AG68" t="s">
        <v>1548</v>
      </c>
      <c r="AH68" t="s">
        <v>1549</v>
      </c>
      <c r="AI68" t="s">
        <v>1550</v>
      </c>
      <c r="AK68">
        <f t="shared" si="25"/>
        <v>67</v>
      </c>
      <c r="AQ68">
        <f t="shared" si="26"/>
        <v>67</v>
      </c>
      <c r="AR68" t="s">
        <v>1551</v>
      </c>
      <c r="AS68" t="s">
        <v>1552</v>
      </c>
      <c r="AT68" t="s">
        <v>1553</v>
      </c>
      <c r="AU68" t="s">
        <v>1554</v>
      </c>
      <c r="AW68">
        <f t="shared" si="27"/>
        <v>67</v>
      </c>
      <c r="BC68">
        <f t="shared" si="28"/>
        <v>67</v>
      </c>
      <c r="BI68">
        <f t="shared" si="29"/>
        <v>67</v>
      </c>
      <c r="BO68">
        <f t="shared" si="30"/>
        <v>67</v>
      </c>
    </row>
    <row r="69" spans="1:71" x14ac:dyDescent="0.2">
      <c r="M69">
        <f t="shared" si="21"/>
        <v>68</v>
      </c>
      <c r="S69">
        <f t="shared" si="22"/>
        <v>68</v>
      </c>
      <c r="T69" t="s">
        <v>1555</v>
      </c>
      <c r="U69" t="s">
        <v>1556</v>
      </c>
      <c r="V69" t="s">
        <v>1557</v>
      </c>
      <c r="W69" t="s">
        <v>1558</v>
      </c>
      <c r="Y69">
        <f t="shared" si="23"/>
        <v>68</v>
      </c>
      <c r="AE69">
        <f t="shared" si="24"/>
        <v>68</v>
      </c>
      <c r="AF69" t="s">
        <v>1559</v>
      </c>
      <c r="AG69" t="s">
        <v>1560</v>
      </c>
      <c r="AH69" t="s">
        <v>1561</v>
      </c>
      <c r="AI69" t="s">
        <v>1559</v>
      </c>
      <c r="AK69">
        <f t="shared" si="25"/>
        <v>68</v>
      </c>
      <c r="AQ69">
        <f t="shared" si="26"/>
        <v>68</v>
      </c>
      <c r="AR69" t="s">
        <v>1562</v>
      </c>
      <c r="AS69" t="s">
        <v>1563</v>
      </c>
      <c r="AT69" t="s">
        <v>1564</v>
      </c>
      <c r="AU69" t="s">
        <v>1565</v>
      </c>
      <c r="AW69">
        <f t="shared" si="27"/>
        <v>68</v>
      </c>
      <c r="BC69">
        <f t="shared" si="28"/>
        <v>68</v>
      </c>
      <c r="BI69">
        <f t="shared" si="29"/>
        <v>68</v>
      </c>
      <c r="BO69">
        <f t="shared" si="30"/>
        <v>68</v>
      </c>
    </row>
    <row r="70" spans="1:71" x14ac:dyDescent="0.2">
      <c r="M70">
        <f t="shared" si="21"/>
        <v>69</v>
      </c>
      <c r="S70">
        <f t="shared" si="22"/>
        <v>69</v>
      </c>
      <c r="T70" t="s">
        <v>1566</v>
      </c>
      <c r="U70" t="s">
        <v>1567</v>
      </c>
      <c r="V70" t="s">
        <v>1568</v>
      </c>
      <c r="W70" t="s">
        <v>1569</v>
      </c>
      <c r="Y70">
        <f t="shared" si="23"/>
        <v>69</v>
      </c>
      <c r="AE70">
        <f t="shared" si="24"/>
        <v>69</v>
      </c>
      <c r="AF70" t="s">
        <v>1570</v>
      </c>
      <c r="AG70" t="s">
        <v>1571</v>
      </c>
      <c r="AH70" t="s">
        <v>1572</v>
      </c>
      <c r="AI70" t="s">
        <v>1571</v>
      </c>
      <c r="AK70">
        <f t="shared" si="25"/>
        <v>69</v>
      </c>
      <c r="AQ70">
        <f t="shared" si="26"/>
        <v>69</v>
      </c>
      <c r="AR70" t="s">
        <v>1573</v>
      </c>
      <c r="AS70" t="s">
        <v>1574</v>
      </c>
      <c r="AT70" t="s">
        <v>1575</v>
      </c>
      <c r="AU70" t="s">
        <v>1576</v>
      </c>
      <c r="AW70">
        <f t="shared" si="27"/>
        <v>69</v>
      </c>
      <c r="BC70">
        <f t="shared" si="28"/>
        <v>69</v>
      </c>
      <c r="BI70">
        <f t="shared" si="29"/>
        <v>69</v>
      </c>
      <c r="BO70">
        <f t="shared" si="30"/>
        <v>69</v>
      </c>
    </row>
    <row r="71" spans="1:71" x14ac:dyDescent="0.2">
      <c r="M71">
        <f t="shared" si="21"/>
        <v>70</v>
      </c>
      <c r="N71" t="s">
        <v>1577</v>
      </c>
      <c r="O71" t="s">
        <v>1578</v>
      </c>
      <c r="P71" s="25" t="s">
        <v>1579</v>
      </c>
      <c r="Q71" t="s">
        <v>1580</v>
      </c>
      <c r="S71">
        <f t="shared" si="22"/>
        <v>70</v>
      </c>
      <c r="T71" t="s">
        <v>1581</v>
      </c>
      <c r="U71" t="s">
        <v>1582</v>
      </c>
      <c r="V71" t="s">
        <v>1583</v>
      </c>
      <c r="W71" t="s">
        <v>1584</v>
      </c>
      <c r="Y71">
        <f t="shared" si="23"/>
        <v>70</v>
      </c>
      <c r="AE71">
        <f t="shared" si="24"/>
        <v>70</v>
      </c>
      <c r="AF71" t="s">
        <v>1585</v>
      </c>
      <c r="AG71" t="s">
        <v>1586</v>
      </c>
      <c r="AH71" t="s">
        <v>1587</v>
      </c>
      <c r="AI71" t="s">
        <v>1588</v>
      </c>
      <c r="AK71">
        <f t="shared" si="25"/>
        <v>70</v>
      </c>
      <c r="AQ71">
        <f t="shared" si="26"/>
        <v>70</v>
      </c>
      <c r="AR71" t="s">
        <v>1589</v>
      </c>
      <c r="AS71" t="s">
        <v>1590</v>
      </c>
      <c r="AT71" t="s">
        <v>1591</v>
      </c>
      <c r="AU71" t="s">
        <v>1592</v>
      </c>
      <c r="AW71">
        <f t="shared" si="27"/>
        <v>70</v>
      </c>
      <c r="BC71">
        <f t="shared" si="28"/>
        <v>70</v>
      </c>
      <c r="BI71">
        <f t="shared" si="29"/>
        <v>70</v>
      </c>
      <c r="BO71">
        <f t="shared" si="30"/>
        <v>70</v>
      </c>
    </row>
    <row r="72" spans="1:71" x14ac:dyDescent="0.2">
      <c r="M72">
        <f t="shared" si="21"/>
        <v>71</v>
      </c>
      <c r="N72" t="s">
        <v>1593</v>
      </c>
      <c r="O72" t="s">
        <v>1594</v>
      </c>
      <c r="P72" t="s">
        <v>1595</v>
      </c>
      <c r="Q72" t="s">
        <v>1596</v>
      </c>
      <c r="S72">
        <f t="shared" si="22"/>
        <v>71</v>
      </c>
      <c r="Y72">
        <f t="shared" si="23"/>
        <v>71</v>
      </c>
      <c r="AE72">
        <f t="shared" si="24"/>
        <v>71</v>
      </c>
      <c r="AF72" t="s">
        <v>1597</v>
      </c>
      <c r="AG72" t="s">
        <v>1598</v>
      </c>
      <c r="AH72" t="s">
        <v>1599</v>
      </c>
      <c r="AI72" t="s">
        <v>1597</v>
      </c>
      <c r="AK72">
        <f t="shared" si="25"/>
        <v>71</v>
      </c>
      <c r="AQ72">
        <f t="shared" si="26"/>
        <v>71</v>
      </c>
      <c r="AR72" t="s">
        <v>1600</v>
      </c>
      <c r="AS72" t="s">
        <v>1141</v>
      </c>
      <c r="AT72" t="s">
        <v>1601</v>
      </c>
      <c r="AU72" t="s">
        <v>1143</v>
      </c>
      <c r="AW72">
        <f t="shared" si="27"/>
        <v>71</v>
      </c>
      <c r="AX72" t="s">
        <v>1602</v>
      </c>
      <c r="AY72" t="s">
        <v>1603</v>
      </c>
      <c r="AZ72" t="s">
        <v>1604</v>
      </c>
      <c r="BA72" t="s">
        <v>1605</v>
      </c>
      <c r="BC72">
        <f t="shared" si="28"/>
        <v>71</v>
      </c>
      <c r="BI72">
        <f t="shared" si="29"/>
        <v>71</v>
      </c>
      <c r="BO72">
        <f t="shared" si="30"/>
        <v>71</v>
      </c>
      <c r="BP72" t="s">
        <v>1606</v>
      </c>
      <c r="BQ72" t="s">
        <v>1607</v>
      </c>
      <c r="BR72" t="s">
        <v>1608</v>
      </c>
      <c r="BS72" t="s">
        <v>1609</v>
      </c>
    </row>
    <row r="73" spans="1:71" x14ac:dyDescent="0.2">
      <c r="M73">
        <f t="shared" si="21"/>
        <v>72</v>
      </c>
      <c r="N73" t="s">
        <v>1610</v>
      </c>
      <c r="O73" t="s">
        <v>1611</v>
      </c>
      <c r="P73" t="s">
        <v>1612</v>
      </c>
      <c r="Q73" t="s">
        <v>1613</v>
      </c>
      <c r="S73">
        <f t="shared" si="22"/>
        <v>72</v>
      </c>
      <c r="Y73">
        <f t="shared" si="23"/>
        <v>72</v>
      </c>
      <c r="AE73">
        <f t="shared" si="24"/>
        <v>72</v>
      </c>
      <c r="AF73" t="s">
        <v>1614</v>
      </c>
      <c r="AG73" t="s">
        <v>1615</v>
      </c>
      <c r="AH73" t="s">
        <v>1616</v>
      </c>
      <c r="AI73" t="s">
        <v>1614</v>
      </c>
      <c r="AK73">
        <f t="shared" si="25"/>
        <v>72</v>
      </c>
      <c r="AQ73">
        <f t="shared" si="26"/>
        <v>72</v>
      </c>
      <c r="AR73" t="s">
        <v>1617</v>
      </c>
      <c r="AS73" t="s">
        <v>1618</v>
      </c>
      <c r="AT73" t="s">
        <v>1619</v>
      </c>
      <c r="AU73" t="s">
        <v>1620</v>
      </c>
      <c r="AW73">
        <f t="shared" si="27"/>
        <v>72</v>
      </c>
      <c r="BC73">
        <f t="shared" si="28"/>
        <v>72</v>
      </c>
      <c r="BI73">
        <f t="shared" si="29"/>
        <v>72</v>
      </c>
      <c r="BO73">
        <f t="shared" si="30"/>
        <v>72</v>
      </c>
      <c r="BP73" t="s">
        <v>1621</v>
      </c>
      <c r="BQ73" t="s">
        <v>1622</v>
      </c>
      <c r="BR73" t="s">
        <v>1623</v>
      </c>
      <c r="BS73" t="s">
        <v>1624</v>
      </c>
    </row>
    <row r="74" spans="1:71" x14ac:dyDescent="0.2">
      <c r="M74">
        <f t="shared" si="21"/>
        <v>73</v>
      </c>
      <c r="N74" t="s">
        <v>1625</v>
      </c>
      <c r="O74" t="s">
        <v>1626</v>
      </c>
      <c r="P74" t="s">
        <v>1627</v>
      </c>
      <c r="Q74" t="s">
        <v>1628</v>
      </c>
      <c r="S74">
        <f t="shared" si="22"/>
        <v>73</v>
      </c>
      <c r="Y74">
        <f t="shared" si="23"/>
        <v>73</v>
      </c>
      <c r="AE74">
        <f t="shared" si="24"/>
        <v>73</v>
      </c>
      <c r="AF74" t="s">
        <v>1629</v>
      </c>
      <c r="AG74" t="s">
        <v>1629</v>
      </c>
      <c r="AH74" t="s">
        <v>1630</v>
      </c>
      <c r="AI74" t="s">
        <v>1629</v>
      </c>
      <c r="AK74">
        <f t="shared" si="25"/>
        <v>73</v>
      </c>
      <c r="AQ74">
        <f t="shared" si="26"/>
        <v>73</v>
      </c>
      <c r="AR74" t="s">
        <v>1631</v>
      </c>
      <c r="AS74" t="s">
        <v>1632</v>
      </c>
      <c r="AT74" t="s">
        <v>1633</v>
      </c>
      <c r="AU74" t="s">
        <v>1634</v>
      </c>
      <c r="AW74">
        <f t="shared" si="27"/>
        <v>73</v>
      </c>
      <c r="BC74">
        <f t="shared" si="28"/>
        <v>73</v>
      </c>
      <c r="BI74">
        <f t="shared" si="29"/>
        <v>73</v>
      </c>
      <c r="BO74">
        <f t="shared" si="30"/>
        <v>73</v>
      </c>
      <c r="BP74" t="s">
        <v>1635</v>
      </c>
      <c r="BQ74" t="s">
        <v>1636</v>
      </c>
      <c r="BR74" t="s">
        <v>1637</v>
      </c>
      <c r="BS74" t="s">
        <v>1638</v>
      </c>
    </row>
    <row r="75" spans="1:71" x14ac:dyDescent="0.2">
      <c r="M75">
        <f t="shared" si="21"/>
        <v>74</v>
      </c>
      <c r="N75" t="s">
        <v>1639</v>
      </c>
      <c r="O75" t="s">
        <v>1640</v>
      </c>
      <c r="P75" t="s">
        <v>1641</v>
      </c>
      <c r="Q75" t="s">
        <v>1642</v>
      </c>
      <c r="S75">
        <f t="shared" si="22"/>
        <v>74</v>
      </c>
      <c r="Y75">
        <f t="shared" si="23"/>
        <v>74</v>
      </c>
      <c r="AE75">
        <f t="shared" si="24"/>
        <v>74</v>
      </c>
      <c r="AF75" t="s">
        <v>1643</v>
      </c>
      <c r="AG75" t="s">
        <v>1644</v>
      </c>
      <c r="AH75" t="s">
        <v>1645</v>
      </c>
      <c r="AI75" t="s">
        <v>1644</v>
      </c>
      <c r="AK75">
        <f t="shared" si="25"/>
        <v>74</v>
      </c>
      <c r="AQ75">
        <f t="shared" si="26"/>
        <v>74</v>
      </c>
      <c r="AR75" t="s">
        <v>1646</v>
      </c>
      <c r="AS75" t="s">
        <v>1647</v>
      </c>
      <c r="AT75" t="s">
        <v>1648</v>
      </c>
      <c r="AU75" t="s">
        <v>1649</v>
      </c>
      <c r="AW75">
        <f t="shared" si="27"/>
        <v>74</v>
      </c>
      <c r="BC75">
        <f t="shared" si="28"/>
        <v>74</v>
      </c>
      <c r="BI75">
        <f t="shared" si="29"/>
        <v>74</v>
      </c>
      <c r="BO75">
        <f t="shared" si="30"/>
        <v>74</v>
      </c>
      <c r="BP75" t="s">
        <v>1650</v>
      </c>
      <c r="BQ75" t="s">
        <v>1651</v>
      </c>
      <c r="BR75" t="s">
        <v>1652</v>
      </c>
      <c r="BS75" t="s">
        <v>1653</v>
      </c>
    </row>
    <row r="76" spans="1:71" x14ac:dyDescent="0.2">
      <c r="M76">
        <f t="shared" si="21"/>
        <v>75</v>
      </c>
      <c r="N76" t="s">
        <v>1654</v>
      </c>
      <c r="O76" t="s">
        <v>1655</v>
      </c>
      <c r="P76" t="s">
        <v>1656</v>
      </c>
      <c r="Q76" t="s">
        <v>1657</v>
      </c>
      <c r="S76">
        <f t="shared" si="22"/>
        <v>75</v>
      </c>
      <c r="Y76">
        <f t="shared" si="23"/>
        <v>75</v>
      </c>
      <c r="AE76">
        <f t="shared" si="24"/>
        <v>75</v>
      </c>
      <c r="AF76" t="s">
        <v>1658</v>
      </c>
      <c r="AG76" t="s">
        <v>1659</v>
      </c>
      <c r="AH76" t="s">
        <v>1659</v>
      </c>
      <c r="AI76" t="s">
        <v>1659</v>
      </c>
      <c r="AK76">
        <f t="shared" si="25"/>
        <v>75</v>
      </c>
      <c r="AQ76">
        <f t="shared" si="26"/>
        <v>75</v>
      </c>
      <c r="AW76">
        <f t="shared" si="27"/>
        <v>75</v>
      </c>
      <c r="BC76">
        <f t="shared" si="28"/>
        <v>75</v>
      </c>
      <c r="BI76">
        <f t="shared" si="29"/>
        <v>75</v>
      </c>
      <c r="BO76">
        <f t="shared" si="30"/>
        <v>75</v>
      </c>
      <c r="BP76" t="s">
        <v>1660</v>
      </c>
      <c r="BQ76" t="s">
        <v>1661</v>
      </c>
      <c r="BR76" t="s">
        <v>1662</v>
      </c>
      <c r="BS76" t="s">
        <v>1663</v>
      </c>
    </row>
    <row r="77" spans="1:71" x14ac:dyDescent="0.2">
      <c r="M77">
        <f t="shared" si="21"/>
        <v>76</v>
      </c>
      <c r="N77" t="s">
        <v>1664</v>
      </c>
      <c r="O77" t="s">
        <v>1665</v>
      </c>
      <c r="P77" t="s">
        <v>1666</v>
      </c>
      <c r="Q77" t="s">
        <v>1667</v>
      </c>
      <c r="S77">
        <f t="shared" si="22"/>
        <v>76</v>
      </c>
      <c r="Y77">
        <f t="shared" si="23"/>
        <v>76</v>
      </c>
      <c r="AE77">
        <f t="shared" si="24"/>
        <v>76</v>
      </c>
      <c r="AF77" t="s">
        <v>1668</v>
      </c>
      <c r="AG77" t="s">
        <v>1669</v>
      </c>
      <c r="AH77" t="s">
        <v>1670</v>
      </c>
      <c r="AI77" t="s">
        <v>1668</v>
      </c>
      <c r="AK77">
        <f t="shared" si="25"/>
        <v>76</v>
      </c>
      <c r="AQ77">
        <f t="shared" si="26"/>
        <v>76</v>
      </c>
      <c r="AW77">
        <f t="shared" si="27"/>
        <v>76</v>
      </c>
      <c r="BC77">
        <f t="shared" si="28"/>
        <v>76</v>
      </c>
      <c r="BI77">
        <f t="shared" si="29"/>
        <v>76</v>
      </c>
      <c r="BO77">
        <f t="shared" si="30"/>
        <v>76</v>
      </c>
      <c r="BP77" t="s">
        <v>1671</v>
      </c>
      <c r="BQ77" t="s">
        <v>1671</v>
      </c>
      <c r="BR77" t="s">
        <v>1672</v>
      </c>
      <c r="BS77" t="s">
        <v>1671</v>
      </c>
    </row>
    <row r="78" spans="1:71" x14ac:dyDescent="0.2">
      <c r="M78">
        <f t="shared" si="21"/>
        <v>77</v>
      </c>
      <c r="N78" t="s">
        <v>1673</v>
      </c>
      <c r="O78" t="s">
        <v>1674</v>
      </c>
      <c r="P78" t="s">
        <v>1675</v>
      </c>
      <c r="Q78" t="s">
        <v>1676</v>
      </c>
      <c r="S78">
        <f t="shared" si="22"/>
        <v>77</v>
      </c>
      <c r="Y78">
        <f t="shared" si="23"/>
        <v>77</v>
      </c>
      <c r="AE78">
        <f t="shared" si="24"/>
        <v>77</v>
      </c>
      <c r="AF78" t="s">
        <v>1677</v>
      </c>
      <c r="AG78" t="s">
        <v>1678</v>
      </c>
      <c r="AH78" t="s">
        <v>1679</v>
      </c>
      <c r="AI78" t="s">
        <v>1677</v>
      </c>
      <c r="AK78">
        <f t="shared" si="25"/>
        <v>77</v>
      </c>
      <c r="AQ78">
        <f t="shared" si="26"/>
        <v>77</v>
      </c>
      <c r="AW78">
        <f t="shared" si="27"/>
        <v>77</v>
      </c>
      <c r="BC78">
        <f t="shared" si="28"/>
        <v>77</v>
      </c>
      <c r="BI78">
        <f t="shared" si="29"/>
        <v>77</v>
      </c>
      <c r="BO78">
        <f t="shared" si="30"/>
        <v>77</v>
      </c>
      <c r="BP78" t="s">
        <v>1680</v>
      </c>
      <c r="BQ78" t="s">
        <v>1681</v>
      </c>
      <c r="BR78" t="s">
        <v>1682</v>
      </c>
      <c r="BS78" t="s">
        <v>1683</v>
      </c>
    </row>
    <row r="79" spans="1:71" x14ac:dyDescent="0.2">
      <c r="M79">
        <f t="shared" si="21"/>
        <v>78</v>
      </c>
      <c r="N79" t="s">
        <v>1684</v>
      </c>
      <c r="O79" t="s">
        <v>1685</v>
      </c>
      <c r="P79" t="s">
        <v>1686</v>
      </c>
      <c r="Q79" t="s">
        <v>1687</v>
      </c>
      <c r="S79">
        <f t="shared" si="22"/>
        <v>78</v>
      </c>
      <c r="Y79">
        <f t="shared" si="23"/>
        <v>78</v>
      </c>
      <c r="AE79">
        <f t="shared" si="24"/>
        <v>78</v>
      </c>
      <c r="AF79" t="s">
        <v>1688</v>
      </c>
      <c r="AG79" t="s">
        <v>1689</v>
      </c>
      <c r="AH79" t="s">
        <v>1690</v>
      </c>
      <c r="AI79" t="s">
        <v>1688</v>
      </c>
      <c r="AK79">
        <f t="shared" si="25"/>
        <v>78</v>
      </c>
      <c r="AQ79">
        <f t="shared" si="26"/>
        <v>78</v>
      </c>
      <c r="AW79">
        <f t="shared" si="27"/>
        <v>78</v>
      </c>
      <c r="BC79">
        <f t="shared" si="28"/>
        <v>78</v>
      </c>
      <c r="BI79">
        <f t="shared" si="29"/>
        <v>78</v>
      </c>
      <c r="BO79">
        <f t="shared" si="30"/>
        <v>78</v>
      </c>
      <c r="BP79" t="s">
        <v>1691</v>
      </c>
      <c r="BQ79" t="s">
        <v>1692</v>
      </c>
      <c r="BR79" t="s">
        <v>1693</v>
      </c>
      <c r="BS79" t="s">
        <v>1692</v>
      </c>
    </row>
    <row r="80" spans="1:71" x14ac:dyDescent="0.2">
      <c r="M80">
        <f t="shared" si="21"/>
        <v>79</v>
      </c>
      <c r="N80" t="s">
        <v>1694</v>
      </c>
      <c r="O80" t="s">
        <v>1695</v>
      </c>
      <c r="P80" t="s">
        <v>1696</v>
      </c>
      <c r="Q80" t="s">
        <v>1697</v>
      </c>
      <c r="S80">
        <f t="shared" si="22"/>
        <v>79</v>
      </c>
      <c r="Y80">
        <f t="shared" si="23"/>
        <v>79</v>
      </c>
      <c r="AE80">
        <f t="shared" si="24"/>
        <v>79</v>
      </c>
      <c r="AF80" t="s">
        <v>1698</v>
      </c>
      <c r="AG80" t="s">
        <v>1699</v>
      </c>
      <c r="AH80" t="s">
        <v>1700</v>
      </c>
      <c r="AI80" t="s">
        <v>1698</v>
      </c>
      <c r="AK80">
        <f t="shared" si="25"/>
        <v>79</v>
      </c>
      <c r="AQ80">
        <f t="shared" si="26"/>
        <v>79</v>
      </c>
      <c r="AW80">
        <f t="shared" si="27"/>
        <v>79</v>
      </c>
      <c r="BC80">
        <f t="shared" si="28"/>
        <v>79</v>
      </c>
      <c r="BI80">
        <f t="shared" si="29"/>
        <v>79</v>
      </c>
      <c r="BO80">
        <f t="shared" si="30"/>
        <v>79</v>
      </c>
      <c r="BP80" t="s">
        <v>1701</v>
      </c>
      <c r="BQ80" t="s">
        <v>1702</v>
      </c>
      <c r="BR80" t="s">
        <v>1703</v>
      </c>
      <c r="BS80" t="s">
        <v>1704</v>
      </c>
    </row>
    <row r="81" spans="13:71" x14ac:dyDescent="0.2">
      <c r="M81">
        <f t="shared" si="21"/>
        <v>80</v>
      </c>
      <c r="N81" t="s">
        <v>1030</v>
      </c>
      <c r="O81" t="s">
        <v>1031</v>
      </c>
      <c r="P81" t="s">
        <v>1032</v>
      </c>
      <c r="Q81" t="s">
        <v>1033</v>
      </c>
      <c r="S81">
        <f t="shared" si="22"/>
        <v>80</v>
      </c>
      <c r="Y81">
        <f t="shared" si="23"/>
        <v>80</v>
      </c>
      <c r="AE81">
        <f t="shared" si="24"/>
        <v>80</v>
      </c>
      <c r="AF81" t="s">
        <v>1705</v>
      </c>
      <c r="AG81" t="s">
        <v>1706</v>
      </c>
      <c r="AH81" t="s">
        <v>1707</v>
      </c>
      <c r="AI81" t="s">
        <v>1705</v>
      </c>
      <c r="AK81">
        <f t="shared" si="25"/>
        <v>80</v>
      </c>
      <c r="AQ81">
        <f t="shared" si="26"/>
        <v>80</v>
      </c>
      <c r="AW81">
        <f t="shared" si="27"/>
        <v>80</v>
      </c>
      <c r="BC81">
        <f t="shared" si="28"/>
        <v>80</v>
      </c>
      <c r="BI81">
        <f t="shared" si="29"/>
        <v>80</v>
      </c>
      <c r="BO81">
        <f t="shared" si="30"/>
        <v>80</v>
      </c>
      <c r="BP81" t="s">
        <v>1708</v>
      </c>
      <c r="BQ81" t="s">
        <v>1709</v>
      </c>
      <c r="BR81" t="s">
        <v>1710</v>
      </c>
      <c r="BS81" t="s">
        <v>1711</v>
      </c>
    </row>
    <row r="82" spans="13:71" x14ac:dyDescent="0.2">
      <c r="M82">
        <f t="shared" si="21"/>
        <v>81</v>
      </c>
      <c r="N82" t="s">
        <v>1712</v>
      </c>
      <c r="O82" t="s">
        <v>1713</v>
      </c>
      <c r="P82" t="s">
        <v>1714</v>
      </c>
      <c r="Q82" t="s">
        <v>1715</v>
      </c>
      <c r="S82">
        <f t="shared" si="22"/>
        <v>81</v>
      </c>
      <c r="Y82">
        <f t="shared" si="23"/>
        <v>81</v>
      </c>
      <c r="AE82">
        <f t="shared" si="24"/>
        <v>81</v>
      </c>
      <c r="AF82" t="s">
        <v>1716</v>
      </c>
      <c r="AG82" t="s">
        <v>1716</v>
      </c>
      <c r="AH82" t="s">
        <v>1717</v>
      </c>
      <c r="AI82" t="s">
        <v>1716</v>
      </c>
      <c r="AK82">
        <f t="shared" si="25"/>
        <v>81</v>
      </c>
      <c r="AL82" t="s">
        <v>1718</v>
      </c>
      <c r="AM82" t="s">
        <v>1719</v>
      </c>
      <c r="AN82" t="s">
        <v>1720</v>
      </c>
      <c r="AO82" t="s">
        <v>1721</v>
      </c>
      <c r="AQ82">
        <f t="shared" si="26"/>
        <v>81</v>
      </c>
      <c r="AR82" t="s">
        <v>1722</v>
      </c>
      <c r="AS82" t="s">
        <v>1723</v>
      </c>
      <c r="AT82" t="s">
        <v>1724</v>
      </c>
      <c r="AU82" t="s">
        <v>1725</v>
      </c>
      <c r="AW82">
        <f t="shared" si="27"/>
        <v>81</v>
      </c>
      <c r="AX82" t="s">
        <v>1726</v>
      </c>
      <c r="AY82" t="s">
        <v>1727</v>
      </c>
      <c r="AZ82" t="s">
        <v>1728</v>
      </c>
      <c r="BA82" t="s">
        <v>1729</v>
      </c>
      <c r="BC82">
        <f t="shared" si="28"/>
        <v>81</v>
      </c>
      <c r="BI82">
        <f t="shared" si="29"/>
        <v>81</v>
      </c>
      <c r="BJ82" t="s">
        <v>1730</v>
      </c>
      <c r="BK82" t="s">
        <v>1731</v>
      </c>
      <c r="BL82" t="s">
        <v>1732</v>
      </c>
      <c r="BM82" t="s">
        <v>1733</v>
      </c>
      <c r="BO82">
        <f t="shared" si="30"/>
        <v>81</v>
      </c>
    </row>
    <row r="83" spans="13:71" x14ac:dyDescent="0.2">
      <c r="M83">
        <f t="shared" si="21"/>
        <v>82</v>
      </c>
      <c r="N83" t="s">
        <v>1734</v>
      </c>
      <c r="O83" t="s">
        <v>1735</v>
      </c>
      <c r="P83" t="s">
        <v>1736</v>
      </c>
      <c r="Q83" t="s">
        <v>1737</v>
      </c>
      <c r="S83">
        <f t="shared" si="22"/>
        <v>82</v>
      </c>
      <c r="Y83">
        <f t="shared" si="23"/>
        <v>82</v>
      </c>
      <c r="AE83">
        <f t="shared" si="24"/>
        <v>82</v>
      </c>
      <c r="AF83" t="s">
        <v>1738</v>
      </c>
      <c r="AG83" t="s">
        <v>1739</v>
      </c>
      <c r="AH83" t="s">
        <v>1740</v>
      </c>
      <c r="AI83" t="s">
        <v>1738</v>
      </c>
      <c r="AK83">
        <f t="shared" si="25"/>
        <v>82</v>
      </c>
      <c r="AL83" s="25" t="s">
        <v>1741</v>
      </c>
      <c r="AM83" s="25" t="s">
        <v>1742</v>
      </c>
      <c r="AN83" s="25" t="s">
        <v>1743</v>
      </c>
      <c r="AO83" s="25" t="s">
        <v>1744</v>
      </c>
      <c r="AQ83">
        <f t="shared" si="26"/>
        <v>82</v>
      </c>
      <c r="AR83" t="s">
        <v>1745</v>
      </c>
      <c r="AS83" t="s">
        <v>1746</v>
      </c>
      <c r="AT83" t="s">
        <v>1747</v>
      </c>
      <c r="AU83" t="s">
        <v>1748</v>
      </c>
      <c r="AW83">
        <f t="shared" si="27"/>
        <v>82</v>
      </c>
      <c r="AX83" s="25" t="s">
        <v>1749</v>
      </c>
      <c r="AY83" s="25" t="s">
        <v>1750</v>
      </c>
      <c r="AZ83" s="25" t="s">
        <v>1751</v>
      </c>
      <c r="BA83" s="25" t="s">
        <v>1752</v>
      </c>
      <c r="BC83">
        <f t="shared" si="28"/>
        <v>82</v>
      </c>
      <c r="BI83">
        <f t="shared" si="29"/>
        <v>82</v>
      </c>
      <c r="BJ83" t="s">
        <v>1753</v>
      </c>
      <c r="BK83" t="s">
        <v>1754</v>
      </c>
      <c r="BL83" s="25" t="s">
        <v>1755</v>
      </c>
      <c r="BM83" t="s">
        <v>1756</v>
      </c>
      <c r="BO83">
        <f t="shared" si="30"/>
        <v>82</v>
      </c>
    </row>
    <row r="84" spans="13:71" x14ac:dyDescent="0.2">
      <c r="M84">
        <f t="shared" si="21"/>
        <v>83</v>
      </c>
      <c r="N84" t="s">
        <v>1757</v>
      </c>
      <c r="O84" t="s">
        <v>1758</v>
      </c>
      <c r="P84" t="s">
        <v>1757</v>
      </c>
      <c r="Q84" t="s">
        <v>1759</v>
      </c>
      <c r="S84">
        <f t="shared" si="22"/>
        <v>83</v>
      </c>
      <c r="Y84">
        <f t="shared" si="23"/>
        <v>83</v>
      </c>
      <c r="AE84">
        <f t="shared" si="24"/>
        <v>83</v>
      </c>
      <c r="AF84" t="s">
        <v>1760</v>
      </c>
      <c r="AG84" t="s">
        <v>1760</v>
      </c>
      <c r="AH84" t="s">
        <v>1761</v>
      </c>
      <c r="AI84" t="s">
        <v>1761</v>
      </c>
      <c r="AK84">
        <f t="shared" si="25"/>
        <v>83</v>
      </c>
      <c r="AL84" t="s">
        <v>1762</v>
      </c>
      <c r="AM84" t="s">
        <v>1763</v>
      </c>
      <c r="AN84" t="s">
        <v>1764</v>
      </c>
      <c r="AO84" t="s">
        <v>1765</v>
      </c>
      <c r="AQ84">
        <f t="shared" si="26"/>
        <v>83</v>
      </c>
      <c r="AR84" t="s">
        <v>1766</v>
      </c>
      <c r="AS84" t="s">
        <v>1767</v>
      </c>
      <c r="AT84" t="s">
        <v>1768</v>
      </c>
      <c r="AU84" t="s">
        <v>1769</v>
      </c>
      <c r="AW84">
        <f t="shared" si="27"/>
        <v>83</v>
      </c>
      <c r="AX84" s="25" t="s">
        <v>1770</v>
      </c>
      <c r="AY84" s="25" t="s">
        <v>1771</v>
      </c>
      <c r="AZ84" s="25" t="s">
        <v>1772</v>
      </c>
      <c r="BA84" s="25" t="s">
        <v>1773</v>
      </c>
      <c r="BC84">
        <f t="shared" si="28"/>
        <v>83</v>
      </c>
      <c r="BI84">
        <f t="shared" si="29"/>
        <v>83</v>
      </c>
      <c r="BJ84" t="s">
        <v>1753</v>
      </c>
      <c r="BK84" t="s">
        <v>1754</v>
      </c>
      <c r="BL84" s="25" t="s">
        <v>1755</v>
      </c>
      <c r="BM84" t="s">
        <v>1756</v>
      </c>
      <c r="BO84">
        <f t="shared" si="30"/>
        <v>83</v>
      </c>
    </row>
    <row r="85" spans="13:71" x14ac:dyDescent="0.2">
      <c r="M85">
        <f t="shared" si="21"/>
        <v>84</v>
      </c>
      <c r="N85" t="s">
        <v>1774</v>
      </c>
      <c r="O85" t="s">
        <v>1775</v>
      </c>
      <c r="P85" t="s">
        <v>1774</v>
      </c>
      <c r="Q85" t="s">
        <v>1776</v>
      </c>
      <c r="S85">
        <f t="shared" si="22"/>
        <v>84</v>
      </c>
      <c r="Y85">
        <f t="shared" si="23"/>
        <v>84</v>
      </c>
      <c r="AE85">
        <f t="shared" si="24"/>
        <v>84</v>
      </c>
      <c r="AF85" t="s">
        <v>1777</v>
      </c>
      <c r="AG85" t="s">
        <v>1777</v>
      </c>
      <c r="AH85" t="s">
        <v>1777</v>
      </c>
      <c r="AI85" t="s">
        <v>1777</v>
      </c>
      <c r="AK85">
        <f t="shared" si="25"/>
        <v>84</v>
      </c>
      <c r="AL85" t="s">
        <v>1778</v>
      </c>
      <c r="AM85" t="s">
        <v>1779</v>
      </c>
      <c r="AN85" t="s">
        <v>1780</v>
      </c>
      <c r="AO85" t="s">
        <v>1781</v>
      </c>
      <c r="AQ85">
        <f t="shared" si="26"/>
        <v>84</v>
      </c>
      <c r="AW85">
        <f t="shared" si="27"/>
        <v>84</v>
      </c>
      <c r="AX85" s="25" t="s">
        <v>1782</v>
      </c>
      <c r="AY85" s="25" t="s">
        <v>1783</v>
      </c>
      <c r="AZ85" s="25" t="s">
        <v>1784</v>
      </c>
      <c r="BA85" s="25" t="s">
        <v>1785</v>
      </c>
      <c r="BC85">
        <f t="shared" si="28"/>
        <v>84</v>
      </c>
      <c r="BI85">
        <f t="shared" si="29"/>
        <v>84</v>
      </c>
      <c r="BO85">
        <f t="shared" si="30"/>
        <v>84</v>
      </c>
    </row>
    <row r="86" spans="13:71" x14ac:dyDescent="0.2">
      <c r="M86">
        <f t="shared" si="21"/>
        <v>85</v>
      </c>
      <c r="N86" t="s">
        <v>1786</v>
      </c>
      <c r="O86" t="s">
        <v>1787</v>
      </c>
      <c r="P86" t="s">
        <v>1788</v>
      </c>
      <c r="Q86" t="s">
        <v>1789</v>
      </c>
      <c r="S86">
        <f t="shared" si="22"/>
        <v>85</v>
      </c>
      <c r="Y86">
        <f t="shared" si="23"/>
        <v>85</v>
      </c>
      <c r="AE86">
        <f t="shared" si="24"/>
        <v>85</v>
      </c>
      <c r="AF86" t="s">
        <v>1790</v>
      </c>
      <c r="AG86" t="s">
        <v>1791</v>
      </c>
      <c r="AH86" t="s">
        <v>1791</v>
      </c>
      <c r="AI86" t="s">
        <v>1791</v>
      </c>
      <c r="AK86">
        <f t="shared" si="25"/>
        <v>85</v>
      </c>
      <c r="AQ86">
        <f t="shared" si="26"/>
        <v>85</v>
      </c>
      <c r="AW86">
        <f t="shared" si="27"/>
        <v>85</v>
      </c>
      <c r="AX86" s="25" t="s">
        <v>1792</v>
      </c>
      <c r="AY86" s="25" t="s">
        <v>1793</v>
      </c>
      <c r="AZ86" s="25" t="s">
        <v>1794</v>
      </c>
      <c r="BA86" s="25" t="s">
        <v>1795</v>
      </c>
      <c r="BC86">
        <f t="shared" si="28"/>
        <v>85</v>
      </c>
      <c r="BI86">
        <f t="shared" si="29"/>
        <v>85</v>
      </c>
      <c r="BO86">
        <f t="shared" si="30"/>
        <v>85</v>
      </c>
    </row>
    <row r="87" spans="13:71" x14ac:dyDescent="0.2">
      <c r="M87">
        <f t="shared" si="21"/>
        <v>86</v>
      </c>
      <c r="N87" t="s">
        <v>1796</v>
      </c>
      <c r="O87" t="s">
        <v>1797</v>
      </c>
      <c r="P87" t="s">
        <v>1798</v>
      </c>
      <c r="Q87" t="s">
        <v>1799</v>
      </c>
      <c r="S87">
        <f t="shared" si="22"/>
        <v>86</v>
      </c>
      <c r="Y87">
        <f t="shared" si="23"/>
        <v>86</v>
      </c>
      <c r="AE87">
        <f t="shared" si="24"/>
        <v>86</v>
      </c>
      <c r="AF87" t="s">
        <v>1800</v>
      </c>
      <c r="AG87" t="s">
        <v>1801</v>
      </c>
      <c r="AH87" t="s">
        <v>1802</v>
      </c>
      <c r="AI87" t="s">
        <v>1801</v>
      </c>
      <c r="AK87">
        <f t="shared" si="25"/>
        <v>86</v>
      </c>
      <c r="AQ87">
        <f t="shared" si="26"/>
        <v>86</v>
      </c>
      <c r="AW87">
        <f t="shared" si="27"/>
        <v>86</v>
      </c>
      <c r="AX87" s="25" t="s">
        <v>1803</v>
      </c>
      <c r="AY87" s="25" t="s">
        <v>1804</v>
      </c>
      <c r="AZ87" s="25" t="s">
        <v>1805</v>
      </c>
      <c r="BA87" s="25" t="s">
        <v>1806</v>
      </c>
      <c r="BC87">
        <f t="shared" si="28"/>
        <v>86</v>
      </c>
      <c r="BI87">
        <f t="shared" si="29"/>
        <v>86</v>
      </c>
      <c r="BO87">
        <f t="shared" si="30"/>
        <v>86</v>
      </c>
    </row>
    <row r="88" spans="13:71" x14ac:dyDescent="0.2">
      <c r="M88">
        <f t="shared" si="21"/>
        <v>87</v>
      </c>
      <c r="N88" t="s">
        <v>1807</v>
      </c>
      <c r="O88" t="s">
        <v>1808</v>
      </c>
      <c r="P88" t="s">
        <v>1809</v>
      </c>
      <c r="Q88" t="s">
        <v>1810</v>
      </c>
      <c r="S88">
        <f t="shared" si="22"/>
        <v>87</v>
      </c>
      <c r="Y88">
        <f t="shared" si="23"/>
        <v>87</v>
      </c>
      <c r="AE88">
        <f t="shared" si="24"/>
        <v>87</v>
      </c>
      <c r="AF88" t="s">
        <v>1811</v>
      </c>
      <c r="AG88" t="s">
        <v>1812</v>
      </c>
      <c r="AH88" t="s">
        <v>1813</v>
      </c>
      <c r="AI88" t="s">
        <v>1811</v>
      </c>
      <c r="AK88">
        <f t="shared" si="25"/>
        <v>87</v>
      </c>
      <c r="AQ88">
        <f t="shared" si="26"/>
        <v>87</v>
      </c>
      <c r="AW88">
        <f t="shared" si="27"/>
        <v>87</v>
      </c>
      <c r="AX88" s="25" t="s">
        <v>1814</v>
      </c>
      <c r="AY88" s="25" t="s">
        <v>1815</v>
      </c>
      <c r="AZ88" s="25" t="s">
        <v>1816</v>
      </c>
      <c r="BA88" s="25" t="s">
        <v>1817</v>
      </c>
      <c r="BC88">
        <f t="shared" si="28"/>
        <v>87</v>
      </c>
      <c r="BI88">
        <f t="shared" si="29"/>
        <v>87</v>
      </c>
      <c r="BO88">
        <f t="shared" si="30"/>
        <v>87</v>
      </c>
    </row>
    <row r="89" spans="13:71" x14ac:dyDescent="0.2">
      <c r="M89">
        <f t="shared" si="21"/>
        <v>88</v>
      </c>
      <c r="N89" t="s">
        <v>1818</v>
      </c>
      <c r="O89" t="s">
        <v>1819</v>
      </c>
      <c r="P89" t="s">
        <v>1820</v>
      </c>
      <c r="Q89" t="s">
        <v>1821</v>
      </c>
      <c r="S89">
        <f t="shared" si="22"/>
        <v>88</v>
      </c>
      <c r="Y89">
        <f t="shared" si="23"/>
        <v>88</v>
      </c>
      <c r="AE89">
        <f t="shared" si="24"/>
        <v>88</v>
      </c>
      <c r="AF89" t="s">
        <v>1822</v>
      </c>
      <c r="AG89" t="s">
        <v>1823</v>
      </c>
      <c r="AH89" t="s">
        <v>1824</v>
      </c>
      <c r="AI89" t="s">
        <v>1823</v>
      </c>
      <c r="AK89">
        <f t="shared" si="25"/>
        <v>88</v>
      </c>
      <c r="AQ89">
        <f t="shared" si="26"/>
        <v>88</v>
      </c>
      <c r="AW89">
        <f t="shared" si="27"/>
        <v>88</v>
      </c>
      <c r="AX89" s="25" t="s">
        <v>1825</v>
      </c>
      <c r="AY89" s="25" t="s">
        <v>1826</v>
      </c>
      <c r="AZ89" s="25" t="s">
        <v>1827</v>
      </c>
      <c r="BA89" s="25" t="s">
        <v>1828</v>
      </c>
      <c r="BC89">
        <f t="shared" si="28"/>
        <v>88</v>
      </c>
      <c r="BI89">
        <f t="shared" si="29"/>
        <v>88</v>
      </c>
      <c r="BO89">
        <f t="shared" si="30"/>
        <v>88</v>
      </c>
    </row>
    <row r="90" spans="13:71" x14ac:dyDescent="0.2">
      <c r="M90">
        <f t="shared" si="21"/>
        <v>89</v>
      </c>
      <c r="N90" t="s">
        <v>1829</v>
      </c>
      <c r="O90" t="s">
        <v>1830</v>
      </c>
      <c r="P90" t="s">
        <v>1831</v>
      </c>
      <c r="Q90" t="s">
        <v>1832</v>
      </c>
      <c r="S90">
        <f t="shared" si="22"/>
        <v>89</v>
      </c>
      <c r="Y90">
        <f t="shared" si="23"/>
        <v>89</v>
      </c>
      <c r="AE90">
        <f t="shared" si="24"/>
        <v>89</v>
      </c>
      <c r="AF90" t="s">
        <v>1606</v>
      </c>
      <c r="AG90" t="s">
        <v>1607</v>
      </c>
      <c r="AH90" t="s">
        <v>1608</v>
      </c>
      <c r="AI90" t="s">
        <v>1609</v>
      </c>
      <c r="AK90">
        <f t="shared" si="25"/>
        <v>89</v>
      </c>
      <c r="AQ90">
        <f t="shared" si="26"/>
        <v>89</v>
      </c>
      <c r="AW90">
        <f t="shared" si="27"/>
        <v>89</v>
      </c>
      <c r="BC90">
        <f t="shared" si="28"/>
        <v>89</v>
      </c>
      <c r="BI90">
        <f t="shared" si="29"/>
        <v>89</v>
      </c>
      <c r="BO90">
        <f t="shared" si="30"/>
        <v>89</v>
      </c>
    </row>
    <row r="91" spans="13:71" x14ac:dyDescent="0.2">
      <c r="M91">
        <f t="shared" si="21"/>
        <v>90</v>
      </c>
      <c r="N91" t="s">
        <v>1833</v>
      </c>
      <c r="O91" t="s">
        <v>1834</v>
      </c>
      <c r="P91" t="s">
        <v>1835</v>
      </c>
      <c r="Q91" t="s">
        <v>1836</v>
      </c>
      <c r="S91">
        <f t="shared" si="22"/>
        <v>90</v>
      </c>
      <c r="Y91">
        <f t="shared" si="23"/>
        <v>90</v>
      </c>
      <c r="AE91">
        <f t="shared" si="24"/>
        <v>90</v>
      </c>
      <c r="AF91" t="s">
        <v>1621</v>
      </c>
      <c r="AG91" t="s">
        <v>1837</v>
      </c>
      <c r="AH91" s="25" t="s">
        <v>1623</v>
      </c>
      <c r="AI91" t="s">
        <v>1624</v>
      </c>
      <c r="AK91">
        <f t="shared" si="25"/>
        <v>90</v>
      </c>
      <c r="AQ91">
        <f t="shared" si="26"/>
        <v>90</v>
      </c>
      <c r="AW91">
        <f t="shared" si="27"/>
        <v>90</v>
      </c>
      <c r="BC91">
        <f t="shared" si="28"/>
        <v>90</v>
      </c>
      <c r="BI91">
        <f t="shared" si="29"/>
        <v>90</v>
      </c>
      <c r="BO91">
        <f t="shared" si="30"/>
        <v>90</v>
      </c>
    </row>
    <row r="92" spans="13:71" x14ac:dyDescent="0.2">
      <c r="M92">
        <f t="shared" si="21"/>
        <v>91</v>
      </c>
      <c r="N92" t="s">
        <v>1838</v>
      </c>
      <c r="O92" t="s">
        <v>1839</v>
      </c>
      <c r="P92" t="s">
        <v>1840</v>
      </c>
      <c r="Q92" t="s">
        <v>1841</v>
      </c>
      <c r="S92">
        <f t="shared" si="22"/>
        <v>91</v>
      </c>
      <c r="Y92">
        <f t="shared" si="23"/>
        <v>91</v>
      </c>
      <c r="AE92">
        <f t="shared" si="24"/>
        <v>91</v>
      </c>
      <c r="AK92">
        <f t="shared" si="25"/>
        <v>91</v>
      </c>
      <c r="AQ92">
        <f t="shared" si="26"/>
        <v>91</v>
      </c>
      <c r="AR92" t="s">
        <v>1842</v>
      </c>
      <c r="AS92" t="s">
        <v>1843</v>
      </c>
      <c r="AT92" t="s">
        <v>1844</v>
      </c>
      <c r="AU92" t="s">
        <v>1845</v>
      </c>
      <c r="AW92">
        <f t="shared" si="27"/>
        <v>91</v>
      </c>
      <c r="BC92">
        <f t="shared" si="28"/>
        <v>91</v>
      </c>
      <c r="BI92">
        <f t="shared" si="29"/>
        <v>91</v>
      </c>
      <c r="BO92">
        <f t="shared" si="30"/>
        <v>91</v>
      </c>
      <c r="BP92" t="s">
        <v>1846</v>
      </c>
      <c r="BQ92" t="s">
        <v>1847</v>
      </c>
      <c r="BR92" t="s">
        <v>1848</v>
      </c>
      <c r="BS92" t="s">
        <v>1849</v>
      </c>
    </row>
    <row r="93" spans="13:71" x14ac:dyDescent="0.2">
      <c r="M93">
        <f t="shared" si="21"/>
        <v>92</v>
      </c>
      <c r="N93" t="s">
        <v>1850</v>
      </c>
      <c r="O93" t="s">
        <v>1851</v>
      </c>
      <c r="P93" t="s">
        <v>1852</v>
      </c>
      <c r="Q93" t="s">
        <v>1853</v>
      </c>
      <c r="S93">
        <f t="shared" si="22"/>
        <v>92</v>
      </c>
      <c r="Y93">
        <f t="shared" si="23"/>
        <v>92</v>
      </c>
      <c r="AE93">
        <f t="shared" si="24"/>
        <v>92</v>
      </c>
      <c r="AK93">
        <f t="shared" si="25"/>
        <v>92</v>
      </c>
      <c r="AQ93">
        <f t="shared" si="26"/>
        <v>92</v>
      </c>
      <c r="AR93" t="s">
        <v>1854</v>
      </c>
      <c r="AS93" t="s">
        <v>1855</v>
      </c>
      <c r="AT93" t="s">
        <v>1856</v>
      </c>
      <c r="AU93" t="s">
        <v>1857</v>
      </c>
      <c r="AW93">
        <f t="shared" si="27"/>
        <v>92</v>
      </c>
      <c r="BC93">
        <f t="shared" si="28"/>
        <v>92</v>
      </c>
      <c r="BI93">
        <f t="shared" si="29"/>
        <v>92</v>
      </c>
      <c r="BO93">
        <f t="shared" si="30"/>
        <v>92</v>
      </c>
      <c r="BP93" t="s">
        <v>1858</v>
      </c>
      <c r="BQ93" t="s">
        <v>1859</v>
      </c>
      <c r="BR93" t="s">
        <v>1860</v>
      </c>
      <c r="BS93" t="s">
        <v>1861</v>
      </c>
    </row>
    <row r="94" spans="13:71" x14ac:dyDescent="0.2">
      <c r="M94">
        <f t="shared" si="21"/>
        <v>93</v>
      </c>
      <c r="N94" t="s">
        <v>1069</v>
      </c>
      <c r="O94" t="s">
        <v>1070</v>
      </c>
      <c r="P94" t="s">
        <v>1862</v>
      </c>
      <c r="Q94" t="s">
        <v>1072</v>
      </c>
      <c r="S94">
        <f t="shared" si="22"/>
        <v>93</v>
      </c>
      <c r="Y94">
        <f t="shared" si="23"/>
        <v>93</v>
      </c>
      <c r="AE94">
        <f t="shared" si="24"/>
        <v>93</v>
      </c>
      <c r="AK94">
        <f t="shared" si="25"/>
        <v>93</v>
      </c>
      <c r="AQ94">
        <f t="shared" si="26"/>
        <v>93</v>
      </c>
      <c r="AW94">
        <f t="shared" si="27"/>
        <v>93</v>
      </c>
      <c r="BC94">
        <f t="shared" si="28"/>
        <v>93</v>
      </c>
      <c r="BI94">
        <f t="shared" si="29"/>
        <v>93</v>
      </c>
      <c r="BO94">
        <f t="shared" si="30"/>
        <v>93</v>
      </c>
      <c r="BP94" t="s">
        <v>754</v>
      </c>
      <c r="BQ94" t="s">
        <v>754</v>
      </c>
      <c r="BR94" t="s">
        <v>755</v>
      </c>
      <c r="BS94" t="s">
        <v>754</v>
      </c>
    </row>
    <row r="95" spans="13:71" x14ac:dyDescent="0.2">
      <c r="M95">
        <f t="shared" si="21"/>
        <v>94</v>
      </c>
      <c r="N95" t="s">
        <v>1863</v>
      </c>
      <c r="O95" t="s">
        <v>1864</v>
      </c>
      <c r="P95" t="s">
        <v>1865</v>
      </c>
      <c r="Q95" t="s">
        <v>1866</v>
      </c>
      <c r="S95">
        <f t="shared" si="22"/>
        <v>94</v>
      </c>
      <c r="Y95">
        <f t="shared" si="23"/>
        <v>94</v>
      </c>
      <c r="AE95">
        <f t="shared" si="24"/>
        <v>94</v>
      </c>
      <c r="AK95">
        <f t="shared" si="25"/>
        <v>94</v>
      </c>
      <c r="AQ95">
        <f t="shared" si="26"/>
        <v>94</v>
      </c>
      <c r="AW95">
        <f t="shared" si="27"/>
        <v>94</v>
      </c>
      <c r="BC95">
        <f t="shared" si="28"/>
        <v>94</v>
      </c>
      <c r="BI95">
        <f t="shared" si="29"/>
        <v>94</v>
      </c>
      <c r="BO95">
        <f t="shared" si="30"/>
        <v>94</v>
      </c>
      <c r="BP95" t="s">
        <v>1867</v>
      </c>
      <c r="BQ95" t="s">
        <v>1867</v>
      </c>
      <c r="BR95" t="s">
        <v>1868</v>
      </c>
      <c r="BS95" t="s">
        <v>1867</v>
      </c>
    </row>
    <row r="96" spans="13:71" x14ac:dyDescent="0.2">
      <c r="M96">
        <f t="shared" si="21"/>
        <v>95</v>
      </c>
      <c r="N96" t="s">
        <v>1869</v>
      </c>
      <c r="O96" t="s">
        <v>1870</v>
      </c>
      <c r="P96" t="s">
        <v>1871</v>
      </c>
      <c r="Q96" t="s">
        <v>1872</v>
      </c>
      <c r="S96">
        <f t="shared" si="22"/>
        <v>95</v>
      </c>
      <c r="Y96">
        <f t="shared" si="23"/>
        <v>95</v>
      </c>
      <c r="AE96">
        <f t="shared" si="24"/>
        <v>95</v>
      </c>
      <c r="AK96">
        <f t="shared" si="25"/>
        <v>95</v>
      </c>
      <c r="AQ96">
        <f t="shared" si="26"/>
        <v>95</v>
      </c>
      <c r="AW96">
        <f t="shared" si="27"/>
        <v>95</v>
      </c>
      <c r="BC96">
        <f t="shared" si="28"/>
        <v>95</v>
      </c>
      <c r="BI96">
        <f t="shared" si="29"/>
        <v>95</v>
      </c>
      <c r="BO96">
        <f t="shared" si="30"/>
        <v>95</v>
      </c>
      <c r="BP96" t="s">
        <v>1873</v>
      </c>
      <c r="BQ96" t="s">
        <v>1873</v>
      </c>
      <c r="BR96" t="s">
        <v>1874</v>
      </c>
      <c r="BS96" t="s">
        <v>1873</v>
      </c>
    </row>
    <row r="97" spans="13:71" x14ac:dyDescent="0.2">
      <c r="M97">
        <f t="shared" si="21"/>
        <v>96</v>
      </c>
      <c r="N97" t="s">
        <v>1875</v>
      </c>
      <c r="O97" t="s">
        <v>1876</v>
      </c>
      <c r="P97" t="s">
        <v>1877</v>
      </c>
      <c r="Q97" t="s">
        <v>1878</v>
      </c>
      <c r="S97">
        <f t="shared" si="22"/>
        <v>96</v>
      </c>
      <c r="Y97">
        <f t="shared" si="23"/>
        <v>96</v>
      </c>
      <c r="AE97">
        <f t="shared" si="24"/>
        <v>96</v>
      </c>
      <c r="AK97">
        <f t="shared" si="25"/>
        <v>96</v>
      </c>
      <c r="AQ97">
        <f t="shared" si="26"/>
        <v>96</v>
      </c>
      <c r="AW97">
        <f t="shared" si="27"/>
        <v>96</v>
      </c>
      <c r="BC97">
        <f t="shared" si="28"/>
        <v>96</v>
      </c>
      <c r="BI97">
        <f t="shared" si="29"/>
        <v>96</v>
      </c>
      <c r="BO97">
        <f t="shared" si="30"/>
        <v>96</v>
      </c>
      <c r="BP97" t="s">
        <v>1879</v>
      </c>
      <c r="BQ97" t="s">
        <v>1879</v>
      </c>
      <c r="BR97" t="s">
        <v>1880</v>
      </c>
      <c r="BS97" t="s">
        <v>1879</v>
      </c>
    </row>
    <row r="98" spans="13:71" x14ac:dyDescent="0.2">
      <c r="M98">
        <f t="shared" si="21"/>
        <v>97</v>
      </c>
      <c r="N98" t="s">
        <v>1881</v>
      </c>
      <c r="O98" t="s">
        <v>1882</v>
      </c>
      <c r="P98" t="s">
        <v>1883</v>
      </c>
      <c r="Q98" t="s">
        <v>1884</v>
      </c>
      <c r="S98">
        <f t="shared" si="22"/>
        <v>97</v>
      </c>
      <c r="Y98">
        <f t="shared" si="23"/>
        <v>97</v>
      </c>
      <c r="AE98">
        <f t="shared" si="24"/>
        <v>97</v>
      </c>
      <c r="AK98">
        <f t="shared" si="25"/>
        <v>97</v>
      </c>
      <c r="AQ98">
        <f t="shared" si="26"/>
        <v>97</v>
      </c>
      <c r="AW98">
        <f t="shared" si="27"/>
        <v>97</v>
      </c>
      <c r="BC98">
        <f t="shared" si="28"/>
        <v>97</v>
      </c>
      <c r="BI98">
        <f t="shared" si="29"/>
        <v>97</v>
      </c>
      <c r="BO98">
        <f t="shared" si="30"/>
        <v>97</v>
      </c>
      <c r="BP98" t="s">
        <v>1885</v>
      </c>
      <c r="BQ98" t="s">
        <v>1886</v>
      </c>
      <c r="BR98" t="s">
        <v>1887</v>
      </c>
      <c r="BS98" t="s">
        <v>1888</v>
      </c>
    </row>
    <row r="99" spans="13:71" x14ac:dyDescent="0.2">
      <c r="M99">
        <f t="shared" si="21"/>
        <v>98</v>
      </c>
      <c r="N99" t="s">
        <v>1889</v>
      </c>
      <c r="O99" t="s">
        <v>1890</v>
      </c>
      <c r="P99" t="s">
        <v>1891</v>
      </c>
      <c r="Q99" t="s">
        <v>1892</v>
      </c>
      <c r="S99">
        <f t="shared" si="22"/>
        <v>98</v>
      </c>
      <c r="Y99">
        <f t="shared" si="23"/>
        <v>98</v>
      </c>
      <c r="AE99">
        <f t="shared" si="24"/>
        <v>98</v>
      </c>
      <c r="AK99">
        <f t="shared" si="25"/>
        <v>98</v>
      </c>
      <c r="AQ99">
        <f t="shared" si="26"/>
        <v>98</v>
      </c>
      <c r="AW99">
        <f t="shared" si="27"/>
        <v>98</v>
      </c>
      <c r="BC99">
        <f t="shared" si="28"/>
        <v>98</v>
      </c>
      <c r="BI99">
        <f t="shared" si="29"/>
        <v>98</v>
      </c>
      <c r="BO99">
        <f t="shared" si="30"/>
        <v>98</v>
      </c>
      <c r="BP99" t="s">
        <v>1893</v>
      </c>
      <c r="BQ99" t="s">
        <v>1894</v>
      </c>
      <c r="BR99" t="s">
        <v>1895</v>
      </c>
      <c r="BS99" t="s">
        <v>1896</v>
      </c>
    </row>
    <row r="100" spans="13:71" x14ac:dyDescent="0.2">
      <c r="M100">
        <f t="shared" si="21"/>
        <v>99</v>
      </c>
      <c r="N100" t="s">
        <v>1897</v>
      </c>
      <c r="O100" t="s">
        <v>1898</v>
      </c>
      <c r="P100" t="s">
        <v>1899</v>
      </c>
      <c r="Q100" t="s">
        <v>1900</v>
      </c>
      <c r="S100">
        <f t="shared" si="22"/>
        <v>99</v>
      </c>
      <c r="Y100">
        <f t="shared" si="23"/>
        <v>99</v>
      </c>
      <c r="AE100">
        <f t="shared" si="24"/>
        <v>99</v>
      </c>
      <c r="AK100">
        <f t="shared" si="25"/>
        <v>99</v>
      </c>
      <c r="AQ100">
        <f t="shared" si="26"/>
        <v>99</v>
      </c>
      <c r="AW100">
        <f t="shared" si="27"/>
        <v>99</v>
      </c>
      <c r="BC100">
        <f t="shared" si="28"/>
        <v>99</v>
      </c>
      <c r="BI100">
        <f t="shared" si="29"/>
        <v>99</v>
      </c>
      <c r="BO100">
        <f t="shared" si="30"/>
        <v>99</v>
      </c>
    </row>
    <row r="101" spans="13:71" x14ac:dyDescent="0.2">
      <c r="M101">
        <f t="shared" si="21"/>
        <v>100</v>
      </c>
      <c r="N101" t="s">
        <v>1901</v>
      </c>
      <c r="O101" t="s">
        <v>1902</v>
      </c>
      <c r="P101" t="s">
        <v>1903</v>
      </c>
      <c r="Q101" t="s">
        <v>1904</v>
      </c>
      <c r="S101">
        <f t="shared" si="22"/>
        <v>100</v>
      </c>
      <c r="Y101">
        <f t="shared" si="23"/>
        <v>100</v>
      </c>
      <c r="AE101">
        <f t="shared" si="24"/>
        <v>100</v>
      </c>
      <c r="AK101">
        <f t="shared" si="25"/>
        <v>100</v>
      </c>
      <c r="AQ101">
        <f t="shared" si="26"/>
        <v>100</v>
      </c>
      <c r="AW101">
        <f t="shared" si="27"/>
        <v>100</v>
      </c>
      <c r="BC101">
        <f t="shared" si="28"/>
        <v>100</v>
      </c>
      <c r="BI101">
        <f t="shared" si="29"/>
        <v>100</v>
      </c>
      <c r="BO101">
        <f t="shared" si="30"/>
        <v>100</v>
      </c>
    </row>
    <row r="102" spans="13:71" x14ac:dyDescent="0.2">
      <c r="M102">
        <f t="shared" si="21"/>
        <v>101</v>
      </c>
      <c r="N102" t="s">
        <v>1905</v>
      </c>
      <c r="O102" t="s">
        <v>1906</v>
      </c>
      <c r="P102" t="s">
        <v>1907</v>
      </c>
      <c r="Q102" t="s">
        <v>1908</v>
      </c>
      <c r="S102">
        <f t="shared" si="22"/>
        <v>101</v>
      </c>
      <c r="Y102">
        <f t="shared" si="23"/>
        <v>101</v>
      </c>
      <c r="AE102">
        <f t="shared" si="24"/>
        <v>101</v>
      </c>
      <c r="AF102" t="s">
        <v>1909</v>
      </c>
      <c r="AG102" t="s">
        <v>1910</v>
      </c>
      <c r="AH102" t="s">
        <v>1911</v>
      </c>
      <c r="AI102" t="s">
        <v>1912</v>
      </c>
      <c r="AK102">
        <f t="shared" si="25"/>
        <v>101</v>
      </c>
      <c r="AQ102">
        <f t="shared" si="26"/>
        <v>101</v>
      </c>
      <c r="AR102" t="s">
        <v>1913</v>
      </c>
      <c r="AS102" t="s">
        <v>1914</v>
      </c>
      <c r="AT102" t="s">
        <v>1915</v>
      </c>
      <c r="AU102" t="s">
        <v>1916</v>
      </c>
      <c r="AW102">
        <f t="shared" si="27"/>
        <v>101</v>
      </c>
      <c r="BC102">
        <f t="shared" si="28"/>
        <v>101</v>
      </c>
      <c r="BI102">
        <f t="shared" si="29"/>
        <v>101</v>
      </c>
      <c r="BO102">
        <f t="shared" si="30"/>
        <v>101</v>
      </c>
    </row>
    <row r="103" spans="13:71" x14ac:dyDescent="0.2">
      <c r="M103">
        <f t="shared" si="21"/>
        <v>102</v>
      </c>
      <c r="N103" t="s">
        <v>1917</v>
      </c>
      <c r="O103" t="s">
        <v>1918</v>
      </c>
      <c r="P103" t="s">
        <v>1919</v>
      </c>
      <c r="Q103" t="s">
        <v>1920</v>
      </c>
      <c r="S103">
        <f t="shared" si="22"/>
        <v>102</v>
      </c>
      <c r="Y103">
        <f t="shared" si="23"/>
        <v>102</v>
      </c>
      <c r="AE103">
        <f t="shared" si="24"/>
        <v>102</v>
      </c>
      <c r="AF103" t="s">
        <v>363</v>
      </c>
      <c r="AG103" t="s">
        <v>364</v>
      </c>
      <c r="AH103" t="s">
        <v>365</v>
      </c>
      <c r="AI103" t="s">
        <v>366</v>
      </c>
      <c r="AK103">
        <f t="shared" si="25"/>
        <v>102</v>
      </c>
      <c r="AQ103">
        <f t="shared" si="26"/>
        <v>102</v>
      </c>
      <c r="AR103" s="25" t="s">
        <v>1921</v>
      </c>
      <c r="AS103" s="25" t="s">
        <v>1922</v>
      </c>
      <c r="AT103" s="25" t="s">
        <v>1923</v>
      </c>
      <c r="AU103" s="25" t="s">
        <v>1924</v>
      </c>
      <c r="AW103">
        <f t="shared" si="27"/>
        <v>102</v>
      </c>
      <c r="BC103">
        <f t="shared" si="28"/>
        <v>102</v>
      </c>
      <c r="BI103">
        <f t="shared" si="29"/>
        <v>102</v>
      </c>
      <c r="BO103">
        <f t="shared" si="30"/>
        <v>102</v>
      </c>
    </row>
    <row r="104" spans="13:71" x14ac:dyDescent="0.2">
      <c r="M104">
        <f t="shared" si="21"/>
        <v>103</v>
      </c>
      <c r="N104" t="s">
        <v>1925</v>
      </c>
      <c r="O104" t="s">
        <v>1926</v>
      </c>
      <c r="P104" t="s">
        <v>1927</v>
      </c>
      <c r="Q104" t="s">
        <v>1928</v>
      </c>
      <c r="S104">
        <f t="shared" si="22"/>
        <v>103</v>
      </c>
      <c r="Y104">
        <f t="shared" si="23"/>
        <v>103</v>
      </c>
      <c r="AE104">
        <f t="shared" si="24"/>
        <v>103</v>
      </c>
      <c r="AF104" t="s">
        <v>1909</v>
      </c>
      <c r="AG104" t="s">
        <v>1910</v>
      </c>
      <c r="AH104" t="s">
        <v>1911</v>
      </c>
      <c r="AI104" t="s">
        <v>1912</v>
      </c>
      <c r="AK104">
        <f t="shared" si="25"/>
        <v>103</v>
      </c>
      <c r="AQ104">
        <f t="shared" si="26"/>
        <v>103</v>
      </c>
      <c r="AR104" s="25" t="s">
        <v>1929</v>
      </c>
      <c r="AS104" s="25" t="s">
        <v>1930</v>
      </c>
      <c r="AT104" s="25" t="s">
        <v>1931</v>
      </c>
      <c r="AU104" s="25" t="s">
        <v>1932</v>
      </c>
      <c r="AW104">
        <f t="shared" si="27"/>
        <v>103</v>
      </c>
      <c r="BC104">
        <f t="shared" si="28"/>
        <v>103</v>
      </c>
      <c r="BI104">
        <f t="shared" si="29"/>
        <v>103</v>
      </c>
      <c r="BO104">
        <f t="shared" si="30"/>
        <v>103</v>
      </c>
    </row>
    <row r="105" spans="13:71" x14ac:dyDescent="0.2">
      <c r="M105">
        <f t="shared" si="21"/>
        <v>104</v>
      </c>
      <c r="N105" t="s">
        <v>1933</v>
      </c>
      <c r="O105" t="s">
        <v>1934</v>
      </c>
      <c r="P105" t="s">
        <v>1935</v>
      </c>
      <c r="Q105" t="s">
        <v>1936</v>
      </c>
      <c r="S105">
        <f t="shared" si="22"/>
        <v>104</v>
      </c>
      <c r="Y105">
        <f t="shared" si="23"/>
        <v>104</v>
      </c>
      <c r="AE105">
        <f t="shared" si="24"/>
        <v>104</v>
      </c>
      <c r="AF105" t="s">
        <v>1937</v>
      </c>
      <c r="AG105" t="s">
        <v>1938</v>
      </c>
      <c r="AH105" t="s">
        <v>1939</v>
      </c>
      <c r="AI105" t="s">
        <v>1940</v>
      </c>
      <c r="AK105">
        <f t="shared" si="25"/>
        <v>104</v>
      </c>
      <c r="AQ105">
        <f t="shared" si="26"/>
        <v>104</v>
      </c>
      <c r="AW105">
        <f t="shared" si="27"/>
        <v>104</v>
      </c>
      <c r="BC105">
        <f t="shared" si="28"/>
        <v>104</v>
      </c>
      <c r="BI105">
        <f t="shared" si="29"/>
        <v>104</v>
      </c>
      <c r="BO105">
        <f t="shared" si="30"/>
        <v>104</v>
      </c>
    </row>
    <row r="106" spans="13:71" x14ac:dyDescent="0.2">
      <c r="M106">
        <f t="shared" si="21"/>
        <v>105</v>
      </c>
      <c r="N106" t="s">
        <v>1941</v>
      </c>
      <c r="O106" t="s">
        <v>1942</v>
      </c>
      <c r="P106" t="s">
        <v>1943</v>
      </c>
      <c r="Q106" t="s">
        <v>1944</v>
      </c>
      <c r="S106">
        <f t="shared" si="22"/>
        <v>105</v>
      </c>
      <c r="Y106">
        <f t="shared" si="23"/>
        <v>105</v>
      </c>
      <c r="AE106">
        <f t="shared" si="24"/>
        <v>105</v>
      </c>
      <c r="AK106">
        <f t="shared" si="25"/>
        <v>105</v>
      </c>
      <c r="AQ106">
        <f t="shared" si="26"/>
        <v>105</v>
      </c>
      <c r="AW106">
        <f t="shared" si="27"/>
        <v>105</v>
      </c>
      <c r="BC106">
        <f t="shared" si="28"/>
        <v>105</v>
      </c>
      <c r="BI106">
        <f t="shared" si="29"/>
        <v>105</v>
      </c>
      <c r="BO106">
        <f t="shared" si="30"/>
        <v>105</v>
      </c>
    </row>
    <row r="107" spans="13:71" x14ac:dyDescent="0.2">
      <c r="M107">
        <f t="shared" si="21"/>
        <v>106</v>
      </c>
      <c r="N107" t="s">
        <v>1945</v>
      </c>
      <c r="O107" t="s">
        <v>1946</v>
      </c>
      <c r="P107" t="s">
        <v>1947</v>
      </c>
      <c r="Q107" t="s">
        <v>1948</v>
      </c>
      <c r="S107">
        <f t="shared" si="22"/>
        <v>106</v>
      </c>
      <c r="Y107">
        <f t="shared" si="23"/>
        <v>106</v>
      </c>
      <c r="AE107">
        <f t="shared" si="24"/>
        <v>106</v>
      </c>
      <c r="AK107">
        <f t="shared" si="25"/>
        <v>106</v>
      </c>
      <c r="AQ107">
        <f t="shared" si="26"/>
        <v>106</v>
      </c>
      <c r="AW107">
        <f t="shared" si="27"/>
        <v>106</v>
      </c>
      <c r="BC107">
        <f t="shared" si="28"/>
        <v>106</v>
      </c>
      <c r="BI107">
        <f t="shared" si="29"/>
        <v>106</v>
      </c>
      <c r="BO107">
        <f t="shared" si="30"/>
        <v>106</v>
      </c>
    </row>
    <row r="108" spans="13:71" x14ac:dyDescent="0.2">
      <c r="M108">
        <f t="shared" si="21"/>
        <v>107</v>
      </c>
      <c r="N108" t="s">
        <v>1949</v>
      </c>
      <c r="O108" t="s">
        <v>1950</v>
      </c>
      <c r="P108" t="s">
        <v>1951</v>
      </c>
      <c r="Q108" t="s">
        <v>1952</v>
      </c>
      <c r="S108">
        <f t="shared" si="22"/>
        <v>107</v>
      </c>
      <c r="Y108">
        <f t="shared" si="23"/>
        <v>107</v>
      </c>
      <c r="AE108">
        <f t="shared" si="24"/>
        <v>107</v>
      </c>
      <c r="AK108">
        <f t="shared" si="25"/>
        <v>107</v>
      </c>
      <c r="AQ108">
        <f t="shared" si="26"/>
        <v>107</v>
      </c>
      <c r="AW108">
        <f t="shared" si="27"/>
        <v>107</v>
      </c>
      <c r="BC108">
        <f t="shared" si="28"/>
        <v>107</v>
      </c>
      <c r="BI108">
        <f t="shared" si="29"/>
        <v>107</v>
      </c>
      <c r="BO108">
        <f t="shared" si="30"/>
        <v>107</v>
      </c>
    </row>
    <row r="109" spans="13:71" x14ac:dyDescent="0.2">
      <c r="M109">
        <f t="shared" si="21"/>
        <v>108</v>
      </c>
      <c r="N109" t="s">
        <v>1953</v>
      </c>
      <c r="O109" t="s">
        <v>1954</v>
      </c>
      <c r="P109" t="s">
        <v>1955</v>
      </c>
      <c r="Q109" t="s">
        <v>1956</v>
      </c>
      <c r="S109">
        <f t="shared" si="22"/>
        <v>108</v>
      </c>
      <c r="Y109">
        <f t="shared" si="23"/>
        <v>108</v>
      </c>
      <c r="AE109">
        <f t="shared" si="24"/>
        <v>108</v>
      </c>
      <c r="AK109">
        <f t="shared" si="25"/>
        <v>108</v>
      </c>
      <c r="AQ109">
        <f t="shared" si="26"/>
        <v>108</v>
      </c>
      <c r="AW109">
        <f t="shared" si="27"/>
        <v>108</v>
      </c>
      <c r="BC109">
        <f t="shared" si="28"/>
        <v>108</v>
      </c>
      <c r="BI109">
        <f t="shared" si="29"/>
        <v>108</v>
      </c>
      <c r="BO109">
        <f t="shared" si="30"/>
        <v>108</v>
      </c>
    </row>
    <row r="110" spans="13:71" x14ac:dyDescent="0.2">
      <c r="M110">
        <f t="shared" si="21"/>
        <v>109</v>
      </c>
      <c r="N110" t="s">
        <v>1957</v>
      </c>
      <c r="O110" t="s">
        <v>1958</v>
      </c>
      <c r="P110" t="s">
        <v>1322</v>
      </c>
      <c r="Q110" t="s">
        <v>1959</v>
      </c>
      <c r="S110">
        <f t="shared" si="22"/>
        <v>109</v>
      </c>
      <c r="Y110">
        <f t="shared" si="23"/>
        <v>109</v>
      </c>
      <c r="AE110">
        <f t="shared" si="24"/>
        <v>109</v>
      </c>
      <c r="AK110">
        <f t="shared" si="25"/>
        <v>109</v>
      </c>
      <c r="AQ110">
        <f t="shared" si="26"/>
        <v>109</v>
      </c>
      <c r="AW110">
        <f t="shared" si="27"/>
        <v>109</v>
      </c>
      <c r="BC110">
        <f t="shared" si="28"/>
        <v>109</v>
      </c>
      <c r="BI110">
        <f t="shared" si="29"/>
        <v>109</v>
      </c>
      <c r="BO110">
        <f t="shared" si="30"/>
        <v>109</v>
      </c>
    </row>
    <row r="111" spans="13:71" x14ac:dyDescent="0.2">
      <c r="M111">
        <f t="shared" si="21"/>
        <v>110</v>
      </c>
      <c r="N111" t="s">
        <v>1960</v>
      </c>
      <c r="O111" t="s">
        <v>1961</v>
      </c>
      <c r="P111" t="s">
        <v>1962</v>
      </c>
      <c r="Q111" t="s">
        <v>1963</v>
      </c>
      <c r="S111">
        <f t="shared" si="22"/>
        <v>110</v>
      </c>
      <c r="Y111">
        <f t="shared" si="23"/>
        <v>110</v>
      </c>
      <c r="AE111">
        <f t="shared" si="24"/>
        <v>110</v>
      </c>
      <c r="AK111">
        <f t="shared" si="25"/>
        <v>110</v>
      </c>
      <c r="AQ111">
        <f t="shared" si="26"/>
        <v>110</v>
      </c>
      <c r="AW111">
        <f t="shared" si="27"/>
        <v>110</v>
      </c>
      <c r="BC111">
        <f t="shared" si="28"/>
        <v>110</v>
      </c>
      <c r="BI111">
        <f t="shared" si="29"/>
        <v>110</v>
      </c>
      <c r="BO111">
        <f t="shared" si="30"/>
        <v>110</v>
      </c>
    </row>
    <row r="112" spans="13:71" x14ac:dyDescent="0.2">
      <c r="M112">
        <f t="shared" si="21"/>
        <v>111</v>
      </c>
      <c r="N112" t="s">
        <v>1964</v>
      </c>
      <c r="O112" t="s">
        <v>1965</v>
      </c>
      <c r="P112" t="s">
        <v>1966</v>
      </c>
      <c r="Q112" t="s">
        <v>1967</v>
      </c>
      <c r="S112">
        <f t="shared" si="22"/>
        <v>111</v>
      </c>
      <c r="Y112">
        <f t="shared" si="23"/>
        <v>111</v>
      </c>
      <c r="AE112">
        <f t="shared" si="24"/>
        <v>111</v>
      </c>
      <c r="AF112" t="s">
        <v>1968</v>
      </c>
      <c r="AG112" t="s">
        <v>1969</v>
      </c>
      <c r="AH112" t="s">
        <v>1970</v>
      </c>
      <c r="AI112" t="s">
        <v>1971</v>
      </c>
      <c r="AK112">
        <f t="shared" si="25"/>
        <v>111</v>
      </c>
      <c r="AQ112">
        <f t="shared" si="26"/>
        <v>111</v>
      </c>
      <c r="AR112" t="s">
        <v>1972</v>
      </c>
      <c r="AS112" t="s">
        <v>1973</v>
      </c>
      <c r="AT112" t="s">
        <v>1974</v>
      </c>
      <c r="AU112" t="s">
        <v>1975</v>
      </c>
      <c r="AW112">
        <f t="shared" si="27"/>
        <v>111</v>
      </c>
      <c r="BC112">
        <f t="shared" si="28"/>
        <v>111</v>
      </c>
      <c r="BI112">
        <f t="shared" si="29"/>
        <v>111</v>
      </c>
      <c r="BO112">
        <f t="shared" si="30"/>
        <v>111</v>
      </c>
    </row>
    <row r="113" spans="13:67" x14ac:dyDescent="0.2">
      <c r="M113">
        <f t="shared" si="21"/>
        <v>112</v>
      </c>
      <c r="N113" t="s">
        <v>1976</v>
      </c>
      <c r="O113" t="s">
        <v>1977</v>
      </c>
      <c r="P113" t="s">
        <v>1978</v>
      </c>
      <c r="Q113" t="s">
        <v>1979</v>
      </c>
      <c r="S113">
        <f t="shared" si="22"/>
        <v>112</v>
      </c>
      <c r="Y113">
        <f t="shared" si="23"/>
        <v>112</v>
      </c>
      <c r="AE113">
        <f t="shared" si="24"/>
        <v>112</v>
      </c>
      <c r="AF113" t="s">
        <v>1980</v>
      </c>
      <c r="AG113" t="s">
        <v>1981</v>
      </c>
      <c r="AH113" t="s">
        <v>1982</v>
      </c>
      <c r="AI113" t="s">
        <v>1983</v>
      </c>
      <c r="AK113">
        <f t="shared" si="25"/>
        <v>112</v>
      </c>
      <c r="AQ113">
        <f t="shared" si="26"/>
        <v>112</v>
      </c>
      <c r="AR113" t="s">
        <v>1984</v>
      </c>
      <c r="AS113" t="s">
        <v>1985</v>
      </c>
      <c r="AT113" t="s">
        <v>1986</v>
      </c>
      <c r="AU113" t="s">
        <v>1987</v>
      </c>
      <c r="AW113">
        <f t="shared" si="27"/>
        <v>112</v>
      </c>
      <c r="BC113">
        <f t="shared" si="28"/>
        <v>112</v>
      </c>
      <c r="BI113">
        <f t="shared" si="29"/>
        <v>112</v>
      </c>
      <c r="BO113">
        <f t="shared" si="30"/>
        <v>112</v>
      </c>
    </row>
    <row r="114" spans="13:67" x14ac:dyDescent="0.2">
      <c r="M114">
        <f t="shared" si="21"/>
        <v>113</v>
      </c>
      <c r="N114" t="s">
        <v>1988</v>
      </c>
      <c r="O114" t="s">
        <v>1989</v>
      </c>
      <c r="P114" t="s">
        <v>1990</v>
      </c>
      <c r="Q114" t="s">
        <v>1991</v>
      </c>
      <c r="S114">
        <f t="shared" si="22"/>
        <v>113</v>
      </c>
      <c r="Y114">
        <f t="shared" si="23"/>
        <v>113</v>
      </c>
      <c r="AE114">
        <f t="shared" si="24"/>
        <v>113</v>
      </c>
      <c r="AF114" t="s">
        <v>1992</v>
      </c>
      <c r="AG114" t="s">
        <v>1993</v>
      </c>
      <c r="AH114" t="s">
        <v>1994</v>
      </c>
      <c r="AI114" t="s">
        <v>1995</v>
      </c>
      <c r="AK114">
        <f t="shared" si="25"/>
        <v>113</v>
      </c>
      <c r="AQ114">
        <f t="shared" si="26"/>
        <v>113</v>
      </c>
      <c r="AR114" t="s">
        <v>1996</v>
      </c>
      <c r="AS114" t="s">
        <v>1997</v>
      </c>
      <c r="AT114" t="s">
        <v>1998</v>
      </c>
      <c r="AU114" t="s">
        <v>1999</v>
      </c>
      <c r="AW114">
        <f t="shared" si="27"/>
        <v>113</v>
      </c>
      <c r="BC114">
        <f t="shared" si="28"/>
        <v>113</v>
      </c>
      <c r="BI114">
        <f t="shared" si="29"/>
        <v>113</v>
      </c>
      <c r="BO114">
        <f t="shared" si="30"/>
        <v>113</v>
      </c>
    </row>
    <row r="115" spans="13:67" x14ac:dyDescent="0.2">
      <c r="M115">
        <f t="shared" si="21"/>
        <v>114</v>
      </c>
      <c r="N115" t="s">
        <v>1988</v>
      </c>
      <c r="O115" t="s">
        <v>1989</v>
      </c>
      <c r="P115" t="s">
        <v>1990</v>
      </c>
      <c r="Q115" t="s">
        <v>1991</v>
      </c>
      <c r="S115">
        <f t="shared" si="22"/>
        <v>114</v>
      </c>
      <c r="Y115">
        <f t="shared" si="23"/>
        <v>114</v>
      </c>
      <c r="AE115">
        <f t="shared" si="24"/>
        <v>114</v>
      </c>
      <c r="AF115" t="s">
        <v>2000</v>
      </c>
      <c r="AG115" t="s">
        <v>2001</v>
      </c>
      <c r="AH115" t="s">
        <v>2002</v>
      </c>
      <c r="AI115" t="s">
        <v>2003</v>
      </c>
      <c r="AK115">
        <f t="shared" si="25"/>
        <v>114</v>
      </c>
      <c r="AQ115">
        <f t="shared" si="26"/>
        <v>114</v>
      </c>
      <c r="AR115" t="s">
        <v>2004</v>
      </c>
      <c r="AS115" t="s">
        <v>2005</v>
      </c>
      <c r="AT115" t="s">
        <v>2006</v>
      </c>
      <c r="AU115" t="s">
        <v>2007</v>
      </c>
      <c r="AW115">
        <f t="shared" si="27"/>
        <v>114</v>
      </c>
      <c r="BC115">
        <f t="shared" si="28"/>
        <v>114</v>
      </c>
      <c r="BI115">
        <f t="shared" si="29"/>
        <v>114</v>
      </c>
      <c r="BO115">
        <f t="shared" si="30"/>
        <v>114</v>
      </c>
    </row>
    <row r="116" spans="13:67" x14ac:dyDescent="0.2">
      <c r="M116">
        <f t="shared" si="21"/>
        <v>115</v>
      </c>
      <c r="N116" t="s">
        <v>2008</v>
      </c>
      <c r="O116" t="s">
        <v>2009</v>
      </c>
      <c r="P116" t="s">
        <v>2010</v>
      </c>
      <c r="Q116" t="s">
        <v>2011</v>
      </c>
      <c r="S116">
        <f t="shared" si="22"/>
        <v>115</v>
      </c>
      <c r="Y116">
        <f t="shared" si="23"/>
        <v>115</v>
      </c>
      <c r="AE116">
        <f t="shared" si="24"/>
        <v>115</v>
      </c>
      <c r="AF116" t="s">
        <v>2012</v>
      </c>
      <c r="AG116" t="s">
        <v>2013</v>
      </c>
      <c r="AH116" t="s">
        <v>2014</v>
      </c>
      <c r="AI116" t="s">
        <v>2014</v>
      </c>
      <c r="AK116">
        <f t="shared" si="25"/>
        <v>115</v>
      </c>
      <c r="AQ116">
        <f t="shared" si="26"/>
        <v>115</v>
      </c>
      <c r="AR116" t="s">
        <v>2015</v>
      </c>
      <c r="AS116" t="s">
        <v>2016</v>
      </c>
      <c r="AT116" t="s">
        <v>2017</v>
      </c>
      <c r="AU116" t="s">
        <v>2018</v>
      </c>
      <c r="AW116">
        <f t="shared" si="27"/>
        <v>115</v>
      </c>
      <c r="BC116">
        <f t="shared" si="28"/>
        <v>115</v>
      </c>
      <c r="BI116">
        <f t="shared" si="29"/>
        <v>115</v>
      </c>
      <c r="BO116">
        <f t="shared" si="30"/>
        <v>115</v>
      </c>
    </row>
    <row r="117" spans="13:67" x14ac:dyDescent="0.2">
      <c r="M117">
        <f t="shared" si="21"/>
        <v>116</v>
      </c>
      <c r="N117" t="s">
        <v>2019</v>
      </c>
      <c r="O117" t="s">
        <v>2020</v>
      </c>
      <c r="P117" t="s">
        <v>2021</v>
      </c>
      <c r="Q117" t="s">
        <v>2022</v>
      </c>
      <c r="S117">
        <f t="shared" si="22"/>
        <v>116</v>
      </c>
      <c r="Y117">
        <f t="shared" si="23"/>
        <v>116</v>
      </c>
      <c r="AE117">
        <f t="shared" si="24"/>
        <v>116</v>
      </c>
      <c r="AF117" t="s">
        <v>2023</v>
      </c>
      <c r="AG117" t="s">
        <v>2024</v>
      </c>
      <c r="AH117" t="s">
        <v>2025</v>
      </c>
      <c r="AI117" t="s">
        <v>2026</v>
      </c>
      <c r="AK117">
        <f t="shared" si="25"/>
        <v>116</v>
      </c>
      <c r="AQ117">
        <f t="shared" si="26"/>
        <v>116</v>
      </c>
      <c r="AW117">
        <f t="shared" si="27"/>
        <v>116</v>
      </c>
      <c r="BC117">
        <f t="shared" si="28"/>
        <v>116</v>
      </c>
      <c r="BI117">
        <f t="shared" si="29"/>
        <v>116</v>
      </c>
      <c r="BO117">
        <f t="shared" si="30"/>
        <v>116</v>
      </c>
    </row>
    <row r="118" spans="13:67" x14ac:dyDescent="0.2">
      <c r="M118">
        <f t="shared" si="21"/>
        <v>117</v>
      </c>
      <c r="N118" t="s">
        <v>2027</v>
      </c>
      <c r="O118" t="s">
        <v>2028</v>
      </c>
      <c r="P118" t="s">
        <v>2029</v>
      </c>
      <c r="Q118" t="s">
        <v>2030</v>
      </c>
      <c r="S118">
        <f t="shared" si="22"/>
        <v>117</v>
      </c>
      <c r="Y118">
        <f t="shared" si="23"/>
        <v>117</v>
      </c>
      <c r="AE118">
        <f t="shared" si="24"/>
        <v>117</v>
      </c>
      <c r="AF118" t="s">
        <v>1606</v>
      </c>
      <c r="AG118" t="s">
        <v>1607</v>
      </c>
      <c r="AH118" t="s">
        <v>1608</v>
      </c>
      <c r="AI118" t="s">
        <v>1609</v>
      </c>
      <c r="AK118">
        <f t="shared" si="25"/>
        <v>117</v>
      </c>
      <c r="AQ118">
        <f t="shared" si="26"/>
        <v>117</v>
      </c>
      <c r="AW118">
        <f t="shared" si="27"/>
        <v>117</v>
      </c>
      <c r="BC118">
        <f t="shared" si="28"/>
        <v>117</v>
      </c>
      <c r="BI118">
        <f t="shared" si="29"/>
        <v>117</v>
      </c>
      <c r="BO118">
        <f t="shared" si="30"/>
        <v>117</v>
      </c>
    </row>
    <row r="119" spans="13:67" x14ac:dyDescent="0.2">
      <c r="M119">
        <f t="shared" si="21"/>
        <v>118</v>
      </c>
      <c r="N119" t="s">
        <v>2031</v>
      </c>
      <c r="O119" t="s">
        <v>2032</v>
      </c>
      <c r="P119" t="s">
        <v>2033</v>
      </c>
      <c r="Q119" t="s">
        <v>2034</v>
      </c>
      <c r="S119">
        <f t="shared" si="22"/>
        <v>118</v>
      </c>
      <c r="Y119">
        <f t="shared" si="23"/>
        <v>118</v>
      </c>
      <c r="AE119">
        <f t="shared" si="24"/>
        <v>118</v>
      </c>
      <c r="AF119" t="s">
        <v>1650</v>
      </c>
      <c r="AG119" t="s">
        <v>1651</v>
      </c>
      <c r="AH119" t="s">
        <v>1652</v>
      </c>
      <c r="AI119" t="s">
        <v>1653</v>
      </c>
      <c r="AK119">
        <f t="shared" si="25"/>
        <v>118</v>
      </c>
      <c r="AQ119">
        <f t="shared" si="26"/>
        <v>118</v>
      </c>
      <c r="AW119">
        <f t="shared" si="27"/>
        <v>118</v>
      </c>
      <c r="BC119">
        <f t="shared" si="28"/>
        <v>118</v>
      </c>
      <c r="BI119">
        <f t="shared" si="29"/>
        <v>118</v>
      </c>
      <c r="BO119">
        <f t="shared" si="30"/>
        <v>118</v>
      </c>
    </row>
    <row r="120" spans="13:67" x14ac:dyDescent="0.2">
      <c r="M120">
        <f t="shared" si="21"/>
        <v>119</v>
      </c>
      <c r="N120" t="s">
        <v>2035</v>
      </c>
      <c r="O120" t="s">
        <v>2036</v>
      </c>
      <c r="P120" t="s">
        <v>2037</v>
      </c>
      <c r="Q120" t="s">
        <v>2038</v>
      </c>
      <c r="S120">
        <f t="shared" si="22"/>
        <v>119</v>
      </c>
      <c r="Y120">
        <f t="shared" si="23"/>
        <v>119</v>
      </c>
      <c r="AE120">
        <f t="shared" si="24"/>
        <v>119</v>
      </c>
      <c r="AF120" t="s">
        <v>2039</v>
      </c>
      <c r="AG120" t="s">
        <v>2040</v>
      </c>
      <c r="AH120" t="s">
        <v>2041</v>
      </c>
      <c r="AI120" t="s">
        <v>2042</v>
      </c>
      <c r="AK120">
        <f t="shared" si="25"/>
        <v>119</v>
      </c>
      <c r="AQ120">
        <f t="shared" si="26"/>
        <v>119</v>
      </c>
      <c r="AW120">
        <f t="shared" si="27"/>
        <v>119</v>
      </c>
      <c r="BC120">
        <f t="shared" si="28"/>
        <v>119</v>
      </c>
      <c r="BI120">
        <f t="shared" si="29"/>
        <v>119</v>
      </c>
      <c r="BO120">
        <f t="shared" si="30"/>
        <v>119</v>
      </c>
    </row>
    <row r="121" spans="13:67" x14ac:dyDescent="0.2">
      <c r="M121">
        <f t="shared" si="21"/>
        <v>120</v>
      </c>
      <c r="N121" t="s">
        <v>2043</v>
      </c>
      <c r="O121" t="s">
        <v>2044</v>
      </c>
      <c r="P121" t="s">
        <v>2045</v>
      </c>
      <c r="Q121" t="s">
        <v>2046</v>
      </c>
      <c r="S121">
        <f t="shared" si="22"/>
        <v>120</v>
      </c>
      <c r="Y121">
        <f t="shared" si="23"/>
        <v>120</v>
      </c>
      <c r="AE121">
        <f t="shared" si="24"/>
        <v>120</v>
      </c>
      <c r="AF121" t="s">
        <v>1660</v>
      </c>
      <c r="AG121" t="s">
        <v>1661</v>
      </c>
      <c r="AH121" t="s">
        <v>1662</v>
      </c>
      <c r="AI121" t="s">
        <v>1663</v>
      </c>
      <c r="AK121">
        <f t="shared" si="25"/>
        <v>120</v>
      </c>
      <c r="AQ121">
        <f t="shared" si="26"/>
        <v>120</v>
      </c>
      <c r="AW121">
        <f t="shared" si="27"/>
        <v>120</v>
      </c>
      <c r="BC121">
        <f t="shared" si="28"/>
        <v>120</v>
      </c>
      <c r="BI121">
        <f t="shared" si="29"/>
        <v>120</v>
      </c>
      <c r="BO121">
        <f t="shared" si="30"/>
        <v>120</v>
      </c>
    </row>
    <row r="122" spans="13:67" x14ac:dyDescent="0.2">
      <c r="M122">
        <f t="shared" si="21"/>
        <v>121</v>
      </c>
      <c r="N122" t="s">
        <v>2047</v>
      </c>
      <c r="O122" t="s">
        <v>2048</v>
      </c>
      <c r="P122" t="s">
        <v>2049</v>
      </c>
      <c r="Q122" t="s">
        <v>2050</v>
      </c>
      <c r="S122">
        <f t="shared" si="22"/>
        <v>121</v>
      </c>
      <c r="Y122">
        <f t="shared" si="23"/>
        <v>121</v>
      </c>
      <c r="AE122">
        <f t="shared" si="24"/>
        <v>121</v>
      </c>
      <c r="AF122" t="s">
        <v>2051</v>
      </c>
      <c r="AG122" t="s">
        <v>2052</v>
      </c>
      <c r="AH122" t="s">
        <v>2053</v>
      </c>
      <c r="AI122" t="s">
        <v>2054</v>
      </c>
      <c r="AK122">
        <f t="shared" si="25"/>
        <v>121</v>
      </c>
      <c r="AQ122">
        <f t="shared" si="26"/>
        <v>121</v>
      </c>
      <c r="AW122">
        <f t="shared" si="27"/>
        <v>121</v>
      </c>
      <c r="BC122">
        <f t="shared" si="28"/>
        <v>121</v>
      </c>
      <c r="BI122">
        <f t="shared" si="29"/>
        <v>121</v>
      </c>
      <c r="BO122">
        <f t="shared" si="30"/>
        <v>121</v>
      </c>
    </row>
    <row r="123" spans="13:67" x14ac:dyDescent="0.2">
      <c r="M123">
        <f t="shared" si="21"/>
        <v>122</v>
      </c>
      <c r="N123" t="s">
        <v>2055</v>
      </c>
      <c r="O123" t="s">
        <v>2056</v>
      </c>
      <c r="P123" t="s">
        <v>2057</v>
      </c>
      <c r="Q123" t="s">
        <v>2058</v>
      </c>
      <c r="S123">
        <f t="shared" si="22"/>
        <v>122</v>
      </c>
      <c r="Y123">
        <f t="shared" si="23"/>
        <v>122</v>
      </c>
      <c r="AE123">
        <f t="shared" si="24"/>
        <v>122</v>
      </c>
      <c r="AF123" t="s">
        <v>1691</v>
      </c>
      <c r="AG123" t="s">
        <v>1692</v>
      </c>
      <c r="AH123" t="s">
        <v>1693</v>
      </c>
      <c r="AI123" t="s">
        <v>1692</v>
      </c>
      <c r="AK123">
        <f t="shared" si="25"/>
        <v>122</v>
      </c>
      <c r="AQ123">
        <f t="shared" si="26"/>
        <v>122</v>
      </c>
      <c r="AW123">
        <f t="shared" si="27"/>
        <v>122</v>
      </c>
      <c r="BC123">
        <f t="shared" si="28"/>
        <v>122</v>
      </c>
      <c r="BI123">
        <f t="shared" si="29"/>
        <v>122</v>
      </c>
      <c r="BO123">
        <f t="shared" si="30"/>
        <v>122</v>
      </c>
    </row>
    <row r="124" spans="13:67" x14ac:dyDescent="0.2">
      <c r="M124">
        <f t="shared" si="21"/>
        <v>123</v>
      </c>
      <c r="N124" t="s">
        <v>2059</v>
      </c>
      <c r="O124" t="s">
        <v>2060</v>
      </c>
      <c r="P124" t="s">
        <v>2061</v>
      </c>
      <c r="Q124" t="s">
        <v>2062</v>
      </c>
      <c r="S124">
        <f t="shared" si="22"/>
        <v>123</v>
      </c>
      <c r="Y124">
        <f t="shared" si="23"/>
        <v>123</v>
      </c>
      <c r="AE124">
        <f t="shared" si="24"/>
        <v>123</v>
      </c>
      <c r="AF124" t="s">
        <v>2063</v>
      </c>
      <c r="AG124" t="s">
        <v>2064</v>
      </c>
      <c r="AH124" t="s">
        <v>2065</v>
      </c>
      <c r="AI124" t="s">
        <v>2066</v>
      </c>
      <c r="AK124">
        <f t="shared" si="25"/>
        <v>123</v>
      </c>
      <c r="AQ124">
        <f t="shared" si="26"/>
        <v>123</v>
      </c>
      <c r="AW124">
        <f t="shared" si="27"/>
        <v>123</v>
      </c>
      <c r="BC124">
        <f t="shared" si="28"/>
        <v>123</v>
      </c>
      <c r="BI124">
        <f t="shared" si="29"/>
        <v>123</v>
      </c>
      <c r="BO124">
        <f t="shared" si="30"/>
        <v>123</v>
      </c>
    </row>
    <row r="125" spans="13:67" x14ac:dyDescent="0.2">
      <c r="M125">
        <f t="shared" si="21"/>
        <v>124</v>
      </c>
      <c r="N125" t="s">
        <v>2067</v>
      </c>
      <c r="O125" t="s">
        <v>2068</v>
      </c>
      <c r="P125" t="s">
        <v>2069</v>
      </c>
      <c r="Q125" t="s">
        <v>2070</v>
      </c>
      <c r="S125">
        <f t="shared" si="22"/>
        <v>124</v>
      </c>
      <c r="Y125">
        <f t="shared" si="23"/>
        <v>124</v>
      </c>
      <c r="AE125">
        <f t="shared" si="24"/>
        <v>124</v>
      </c>
      <c r="AF125" t="s">
        <v>2071</v>
      </c>
      <c r="AG125" t="s">
        <v>2072</v>
      </c>
      <c r="AH125" t="s">
        <v>2073</v>
      </c>
      <c r="AI125" t="s">
        <v>2074</v>
      </c>
      <c r="AK125">
        <f t="shared" si="25"/>
        <v>124</v>
      </c>
      <c r="AQ125">
        <f t="shared" si="26"/>
        <v>124</v>
      </c>
      <c r="AW125">
        <f t="shared" si="27"/>
        <v>124</v>
      </c>
      <c r="BC125">
        <f t="shared" si="28"/>
        <v>124</v>
      </c>
      <c r="BI125">
        <f t="shared" si="29"/>
        <v>124</v>
      </c>
      <c r="BO125">
        <f t="shared" si="30"/>
        <v>124</v>
      </c>
    </row>
    <row r="126" spans="13:67" x14ac:dyDescent="0.2">
      <c r="M126">
        <f t="shared" si="21"/>
        <v>125</v>
      </c>
      <c r="N126" t="s">
        <v>2075</v>
      </c>
      <c r="O126" t="s">
        <v>2076</v>
      </c>
      <c r="P126" t="s">
        <v>2077</v>
      </c>
      <c r="Q126" t="s">
        <v>2078</v>
      </c>
      <c r="S126">
        <f t="shared" si="22"/>
        <v>125</v>
      </c>
      <c r="Y126">
        <f t="shared" si="23"/>
        <v>125</v>
      </c>
      <c r="AE126">
        <f t="shared" si="24"/>
        <v>125</v>
      </c>
      <c r="AF126" t="s">
        <v>1635</v>
      </c>
      <c r="AG126" t="s">
        <v>1636</v>
      </c>
      <c r="AH126" t="s">
        <v>1637</v>
      </c>
      <c r="AI126" t="s">
        <v>1638</v>
      </c>
      <c r="AK126">
        <f t="shared" si="25"/>
        <v>125</v>
      </c>
      <c r="AQ126">
        <f t="shared" si="26"/>
        <v>125</v>
      </c>
      <c r="AR126" t="s">
        <v>3041</v>
      </c>
      <c r="AS126" t="s">
        <v>3040</v>
      </c>
      <c r="AT126" t="s">
        <v>3043</v>
      </c>
      <c r="AU126" t="s">
        <v>3042</v>
      </c>
      <c r="AW126">
        <f t="shared" si="27"/>
        <v>125</v>
      </c>
      <c r="BC126">
        <f t="shared" si="28"/>
        <v>125</v>
      </c>
      <c r="BI126">
        <f t="shared" si="29"/>
        <v>125</v>
      </c>
      <c r="BO126">
        <f t="shared" si="30"/>
        <v>125</v>
      </c>
    </row>
    <row r="127" spans="13:67" x14ac:dyDescent="0.2">
      <c r="M127">
        <f t="shared" si="21"/>
        <v>126</v>
      </c>
      <c r="N127" t="s">
        <v>2079</v>
      </c>
      <c r="O127" t="s">
        <v>2080</v>
      </c>
      <c r="P127" t="s">
        <v>2081</v>
      </c>
      <c r="Q127" t="s">
        <v>2082</v>
      </c>
      <c r="S127">
        <f t="shared" si="22"/>
        <v>126</v>
      </c>
      <c r="Y127">
        <f t="shared" si="23"/>
        <v>126</v>
      </c>
      <c r="AE127">
        <f t="shared" si="24"/>
        <v>126</v>
      </c>
      <c r="AF127" t="s">
        <v>2083</v>
      </c>
      <c r="AG127" t="s">
        <v>2084</v>
      </c>
      <c r="AH127" t="s">
        <v>2085</v>
      </c>
      <c r="AI127" t="s">
        <v>2086</v>
      </c>
      <c r="AK127">
        <f t="shared" si="25"/>
        <v>126</v>
      </c>
      <c r="AQ127">
        <f t="shared" si="26"/>
        <v>126</v>
      </c>
      <c r="AW127">
        <f t="shared" si="27"/>
        <v>126</v>
      </c>
      <c r="BC127">
        <f t="shared" si="28"/>
        <v>126</v>
      </c>
      <c r="BI127">
        <f t="shared" si="29"/>
        <v>126</v>
      </c>
      <c r="BO127">
        <f t="shared" si="30"/>
        <v>126</v>
      </c>
    </row>
    <row r="128" spans="13:67" x14ac:dyDescent="0.2">
      <c r="M128">
        <f t="shared" si="21"/>
        <v>127</v>
      </c>
      <c r="N128" s="25" t="s">
        <v>2087</v>
      </c>
      <c r="O128" t="s">
        <v>2088</v>
      </c>
      <c r="P128" s="25" t="s">
        <v>2089</v>
      </c>
      <c r="Q128" t="s">
        <v>2090</v>
      </c>
      <c r="S128">
        <f t="shared" si="22"/>
        <v>127</v>
      </c>
      <c r="Y128">
        <f t="shared" si="23"/>
        <v>127</v>
      </c>
      <c r="AE128">
        <f t="shared" si="24"/>
        <v>127</v>
      </c>
      <c r="AF128" t="s">
        <v>2091</v>
      </c>
      <c r="AG128" t="s">
        <v>2092</v>
      </c>
      <c r="AH128" t="s">
        <v>2093</v>
      </c>
      <c r="AI128" t="s">
        <v>2094</v>
      </c>
      <c r="AK128">
        <f t="shared" si="25"/>
        <v>127</v>
      </c>
      <c r="AQ128">
        <f t="shared" si="26"/>
        <v>127</v>
      </c>
      <c r="AW128">
        <f t="shared" si="27"/>
        <v>127</v>
      </c>
      <c r="BC128">
        <f t="shared" si="28"/>
        <v>127</v>
      </c>
      <c r="BI128">
        <f t="shared" si="29"/>
        <v>127</v>
      </c>
      <c r="BO128">
        <f t="shared" si="30"/>
        <v>127</v>
      </c>
    </row>
    <row r="129" spans="13:71" x14ac:dyDescent="0.2">
      <c r="M129">
        <f t="shared" si="21"/>
        <v>128</v>
      </c>
      <c r="N129" s="25" t="s">
        <v>2095</v>
      </c>
      <c r="O129" t="s">
        <v>2096</v>
      </c>
      <c r="P129" s="25" t="s">
        <v>2097</v>
      </c>
      <c r="Q129" t="s">
        <v>2098</v>
      </c>
      <c r="S129">
        <f t="shared" si="22"/>
        <v>128</v>
      </c>
      <c r="Y129">
        <f t="shared" si="23"/>
        <v>128</v>
      </c>
      <c r="AE129">
        <f t="shared" si="24"/>
        <v>128</v>
      </c>
      <c r="AF129" t="s">
        <v>1671</v>
      </c>
      <c r="AG129" t="s">
        <v>1671</v>
      </c>
      <c r="AH129" t="s">
        <v>1672</v>
      </c>
      <c r="AI129" t="s">
        <v>1671</v>
      </c>
      <c r="AK129">
        <f t="shared" si="25"/>
        <v>128</v>
      </c>
      <c r="AQ129">
        <f t="shared" si="26"/>
        <v>128</v>
      </c>
      <c r="AW129">
        <f t="shared" si="27"/>
        <v>128</v>
      </c>
      <c r="BC129">
        <f t="shared" si="28"/>
        <v>128</v>
      </c>
      <c r="BI129">
        <f t="shared" si="29"/>
        <v>128</v>
      </c>
      <c r="BO129">
        <f t="shared" si="30"/>
        <v>128</v>
      </c>
    </row>
    <row r="130" spans="13:71" x14ac:dyDescent="0.2">
      <c r="M130">
        <f t="shared" si="21"/>
        <v>129</v>
      </c>
      <c r="N130" s="25" t="s">
        <v>2099</v>
      </c>
      <c r="O130" t="s">
        <v>2100</v>
      </c>
      <c r="P130" s="25" t="s">
        <v>2101</v>
      </c>
      <c r="Q130" t="s">
        <v>2102</v>
      </c>
      <c r="S130">
        <f t="shared" si="22"/>
        <v>129</v>
      </c>
      <c r="Y130">
        <f t="shared" si="23"/>
        <v>129</v>
      </c>
      <c r="AE130">
        <f t="shared" si="24"/>
        <v>129</v>
      </c>
      <c r="AF130" t="s">
        <v>2103</v>
      </c>
      <c r="AG130" t="s">
        <v>2104</v>
      </c>
      <c r="AH130" t="s">
        <v>2105</v>
      </c>
      <c r="AI130" t="s">
        <v>2106</v>
      </c>
      <c r="AK130">
        <f t="shared" si="25"/>
        <v>129</v>
      </c>
      <c r="AQ130">
        <f t="shared" si="26"/>
        <v>129</v>
      </c>
      <c r="AW130">
        <f t="shared" si="27"/>
        <v>129</v>
      </c>
      <c r="BC130">
        <f t="shared" si="28"/>
        <v>129</v>
      </c>
      <c r="BI130">
        <f t="shared" si="29"/>
        <v>129</v>
      </c>
      <c r="BO130">
        <f t="shared" si="30"/>
        <v>129</v>
      </c>
    </row>
    <row r="131" spans="13:71" x14ac:dyDescent="0.2">
      <c r="M131">
        <f t="shared" ref="M131:M151" si="31">ROW()-1</f>
        <v>130</v>
      </c>
      <c r="N131" s="25" t="s">
        <v>2107</v>
      </c>
      <c r="O131" t="s">
        <v>2108</v>
      </c>
      <c r="P131" s="25" t="s">
        <v>2109</v>
      </c>
      <c r="Q131" t="s">
        <v>2110</v>
      </c>
      <c r="S131">
        <f t="shared" ref="S131:S151" si="32">ROW()-1</f>
        <v>130</v>
      </c>
      <c r="Y131">
        <f t="shared" ref="Y131:Y151" si="33">ROW()-1</f>
        <v>130</v>
      </c>
      <c r="AE131">
        <f t="shared" ref="AE131:AE151" si="34">ROW()-1</f>
        <v>130</v>
      </c>
      <c r="AK131">
        <f t="shared" ref="AK131:AK151" si="35">ROW()-1</f>
        <v>130</v>
      </c>
      <c r="AQ131">
        <f t="shared" ref="AQ131:AQ151" si="36">ROW()-1</f>
        <v>130</v>
      </c>
      <c r="AR131" s="25" t="s">
        <v>2111</v>
      </c>
      <c r="AS131" s="25" t="s">
        <v>2112</v>
      </c>
      <c r="AT131" s="25" t="s">
        <v>2113</v>
      </c>
      <c r="AU131" s="25" t="s">
        <v>2114</v>
      </c>
      <c r="AW131">
        <f t="shared" ref="AW131:AW151" si="37">ROW()-1</f>
        <v>130</v>
      </c>
      <c r="BC131">
        <f t="shared" ref="BC131:BC151" si="38">ROW()-1</f>
        <v>130</v>
      </c>
      <c r="BI131">
        <f t="shared" ref="BI131:BI151" si="39">ROW()-1</f>
        <v>130</v>
      </c>
      <c r="BO131">
        <f t="shared" ref="BO131:BO151" si="40">ROW()-1</f>
        <v>130</v>
      </c>
    </row>
    <row r="132" spans="13:71" x14ac:dyDescent="0.2">
      <c r="M132">
        <f t="shared" si="31"/>
        <v>131</v>
      </c>
      <c r="N132" t="s">
        <v>2115</v>
      </c>
      <c r="O132" t="s">
        <v>2116</v>
      </c>
      <c r="P132" t="s">
        <v>2117</v>
      </c>
      <c r="Q132" t="s">
        <v>2118</v>
      </c>
      <c r="S132">
        <f t="shared" si="32"/>
        <v>131</v>
      </c>
      <c r="T132" t="s">
        <v>2119</v>
      </c>
      <c r="U132" t="s">
        <v>2120</v>
      </c>
      <c r="V132" t="s">
        <v>2121</v>
      </c>
      <c r="W132" t="s">
        <v>2122</v>
      </c>
      <c r="Y132">
        <f t="shared" si="33"/>
        <v>131</v>
      </c>
      <c r="Z132" t="s">
        <v>2123</v>
      </c>
      <c r="AA132" t="s">
        <v>2124</v>
      </c>
      <c r="AB132" t="s">
        <v>2125</v>
      </c>
      <c r="AC132" t="s">
        <v>2126</v>
      </c>
      <c r="AE132">
        <f t="shared" si="34"/>
        <v>131</v>
      </c>
      <c r="AK132">
        <f t="shared" si="35"/>
        <v>131</v>
      </c>
      <c r="AL132" s="25" t="s">
        <v>2127</v>
      </c>
      <c r="AM132" s="25" t="s">
        <v>2128</v>
      </c>
      <c r="AN132" s="25" t="s">
        <v>2129</v>
      </c>
      <c r="AO132" s="25" t="s">
        <v>2130</v>
      </c>
      <c r="AQ132">
        <f t="shared" si="36"/>
        <v>131</v>
      </c>
      <c r="AR132" s="25" t="s">
        <v>2131</v>
      </c>
      <c r="AS132" s="25" t="s">
        <v>2132</v>
      </c>
      <c r="AT132" s="25" t="s">
        <v>2133</v>
      </c>
      <c r="AU132" s="25" t="s">
        <v>2134</v>
      </c>
      <c r="AW132">
        <f t="shared" si="37"/>
        <v>131</v>
      </c>
      <c r="AX132" t="s">
        <v>2135</v>
      </c>
      <c r="AY132" t="s">
        <v>2136</v>
      </c>
      <c r="AZ132" t="s">
        <v>2137</v>
      </c>
      <c r="BA132" t="s">
        <v>2138</v>
      </c>
      <c r="BC132">
        <f t="shared" si="38"/>
        <v>131</v>
      </c>
      <c r="BD132" t="s">
        <v>2139</v>
      </c>
      <c r="BE132" t="s">
        <v>2140</v>
      </c>
      <c r="BF132" t="s">
        <v>2141</v>
      </c>
      <c r="BG132" t="s">
        <v>2142</v>
      </c>
      <c r="BI132">
        <f t="shared" si="39"/>
        <v>131</v>
      </c>
      <c r="BJ132" s="25" t="s">
        <v>2143</v>
      </c>
      <c r="BK132" s="25" t="s">
        <v>2144</v>
      </c>
      <c r="BL132" s="25" t="s">
        <v>2145</v>
      </c>
      <c r="BM132" s="25" t="s">
        <v>2146</v>
      </c>
      <c r="BO132">
        <f t="shared" si="40"/>
        <v>131</v>
      </c>
      <c r="BP132" t="s">
        <v>2147</v>
      </c>
      <c r="BQ132" t="s">
        <v>2148</v>
      </c>
      <c r="BR132" t="s">
        <v>2149</v>
      </c>
      <c r="BS132" t="s">
        <v>2150</v>
      </c>
    </row>
    <row r="133" spans="13:71" x14ac:dyDescent="0.2">
      <c r="M133">
        <f t="shared" si="31"/>
        <v>132</v>
      </c>
      <c r="N133" t="s">
        <v>2151</v>
      </c>
      <c r="O133" t="s">
        <v>2152</v>
      </c>
      <c r="P133" t="s">
        <v>2153</v>
      </c>
      <c r="Q133" t="s">
        <v>2154</v>
      </c>
      <c r="S133">
        <f t="shared" si="32"/>
        <v>132</v>
      </c>
      <c r="T133" t="s">
        <v>2155</v>
      </c>
      <c r="U133" t="s">
        <v>2156</v>
      </c>
      <c r="V133" t="s">
        <v>2157</v>
      </c>
      <c r="W133" t="s">
        <v>2158</v>
      </c>
      <c r="Y133">
        <f t="shared" si="33"/>
        <v>132</v>
      </c>
      <c r="Z133" t="s">
        <v>2159</v>
      </c>
      <c r="AA133" t="s">
        <v>2160</v>
      </c>
      <c r="AB133" t="s">
        <v>2161</v>
      </c>
      <c r="AC133" t="s">
        <v>2162</v>
      </c>
      <c r="AE133">
        <f t="shared" si="34"/>
        <v>132</v>
      </c>
      <c r="AK133">
        <f t="shared" si="35"/>
        <v>132</v>
      </c>
      <c r="AL133" s="25" t="s">
        <v>2163</v>
      </c>
      <c r="AM133" s="25" t="s">
        <v>2164</v>
      </c>
      <c r="AN133" s="25" t="s">
        <v>2165</v>
      </c>
      <c r="AO133" s="25" t="s">
        <v>2166</v>
      </c>
      <c r="AQ133">
        <f t="shared" si="36"/>
        <v>132</v>
      </c>
      <c r="AR133" s="25" t="s">
        <v>2167</v>
      </c>
      <c r="AS133" s="25" t="s">
        <v>2168</v>
      </c>
      <c r="AT133" s="25" t="s">
        <v>2169</v>
      </c>
      <c r="AU133" s="25" t="s">
        <v>2170</v>
      </c>
      <c r="AW133">
        <f t="shared" si="37"/>
        <v>132</v>
      </c>
      <c r="AX133" t="s">
        <v>2171</v>
      </c>
      <c r="AY133" t="s">
        <v>2172</v>
      </c>
      <c r="AZ133" t="s">
        <v>2173</v>
      </c>
      <c r="BA133" t="s">
        <v>2174</v>
      </c>
      <c r="BC133">
        <f t="shared" si="38"/>
        <v>132</v>
      </c>
      <c r="BD133" s="25" t="s">
        <v>2175</v>
      </c>
      <c r="BE133" s="25" t="s">
        <v>2176</v>
      </c>
      <c r="BF133" s="25" t="s">
        <v>2177</v>
      </c>
      <c r="BG133" s="25" t="s">
        <v>2178</v>
      </c>
      <c r="BH133" s="25"/>
      <c r="BI133">
        <f t="shared" si="39"/>
        <v>132</v>
      </c>
      <c r="BJ133" t="s">
        <v>2179</v>
      </c>
      <c r="BK133" t="s">
        <v>2180</v>
      </c>
      <c r="BL133" t="s">
        <v>2181</v>
      </c>
      <c r="BM133" t="s">
        <v>2182</v>
      </c>
      <c r="BO133">
        <f t="shared" si="40"/>
        <v>132</v>
      </c>
      <c r="BP133" s="25" t="s">
        <v>2175</v>
      </c>
      <c r="BQ133" s="25" t="s">
        <v>2176</v>
      </c>
      <c r="BR133" s="25" t="s">
        <v>2177</v>
      </c>
      <c r="BS133" s="25" t="s">
        <v>2178</v>
      </c>
    </row>
    <row r="134" spans="13:71" x14ac:dyDescent="0.2">
      <c r="M134">
        <f t="shared" si="31"/>
        <v>133</v>
      </c>
      <c r="N134" t="s">
        <v>2183</v>
      </c>
      <c r="O134" t="s">
        <v>2184</v>
      </c>
      <c r="P134" t="s">
        <v>2185</v>
      </c>
      <c r="Q134" t="s">
        <v>2186</v>
      </c>
      <c r="S134">
        <f t="shared" si="32"/>
        <v>133</v>
      </c>
      <c r="T134" t="s">
        <v>2187</v>
      </c>
      <c r="U134" t="s">
        <v>2188</v>
      </c>
      <c r="V134" s="25" t="s">
        <v>2189</v>
      </c>
      <c r="W134" t="s">
        <v>2190</v>
      </c>
      <c r="Y134">
        <f t="shared" si="33"/>
        <v>133</v>
      </c>
      <c r="Z134" t="s">
        <v>2191</v>
      </c>
      <c r="AA134" t="s">
        <v>2192</v>
      </c>
      <c r="AB134" t="s">
        <v>2193</v>
      </c>
      <c r="AC134" t="s">
        <v>2194</v>
      </c>
      <c r="AE134">
        <f t="shared" si="34"/>
        <v>133</v>
      </c>
      <c r="AK134">
        <f t="shared" si="35"/>
        <v>133</v>
      </c>
      <c r="AL134" s="25" t="s">
        <v>2195</v>
      </c>
      <c r="AM134" s="25" t="s">
        <v>2196</v>
      </c>
      <c r="AN134" s="25" t="s">
        <v>2197</v>
      </c>
      <c r="AO134" s="25" t="s">
        <v>2198</v>
      </c>
      <c r="AQ134">
        <f t="shared" si="36"/>
        <v>133</v>
      </c>
      <c r="AR134" s="25" t="s">
        <v>2199</v>
      </c>
      <c r="AS134" s="25" t="s">
        <v>2200</v>
      </c>
      <c r="AT134" s="25" t="s">
        <v>2201</v>
      </c>
      <c r="AU134" s="25" t="s">
        <v>2202</v>
      </c>
      <c r="AW134">
        <f t="shared" si="37"/>
        <v>133</v>
      </c>
      <c r="AX134" s="25" t="s">
        <v>2203</v>
      </c>
      <c r="AY134" s="25" t="s">
        <v>2204</v>
      </c>
      <c r="AZ134" s="25" t="s">
        <v>2205</v>
      </c>
      <c r="BA134" s="25" t="s">
        <v>2206</v>
      </c>
      <c r="BC134">
        <f t="shared" si="38"/>
        <v>133</v>
      </c>
      <c r="BD134" t="s">
        <v>2207</v>
      </c>
      <c r="BE134" t="s">
        <v>2208</v>
      </c>
      <c r="BF134" t="s">
        <v>2209</v>
      </c>
      <c r="BG134" t="s">
        <v>2210</v>
      </c>
      <c r="BI134">
        <f t="shared" si="39"/>
        <v>133</v>
      </c>
      <c r="BJ134" t="s">
        <v>2211</v>
      </c>
      <c r="BK134" t="s">
        <v>2212</v>
      </c>
      <c r="BL134" t="s">
        <v>2213</v>
      </c>
      <c r="BM134" t="s">
        <v>2214</v>
      </c>
      <c r="BO134">
        <f t="shared" si="40"/>
        <v>133</v>
      </c>
      <c r="BP134" t="s">
        <v>2215</v>
      </c>
      <c r="BQ134" t="s">
        <v>2216</v>
      </c>
      <c r="BR134" t="s">
        <v>2217</v>
      </c>
      <c r="BS134" t="s">
        <v>2218</v>
      </c>
    </row>
    <row r="135" spans="13:71" x14ac:dyDescent="0.2">
      <c r="M135">
        <f t="shared" si="31"/>
        <v>134</v>
      </c>
      <c r="N135" t="s">
        <v>2219</v>
      </c>
      <c r="O135" t="s">
        <v>2220</v>
      </c>
      <c r="P135" t="s">
        <v>2221</v>
      </c>
      <c r="Q135" t="s">
        <v>2222</v>
      </c>
      <c r="S135">
        <f t="shared" si="32"/>
        <v>134</v>
      </c>
      <c r="T135" s="25" t="s">
        <v>2223</v>
      </c>
      <c r="U135" t="s">
        <v>2224</v>
      </c>
      <c r="V135" s="25" t="s">
        <v>2225</v>
      </c>
      <c r="W135" t="s">
        <v>2226</v>
      </c>
      <c r="Y135">
        <f t="shared" si="33"/>
        <v>134</v>
      </c>
      <c r="Z135" t="s">
        <v>2227</v>
      </c>
      <c r="AA135" t="s">
        <v>2228</v>
      </c>
      <c r="AB135" t="s">
        <v>2229</v>
      </c>
      <c r="AC135" t="s">
        <v>2230</v>
      </c>
      <c r="AE135">
        <f t="shared" si="34"/>
        <v>134</v>
      </c>
      <c r="AK135">
        <f t="shared" si="35"/>
        <v>134</v>
      </c>
      <c r="AL135" t="s">
        <v>2231</v>
      </c>
      <c r="AM135" t="s">
        <v>2232</v>
      </c>
      <c r="AN135" t="s">
        <v>2233</v>
      </c>
      <c r="AO135" t="s">
        <v>2234</v>
      </c>
      <c r="AQ135">
        <f t="shared" si="36"/>
        <v>134</v>
      </c>
      <c r="AR135" s="25" t="s">
        <v>2235</v>
      </c>
      <c r="AS135" s="25" t="s">
        <v>2236</v>
      </c>
      <c r="AT135" s="25" t="s">
        <v>2237</v>
      </c>
      <c r="AU135" s="25" t="s">
        <v>2238</v>
      </c>
      <c r="AW135">
        <f t="shared" si="37"/>
        <v>134</v>
      </c>
      <c r="AX135" t="s">
        <v>2239</v>
      </c>
      <c r="AY135" t="s">
        <v>2240</v>
      </c>
      <c r="AZ135" t="s">
        <v>2241</v>
      </c>
      <c r="BA135" t="s">
        <v>2242</v>
      </c>
      <c r="BC135">
        <f t="shared" si="38"/>
        <v>134</v>
      </c>
      <c r="BD135" s="25" t="s">
        <v>2243</v>
      </c>
      <c r="BE135" t="s">
        <v>2244</v>
      </c>
      <c r="BF135" s="25" t="s">
        <v>2245</v>
      </c>
      <c r="BG135" t="s">
        <v>2246</v>
      </c>
      <c r="BI135">
        <f t="shared" si="39"/>
        <v>134</v>
      </c>
      <c r="BJ135" t="s">
        <v>2247</v>
      </c>
      <c r="BK135" t="s">
        <v>2248</v>
      </c>
      <c r="BL135" t="s">
        <v>2249</v>
      </c>
      <c r="BM135" t="s">
        <v>2250</v>
      </c>
      <c r="BO135">
        <f t="shared" si="40"/>
        <v>134</v>
      </c>
    </row>
    <row r="136" spans="13:71" x14ac:dyDescent="0.2">
      <c r="M136">
        <f t="shared" si="31"/>
        <v>135</v>
      </c>
      <c r="N136" t="s">
        <v>2251</v>
      </c>
      <c r="O136" t="s">
        <v>2252</v>
      </c>
      <c r="P136" t="s">
        <v>2253</v>
      </c>
      <c r="Q136" t="s">
        <v>2254</v>
      </c>
      <c r="S136">
        <f t="shared" si="32"/>
        <v>135</v>
      </c>
      <c r="T136" t="s">
        <v>2255</v>
      </c>
      <c r="U136" t="s">
        <v>2256</v>
      </c>
      <c r="V136" t="s">
        <v>2257</v>
      </c>
      <c r="W136" t="s">
        <v>2258</v>
      </c>
      <c r="Y136">
        <f t="shared" si="33"/>
        <v>135</v>
      </c>
      <c r="Z136" t="s">
        <v>2259</v>
      </c>
      <c r="AA136" t="s">
        <v>2260</v>
      </c>
      <c r="AB136" t="s">
        <v>2261</v>
      </c>
      <c r="AC136" t="s">
        <v>2262</v>
      </c>
      <c r="AE136">
        <f t="shared" si="34"/>
        <v>135</v>
      </c>
      <c r="AK136">
        <f t="shared" si="35"/>
        <v>135</v>
      </c>
      <c r="AL136" s="25" t="s">
        <v>2263</v>
      </c>
      <c r="AM136" s="25" t="s">
        <v>2264</v>
      </c>
      <c r="AN136" s="25" t="s">
        <v>2265</v>
      </c>
      <c r="AO136" s="25" t="s">
        <v>2266</v>
      </c>
      <c r="AQ136">
        <f t="shared" si="36"/>
        <v>135</v>
      </c>
      <c r="AR136" s="25" t="s">
        <v>2267</v>
      </c>
      <c r="AS136" t="s">
        <v>2268</v>
      </c>
      <c r="AT136" t="s">
        <v>2269</v>
      </c>
      <c r="AU136" t="s">
        <v>2270</v>
      </c>
      <c r="AW136">
        <f t="shared" si="37"/>
        <v>135</v>
      </c>
      <c r="BC136">
        <f t="shared" si="38"/>
        <v>135</v>
      </c>
      <c r="BD136" s="394" t="s">
        <v>2271</v>
      </c>
      <c r="BE136" s="394" t="s">
        <v>2272</v>
      </c>
      <c r="BF136" s="394" t="s">
        <v>2273</v>
      </c>
      <c r="BG136" s="395" t="s">
        <v>2274</v>
      </c>
      <c r="BI136">
        <f t="shared" si="39"/>
        <v>135</v>
      </c>
      <c r="BJ136" t="s">
        <v>2275</v>
      </c>
      <c r="BK136" t="s">
        <v>2276</v>
      </c>
      <c r="BL136" t="s">
        <v>2277</v>
      </c>
      <c r="BM136" t="s">
        <v>2278</v>
      </c>
      <c r="BO136">
        <f t="shared" si="40"/>
        <v>135</v>
      </c>
    </row>
    <row r="137" spans="13:71" x14ac:dyDescent="0.2">
      <c r="M137">
        <f t="shared" si="31"/>
        <v>136</v>
      </c>
      <c r="N137" t="s">
        <v>2279</v>
      </c>
      <c r="O137" t="s">
        <v>1864</v>
      </c>
      <c r="P137" t="s">
        <v>2280</v>
      </c>
      <c r="Q137" t="s">
        <v>2281</v>
      </c>
      <c r="S137">
        <f t="shared" si="32"/>
        <v>136</v>
      </c>
      <c r="T137" s="25" t="s">
        <v>2282</v>
      </c>
      <c r="U137" t="s">
        <v>2283</v>
      </c>
      <c r="V137" s="25" t="s">
        <v>2284</v>
      </c>
      <c r="W137" t="s">
        <v>2285</v>
      </c>
      <c r="Y137">
        <f t="shared" si="33"/>
        <v>136</v>
      </c>
      <c r="Z137" t="s">
        <v>2286</v>
      </c>
      <c r="AA137" t="s">
        <v>2287</v>
      </c>
      <c r="AB137" t="s">
        <v>2288</v>
      </c>
      <c r="AC137" t="s">
        <v>2289</v>
      </c>
      <c r="AE137">
        <f t="shared" si="34"/>
        <v>136</v>
      </c>
      <c r="AK137">
        <f t="shared" si="35"/>
        <v>136</v>
      </c>
      <c r="AL137" s="25" t="s">
        <v>2290</v>
      </c>
      <c r="AM137" s="25" t="s">
        <v>2291</v>
      </c>
      <c r="AN137" s="25" t="s">
        <v>2292</v>
      </c>
      <c r="AO137" s="25" t="s">
        <v>2293</v>
      </c>
      <c r="AQ137">
        <f t="shared" si="36"/>
        <v>136</v>
      </c>
      <c r="AR137" s="25" t="s">
        <v>2294</v>
      </c>
      <c r="AS137" s="25" t="s">
        <v>2295</v>
      </c>
      <c r="AT137" s="25" t="s">
        <v>2296</v>
      </c>
      <c r="AU137" s="25" t="s">
        <v>2297</v>
      </c>
      <c r="AW137">
        <f t="shared" si="37"/>
        <v>136</v>
      </c>
      <c r="BC137">
        <f t="shared" si="38"/>
        <v>136</v>
      </c>
      <c r="BD137" t="s">
        <v>2298</v>
      </c>
      <c r="BE137" t="s">
        <v>2299</v>
      </c>
      <c r="BF137" t="s">
        <v>2300</v>
      </c>
      <c r="BG137" t="s">
        <v>2301</v>
      </c>
      <c r="BI137">
        <f t="shared" si="39"/>
        <v>136</v>
      </c>
      <c r="BJ137" t="s">
        <v>2302</v>
      </c>
      <c r="BK137" t="s">
        <v>2303</v>
      </c>
      <c r="BL137" t="s">
        <v>2304</v>
      </c>
      <c r="BM137" t="s">
        <v>2305</v>
      </c>
      <c r="BO137">
        <f t="shared" si="40"/>
        <v>136</v>
      </c>
    </row>
    <row r="138" spans="13:71" x14ac:dyDescent="0.2">
      <c r="M138">
        <f t="shared" si="31"/>
        <v>137</v>
      </c>
      <c r="N138" t="s">
        <v>2306</v>
      </c>
      <c r="O138" t="s">
        <v>2307</v>
      </c>
      <c r="P138" t="s">
        <v>2308</v>
      </c>
      <c r="Q138" t="s">
        <v>2309</v>
      </c>
      <c r="S138">
        <f t="shared" si="32"/>
        <v>137</v>
      </c>
      <c r="T138" t="s">
        <v>2310</v>
      </c>
      <c r="U138" t="s">
        <v>2311</v>
      </c>
      <c r="V138" t="s">
        <v>2312</v>
      </c>
      <c r="W138" t="s">
        <v>2313</v>
      </c>
      <c r="Y138">
        <f t="shared" si="33"/>
        <v>137</v>
      </c>
      <c r="Z138" t="s">
        <v>2314</v>
      </c>
      <c r="AA138" t="s">
        <v>2315</v>
      </c>
      <c r="AB138" t="s">
        <v>2316</v>
      </c>
      <c r="AC138" t="s">
        <v>2317</v>
      </c>
      <c r="AE138">
        <f t="shared" si="34"/>
        <v>137</v>
      </c>
      <c r="AK138">
        <f t="shared" si="35"/>
        <v>137</v>
      </c>
      <c r="AQ138">
        <f t="shared" si="36"/>
        <v>137</v>
      </c>
      <c r="AR138" s="25" t="s">
        <v>2318</v>
      </c>
      <c r="AS138" s="25" t="s">
        <v>2319</v>
      </c>
      <c r="AT138" s="25" t="s">
        <v>2320</v>
      </c>
      <c r="AU138" s="25" t="s">
        <v>2321</v>
      </c>
      <c r="AW138">
        <f t="shared" si="37"/>
        <v>137</v>
      </c>
      <c r="BC138">
        <f t="shared" si="38"/>
        <v>137</v>
      </c>
      <c r="BD138" t="s">
        <v>2322</v>
      </c>
      <c r="BE138" t="s">
        <v>2323</v>
      </c>
      <c r="BF138" t="s">
        <v>2324</v>
      </c>
      <c r="BG138" t="s">
        <v>2325</v>
      </c>
      <c r="BI138">
        <f t="shared" si="39"/>
        <v>137</v>
      </c>
      <c r="BJ138" t="s">
        <v>2326</v>
      </c>
      <c r="BK138" t="s">
        <v>2327</v>
      </c>
      <c r="BL138" t="s">
        <v>2328</v>
      </c>
      <c r="BM138" t="s">
        <v>2329</v>
      </c>
      <c r="BO138">
        <f t="shared" si="40"/>
        <v>137</v>
      </c>
    </row>
    <row r="139" spans="13:71" x14ac:dyDescent="0.2">
      <c r="M139">
        <f t="shared" si="31"/>
        <v>138</v>
      </c>
      <c r="N139" t="s">
        <v>2330</v>
      </c>
      <c r="O139" t="s">
        <v>2331</v>
      </c>
      <c r="P139" t="s">
        <v>2332</v>
      </c>
      <c r="Q139" t="s">
        <v>2333</v>
      </c>
      <c r="S139">
        <f t="shared" si="32"/>
        <v>138</v>
      </c>
      <c r="T139" s="25" t="s">
        <v>2334</v>
      </c>
      <c r="U139" t="s">
        <v>2335</v>
      </c>
      <c r="V139" s="25" t="s">
        <v>2336</v>
      </c>
      <c r="W139" t="s">
        <v>2337</v>
      </c>
      <c r="Y139">
        <f t="shared" si="33"/>
        <v>138</v>
      </c>
      <c r="Z139" t="s">
        <v>2338</v>
      </c>
      <c r="AA139" t="s">
        <v>2339</v>
      </c>
      <c r="AB139" t="s">
        <v>2340</v>
      </c>
      <c r="AC139" t="s">
        <v>2341</v>
      </c>
      <c r="AE139">
        <f t="shared" si="34"/>
        <v>138</v>
      </c>
      <c r="AK139">
        <f t="shared" si="35"/>
        <v>138</v>
      </c>
      <c r="AQ139">
        <f t="shared" si="36"/>
        <v>138</v>
      </c>
      <c r="AR139" s="310"/>
      <c r="AS139" s="310"/>
      <c r="AT139" s="310"/>
      <c r="AU139" s="310"/>
      <c r="AW139">
        <f t="shared" si="37"/>
        <v>138</v>
      </c>
      <c r="BC139">
        <f t="shared" si="38"/>
        <v>138</v>
      </c>
      <c r="BD139" t="s">
        <v>2342</v>
      </c>
      <c r="BE139" t="s">
        <v>2343</v>
      </c>
      <c r="BF139" t="s">
        <v>2344</v>
      </c>
      <c r="BG139" t="s">
        <v>2345</v>
      </c>
      <c r="BI139">
        <f t="shared" si="39"/>
        <v>138</v>
      </c>
      <c r="BJ139" s="25" t="s">
        <v>2346</v>
      </c>
      <c r="BK139" s="25" t="s">
        <v>2347</v>
      </c>
      <c r="BL139" s="25" t="s">
        <v>2348</v>
      </c>
      <c r="BM139" s="25" t="s">
        <v>2349</v>
      </c>
      <c r="BO139">
        <f t="shared" si="40"/>
        <v>138</v>
      </c>
    </row>
    <row r="140" spans="13:71" x14ac:dyDescent="0.2">
      <c r="M140">
        <f t="shared" si="31"/>
        <v>139</v>
      </c>
      <c r="N140" t="s">
        <v>2350</v>
      </c>
      <c r="O140" t="s">
        <v>2351</v>
      </c>
      <c r="P140" t="s">
        <v>2352</v>
      </c>
      <c r="Q140" t="s">
        <v>2353</v>
      </c>
      <c r="S140">
        <f t="shared" si="32"/>
        <v>139</v>
      </c>
      <c r="T140" t="s">
        <v>2354</v>
      </c>
      <c r="U140" t="s">
        <v>2355</v>
      </c>
      <c r="V140" s="25" t="s">
        <v>2356</v>
      </c>
      <c r="W140" t="s">
        <v>2357</v>
      </c>
      <c r="Y140">
        <f t="shared" si="33"/>
        <v>139</v>
      </c>
      <c r="Z140" t="s">
        <v>2358</v>
      </c>
      <c r="AA140" t="s">
        <v>2359</v>
      </c>
      <c r="AB140" t="s">
        <v>2360</v>
      </c>
      <c r="AC140" t="s">
        <v>2361</v>
      </c>
      <c r="AE140">
        <f t="shared" si="34"/>
        <v>139</v>
      </c>
      <c r="AK140">
        <f t="shared" si="35"/>
        <v>139</v>
      </c>
      <c r="AQ140">
        <f t="shared" si="36"/>
        <v>139</v>
      </c>
      <c r="AW140">
        <f t="shared" si="37"/>
        <v>139</v>
      </c>
      <c r="BC140">
        <f t="shared" si="38"/>
        <v>139</v>
      </c>
      <c r="BD140" t="s">
        <v>2362</v>
      </c>
      <c r="BE140" t="s">
        <v>2363</v>
      </c>
      <c r="BF140" s="25" t="s">
        <v>2364</v>
      </c>
      <c r="BG140" t="s">
        <v>2365</v>
      </c>
      <c r="BI140">
        <f t="shared" si="39"/>
        <v>139</v>
      </c>
      <c r="BO140">
        <f t="shared" si="40"/>
        <v>139</v>
      </c>
    </row>
    <row r="141" spans="13:71" x14ac:dyDescent="0.2">
      <c r="M141">
        <f t="shared" si="31"/>
        <v>140</v>
      </c>
      <c r="N141" t="s">
        <v>2366</v>
      </c>
      <c r="O141" t="s">
        <v>2367</v>
      </c>
      <c r="P141" t="s">
        <v>2368</v>
      </c>
      <c r="Q141" t="s">
        <v>2369</v>
      </c>
      <c r="S141">
        <f t="shared" si="32"/>
        <v>140</v>
      </c>
      <c r="Y141">
        <f t="shared" si="33"/>
        <v>140</v>
      </c>
      <c r="AE141">
        <f t="shared" si="34"/>
        <v>140</v>
      </c>
      <c r="AK141">
        <f t="shared" si="35"/>
        <v>140</v>
      </c>
      <c r="AQ141">
        <f t="shared" si="36"/>
        <v>140</v>
      </c>
      <c r="AW141">
        <f t="shared" si="37"/>
        <v>140</v>
      </c>
      <c r="BC141">
        <f t="shared" si="38"/>
        <v>140</v>
      </c>
      <c r="BI141">
        <f t="shared" si="39"/>
        <v>140</v>
      </c>
      <c r="BO141">
        <f t="shared" si="40"/>
        <v>140</v>
      </c>
    </row>
    <row r="142" spans="13:71" x14ac:dyDescent="0.2">
      <c r="M142">
        <f t="shared" si="31"/>
        <v>141</v>
      </c>
      <c r="N142" t="s">
        <v>2370</v>
      </c>
      <c r="O142" t="s">
        <v>2371</v>
      </c>
      <c r="P142" t="s">
        <v>2372</v>
      </c>
      <c r="Q142" t="s">
        <v>2373</v>
      </c>
      <c r="S142">
        <f t="shared" si="32"/>
        <v>141</v>
      </c>
      <c r="T142" t="s">
        <v>2374</v>
      </c>
      <c r="U142" t="s">
        <v>2375</v>
      </c>
      <c r="V142" t="s">
        <v>2376</v>
      </c>
      <c r="W142" t="s">
        <v>2377</v>
      </c>
      <c r="Y142">
        <f t="shared" si="33"/>
        <v>141</v>
      </c>
      <c r="AE142">
        <f t="shared" si="34"/>
        <v>141</v>
      </c>
      <c r="AF142" t="s">
        <v>2378</v>
      </c>
      <c r="AG142" t="s">
        <v>2379</v>
      </c>
      <c r="AH142" t="s">
        <v>2380</v>
      </c>
      <c r="AI142" t="s">
        <v>2381</v>
      </c>
      <c r="AK142">
        <f t="shared" si="35"/>
        <v>141</v>
      </c>
      <c r="AL142" s="25" t="s">
        <v>2382</v>
      </c>
      <c r="AM142" s="25" t="s">
        <v>2383</v>
      </c>
      <c r="AN142" s="25" t="s">
        <v>2384</v>
      </c>
      <c r="AO142" s="25" t="s">
        <v>2385</v>
      </c>
      <c r="AQ142">
        <f t="shared" si="36"/>
        <v>141</v>
      </c>
      <c r="AR142" t="s">
        <v>2386</v>
      </c>
      <c r="AS142" t="s">
        <v>2387</v>
      </c>
      <c r="AT142" t="s">
        <v>2388</v>
      </c>
      <c r="AU142" t="s">
        <v>2389</v>
      </c>
      <c r="AW142">
        <f t="shared" si="37"/>
        <v>141</v>
      </c>
      <c r="AX142" t="s">
        <v>2390</v>
      </c>
      <c r="AY142" t="s">
        <v>2391</v>
      </c>
      <c r="AZ142" t="s">
        <v>2392</v>
      </c>
      <c r="BA142" t="s">
        <v>2393</v>
      </c>
      <c r="BC142">
        <f t="shared" si="38"/>
        <v>141</v>
      </c>
      <c r="BI142">
        <f t="shared" si="39"/>
        <v>141</v>
      </c>
      <c r="BJ142" s="25" t="s">
        <v>2143</v>
      </c>
      <c r="BK142" s="25" t="s">
        <v>2144</v>
      </c>
      <c r="BL142" s="25" t="s">
        <v>2145</v>
      </c>
      <c r="BM142" s="25" t="s">
        <v>2146</v>
      </c>
      <c r="BO142">
        <f t="shared" si="40"/>
        <v>141</v>
      </c>
      <c r="BP142" t="s">
        <v>2147</v>
      </c>
      <c r="BQ142" t="s">
        <v>2148</v>
      </c>
      <c r="BR142" t="s">
        <v>2149</v>
      </c>
      <c r="BS142" t="s">
        <v>2150</v>
      </c>
    </row>
    <row r="143" spans="13:71" x14ac:dyDescent="0.2">
      <c r="M143">
        <f t="shared" si="31"/>
        <v>142</v>
      </c>
      <c r="N143" t="s">
        <v>2394</v>
      </c>
      <c r="O143" t="s">
        <v>2395</v>
      </c>
      <c r="P143" t="s">
        <v>2396</v>
      </c>
      <c r="Q143" t="s">
        <v>2397</v>
      </c>
      <c r="S143">
        <f t="shared" si="32"/>
        <v>142</v>
      </c>
      <c r="T143" t="s">
        <v>2398</v>
      </c>
      <c r="U143" t="s">
        <v>2399</v>
      </c>
      <c r="V143" t="s">
        <v>2400</v>
      </c>
      <c r="W143" t="s">
        <v>2401</v>
      </c>
      <c r="Y143">
        <f t="shared" si="33"/>
        <v>142</v>
      </c>
      <c r="AE143">
        <f t="shared" si="34"/>
        <v>142</v>
      </c>
      <c r="AF143" t="s">
        <v>2402</v>
      </c>
      <c r="AG143" t="s">
        <v>2403</v>
      </c>
      <c r="AH143" t="s">
        <v>2404</v>
      </c>
      <c r="AI143" t="s">
        <v>2405</v>
      </c>
      <c r="AK143">
        <f t="shared" si="35"/>
        <v>142</v>
      </c>
      <c r="AL143" s="25" t="s">
        <v>2406</v>
      </c>
      <c r="AM143" s="25" t="s">
        <v>2407</v>
      </c>
      <c r="AN143" s="25" t="s">
        <v>2408</v>
      </c>
      <c r="AO143" s="25" t="s">
        <v>2409</v>
      </c>
      <c r="AQ143">
        <f t="shared" si="36"/>
        <v>142</v>
      </c>
      <c r="AR143" t="s">
        <v>2410</v>
      </c>
      <c r="AS143" t="s">
        <v>2411</v>
      </c>
      <c r="AT143" t="s">
        <v>2412</v>
      </c>
      <c r="AU143" t="s">
        <v>2413</v>
      </c>
      <c r="AW143">
        <f t="shared" si="37"/>
        <v>142</v>
      </c>
      <c r="AX143" s="25" t="s">
        <v>2175</v>
      </c>
      <c r="AY143" s="25" t="s">
        <v>2176</v>
      </c>
      <c r="AZ143" s="25" t="s">
        <v>2177</v>
      </c>
      <c r="BA143" s="25" t="s">
        <v>2178</v>
      </c>
      <c r="BC143">
        <f t="shared" si="38"/>
        <v>142</v>
      </c>
      <c r="BI143">
        <f t="shared" si="39"/>
        <v>142</v>
      </c>
      <c r="BJ143" t="s">
        <v>2179</v>
      </c>
      <c r="BK143" t="s">
        <v>2180</v>
      </c>
      <c r="BL143" t="s">
        <v>2181</v>
      </c>
      <c r="BM143" t="s">
        <v>2182</v>
      </c>
      <c r="BO143">
        <f t="shared" si="40"/>
        <v>142</v>
      </c>
      <c r="BP143" s="25" t="s">
        <v>2175</v>
      </c>
      <c r="BQ143" s="25" t="s">
        <v>2176</v>
      </c>
      <c r="BR143" s="25" t="s">
        <v>2177</v>
      </c>
      <c r="BS143" s="25" t="s">
        <v>2178</v>
      </c>
    </row>
    <row r="144" spans="13:71" x14ac:dyDescent="0.2">
      <c r="M144">
        <f t="shared" si="31"/>
        <v>143</v>
      </c>
      <c r="N144" t="s">
        <v>2414</v>
      </c>
      <c r="O144" t="s">
        <v>2415</v>
      </c>
      <c r="P144" t="s">
        <v>2416</v>
      </c>
      <c r="Q144" t="s">
        <v>2417</v>
      </c>
      <c r="S144">
        <f t="shared" si="32"/>
        <v>143</v>
      </c>
      <c r="T144" t="s">
        <v>2418</v>
      </c>
      <c r="U144" t="s">
        <v>2419</v>
      </c>
      <c r="V144" t="s">
        <v>2420</v>
      </c>
      <c r="W144" t="s">
        <v>2421</v>
      </c>
      <c r="Y144">
        <f t="shared" si="33"/>
        <v>143</v>
      </c>
      <c r="AE144">
        <f t="shared" si="34"/>
        <v>143</v>
      </c>
      <c r="AF144" t="s">
        <v>2422</v>
      </c>
      <c r="AG144" t="s">
        <v>2423</v>
      </c>
      <c r="AH144" t="s">
        <v>2424</v>
      </c>
      <c r="AI144" t="s">
        <v>2425</v>
      </c>
      <c r="AK144">
        <f t="shared" si="35"/>
        <v>143</v>
      </c>
      <c r="AL144" s="25" t="s">
        <v>2426</v>
      </c>
      <c r="AM144" s="25" t="s">
        <v>2427</v>
      </c>
      <c r="AN144" s="25" t="s">
        <v>2428</v>
      </c>
      <c r="AO144" s="25" t="s">
        <v>2429</v>
      </c>
      <c r="AQ144">
        <f t="shared" si="36"/>
        <v>143</v>
      </c>
      <c r="AR144" s="25" t="s">
        <v>2167</v>
      </c>
      <c r="AS144" s="25" t="s">
        <v>2168</v>
      </c>
      <c r="AT144" s="25" t="s">
        <v>2169</v>
      </c>
      <c r="AU144" s="25" t="s">
        <v>2170</v>
      </c>
      <c r="AW144">
        <f t="shared" si="37"/>
        <v>143</v>
      </c>
      <c r="BC144">
        <f t="shared" si="38"/>
        <v>143</v>
      </c>
      <c r="BI144">
        <f t="shared" si="39"/>
        <v>143</v>
      </c>
      <c r="BO144">
        <f t="shared" si="40"/>
        <v>143</v>
      </c>
      <c r="BP144" t="s">
        <v>2207</v>
      </c>
      <c r="BQ144" t="s">
        <v>2208</v>
      </c>
      <c r="BR144" t="s">
        <v>2209</v>
      </c>
      <c r="BS144" t="s">
        <v>2210</v>
      </c>
    </row>
    <row r="145" spans="13:67" x14ac:dyDescent="0.2">
      <c r="M145">
        <f t="shared" si="31"/>
        <v>144</v>
      </c>
      <c r="N145" t="s">
        <v>2430</v>
      </c>
      <c r="O145" t="s">
        <v>2431</v>
      </c>
      <c r="P145" t="s">
        <v>2432</v>
      </c>
      <c r="Q145" t="s">
        <v>2433</v>
      </c>
      <c r="S145">
        <f t="shared" si="32"/>
        <v>144</v>
      </c>
      <c r="Y145">
        <f t="shared" si="33"/>
        <v>144</v>
      </c>
      <c r="AE145">
        <f t="shared" si="34"/>
        <v>144</v>
      </c>
      <c r="AF145" t="s">
        <v>2434</v>
      </c>
      <c r="AG145" t="s">
        <v>2435</v>
      </c>
      <c r="AH145" t="s">
        <v>2436</v>
      </c>
      <c r="AI145" t="s">
        <v>2437</v>
      </c>
      <c r="AK145">
        <f t="shared" si="35"/>
        <v>144</v>
      </c>
      <c r="AL145" s="25" t="s">
        <v>2438</v>
      </c>
      <c r="AM145" s="25" t="s">
        <v>2439</v>
      </c>
      <c r="AN145" s="25" t="s">
        <v>2440</v>
      </c>
      <c r="AO145" s="25" t="s">
        <v>2441</v>
      </c>
      <c r="AQ145">
        <f t="shared" si="36"/>
        <v>144</v>
      </c>
      <c r="AW145">
        <f t="shared" si="37"/>
        <v>144</v>
      </c>
      <c r="BC145">
        <f t="shared" si="38"/>
        <v>144</v>
      </c>
      <c r="BI145">
        <f t="shared" si="39"/>
        <v>144</v>
      </c>
      <c r="BO145">
        <f t="shared" si="40"/>
        <v>144</v>
      </c>
    </row>
    <row r="146" spans="13:67" x14ac:dyDescent="0.2">
      <c r="M146">
        <f t="shared" si="31"/>
        <v>145</v>
      </c>
      <c r="N146" t="s">
        <v>2306</v>
      </c>
      <c r="O146" t="s">
        <v>2307</v>
      </c>
      <c r="P146" t="s">
        <v>2308</v>
      </c>
      <c r="Q146" t="s">
        <v>2309</v>
      </c>
      <c r="S146">
        <f t="shared" si="32"/>
        <v>145</v>
      </c>
      <c r="Y146">
        <f t="shared" si="33"/>
        <v>145</v>
      </c>
      <c r="AE146">
        <f t="shared" si="34"/>
        <v>145</v>
      </c>
      <c r="AF146" t="s">
        <v>2442</v>
      </c>
      <c r="AG146" t="s">
        <v>2442</v>
      </c>
      <c r="AH146" t="s">
        <v>2443</v>
      </c>
      <c r="AI146" t="s">
        <v>2442</v>
      </c>
      <c r="AK146">
        <f t="shared" si="35"/>
        <v>145</v>
      </c>
      <c r="AQ146">
        <f t="shared" si="36"/>
        <v>145</v>
      </c>
      <c r="AW146">
        <f t="shared" si="37"/>
        <v>145</v>
      </c>
      <c r="BC146">
        <f t="shared" si="38"/>
        <v>145</v>
      </c>
      <c r="BI146">
        <f t="shared" si="39"/>
        <v>145</v>
      </c>
      <c r="BO146">
        <f t="shared" si="40"/>
        <v>145</v>
      </c>
    </row>
    <row r="147" spans="13:67" x14ac:dyDescent="0.2">
      <c r="M147">
        <f t="shared" si="31"/>
        <v>146</v>
      </c>
      <c r="S147">
        <f t="shared" si="32"/>
        <v>146</v>
      </c>
      <c r="Y147">
        <f t="shared" si="33"/>
        <v>146</v>
      </c>
      <c r="AE147">
        <f t="shared" si="34"/>
        <v>146</v>
      </c>
      <c r="AF147" t="s">
        <v>2444</v>
      </c>
      <c r="AG147" t="s">
        <v>2444</v>
      </c>
      <c r="AH147" t="s">
        <v>2445</v>
      </c>
      <c r="AI147" t="s">
        <v>2444</v>
      </c>
      <c r="AK147">
        <f t="shared" si="35"/>
        <v>146</v>
      </c>
      <c r="AQ147">
        <f t="shared" si="36"/>
        <v>146</v>
      </c>
      <c r="AW147">
        <f t="shared" si="37"/>
        <v>146</v>
      </c>
      <c r="BC147">
        <f t="shared" si="38"/>
        <v>146</v>
      </c>
      <c r="BI147">
        <f t="shared" si="39"/>
        <v>146</v>
      </c>
      <c r="BO147">
        <f t="shared" si="40"/>
        <v>146</v>
      </c>
    </row>
    <row r="148" spans="13:67" x14ac:dyDescent="0.2">
      <c r="M148">
        <f t="shared" si="31"/>
        <v>147</v>
      </c>
      <c r="S148">
        <f t="shared" si="32"/>
        <v>147</v>
      </c>
      <c r="Y148">
        <f t="shared" si="33"/>
        <v>147</v>
      </c>
      <c r="AE148">
        <f t="shared" si="34"/>
        <v>147</v>
      </c>
      <c r="AK148">
        <f t="shared" si="35"/>
        <v>147</v>
      </c>
      <c r="AQ148">
        <f t="shared" si="36"/>
        <v>147</v>
      </c>
      <c r="AW148">
        <f t="shared" si="37"/>
        <v>147</v>
      </c>
      <c r="BC148">
        <f t="shared" si="38"/>
        <v>147</v>
      </c>
      <c r="BI148">
        <f t="shared" si="39"/>
        <v>147</v>
      </c>
      <c r="BO148">
        <f t="shared" si="40"/>
        <v>147</v>
      </c>
    </row>
    <row r="149" spans="13:67" x14ac:dyDescent="0.2">
      <c r="M149">
        <f t="shared" si="31"/>
        <v>148</v>
      </c>
      <c r="S149">
        <f t="shared" si="32"/>
        <v>148</v>
      </c>
      <c r="Y149">
        <f t="shared" si="33"/>
        <v>148</v>
      </c>
      <c r="AE149">
        <f t="shared" si="34"/>
        <v>148</v>
      </c>
      <c r="AK149">
        <f t="shared" si="35"/>
        <v>148</v>
      </c>
      <c r="AL149" t="s">
        <v>2446</v>
      </c>
      <c r="AM149" t="s">
        <v>3045</v>
      </c>
      <c r="AN149" t="s">
        <v>3044</v>
      </c>
      <c r="AO149" t="s">
        <v>3046</v>
      </c>
      <c r="AQ149">
        <f t="shared" si="36"/>
        <v>148</v>
      </c>
      <c r="AW149">
        <f t="shared" si="37"/>
        <v>148</v>
      </c>
      <c r="BC149">
        <f t="shared" si="38"/>
        <v>148</v>
      </c>
      <c r="BI149">
        <f t="shared" si="39"/>
        <v>148</v>
      </c>
      <c r="BO149">
        <f t="shared" si="40"/>
        <v>148</v>
      </c>
    </row>
    <row r="150" spans="13:67" x14ac:dyDescent="0.2">
      <c r="M150">
        <f t="shared" si="31"/>
        <v>149</v>
      </c>
      <c r="S150">
        <f t="shared" si="32"/>
        <v>149</v>
      </c>
      <c r="Y150">
        <f t="shared" si="33"/>
        <v>149</v>
      </c>
      <c r="AE150">
        <f t="shared" si="34"/>
        <v>149</v>
      </c>
      <c r="AK150">
        <f t="shared" si="35"/>
        <v>149</v>
      </c>
      <c r="AQ150">
        <f t="shared" si="36"/>
        <v>149</v>
      </c>
      <c r="AR150" s="25" t="s">
        <v>2447</v>
      </c>
      <c r="AS150" s="25" t="s">
        <v>2448</v>
      </c>
      <c r="AT150" s="25" t="s">
        <v>2449</v>
      </c>
      <c r="AU150" s="25" t="s">
        <v>2450</v>
      </c>
      <c r="AW150">
        <f t="shared" si="37"/>
        <v>149</v>
      </c>
      <c r="BC150">
        <f t="shared" si="38"/>
        <v>149</v>
      </c>
      <c r="BI150">
        <f t="shared" si="39"/>
        <v>149</v>
      </c>
      <c r="BO150">
        <f t="shared" si="40"/>
        <v>149</v>
      </c>
    </row>
    <row r="151" spans="13:67" x14ac:dyDescent="0.2">
      <c r="M151">
        <f t="shared" si="31"/>
        <v>150</v>
      </c>
      <c r="S151">
        <f t="shared" si="32"/>
        <v>150</v>
      </c>
      <c r="Y151">
        <f t="shared" si="33"/>
        <v>150</v>
      </c>
      <c r="AE151">
        <f t="shared" si="34"/>
        <v>150</v>
      </c>
      <c r="AK151">
        <f t="shared" si="35"/>
        <v>150</v>
      </c>
      <c r="AQ151">
        <f t="shared" si="36"/>
        <v>150</v>
      </c>
      <c r="AR151" s="25" t="s">
        <v>2451</v>
      </c>
      <c r="AS151" s="25" t="s">
        <v>2452</v>
      </c>
      <c r="AT151" s="25" t="s">
        <v>2453</v>
      </c>
      <c r="AU151" s="25" t="s">
        <v>2454</v>
      </c>
      <c r="AW151">
        <f t="shared" si="37"/>
        <v>150</v>
      </c>
      <c r="BC151">
        <f t="shared" si="38"/>
        <v>150</v>
      </c>
      <c r="BI151">
        <f t="shared" si="39"/>
        <v>150</v>
      </c>
      <c r="BO151">
        <f t="shared" si="40"/>
        <v>150</v>
      </c>
    </row>
    <row r="152" spans="13:67" x14ac:dyDescent="0.2">
      <c r="M152">
        <f t="shared" ref="M152:M183" si="41">ROW()-1</f>
        <v>151</v>
      </c>
      <c r="N152" t="s">
        <v>363</v>
      </c>
      <c r="O152" t="s">
        <v>364</v>
      </c>
      <c r="P152" t="s">
        <v>365</v>
      </c>
      <c r="Q152" t="s">
        <v>2455</v>
      </c>
      <c r="S152">
        <f>ROW()-1</f>
        <v>151</v>
      </c>
      <c r="T152" t="s">
        <v>2456</v>
      </c>
      <c r="U152" t="s">
        <v>2457</v>
      </c>
      <c r="V152" t="s">
        <v>2458</v>
      </c>
      <c r="W152" t="s">
        <v>2459</v>
      </c>
      <c r="AE152">
        <f t="shared" ref="AE152:AE183" si="42">ROW()-1</f>
        <v>151</v>
      </c>
      <c r="AF152" t="s">
        <v>2460</v>
      </c>
      <c r="AG152" t="s">
        <v>2461</v>
      </c>
      <c r="AH152" t="s">
        <v>2462</v>
      </c>
      <c r="AI152" t="s">
        <v>2463</v>
      </c>
      <c r="AW152">
        <f t="shared" ref="AW152:AW156" si="43">ROW()-1</f>
        <v>151</v>
      </c>
      <c r="AX152" t="s">
        <v>2464</v>
      </c>
      <c r="AY152" t="s">
        <v>2465</v>
      </c>
      <c r="AZ152" t="s">
        <v>2466</v>
      </c>
      <c r="BA152" t="s">
        <v>2467</v>
      </c>
    </row>
    <row r="153" spans="13:67" x14ac:dyDescent="0.2">
      <c r="M153">
        <f t="shared" si="41"/>
        <v>152</v>
      </c>
      <c r="N153" t="s">
        <v>2468</v>
      </c>
      <c r="O153" t="s">
        <v>2469</v>
      </c>
      <c r="P153" t="s">
        <v>2470</v>
      </c>
      <c r="Q153" t="s">
        <v>2469</v>
      </c>
      <c r="S153">
        <f t="shared" ref="S153:S160" si="44">ROW()-1</f>
        <v>152</v>
      </c>
      <c r="T153" t="s">
        <v>2471</v>
      </c>
      <c r="U153" t="s">
        <v>2472</v>
      </c>
      <c r="V153" t="s">
        <v>2473</v>
      </c>
      <c r="W153" t="s">
        <v>2474</v>
      </c>
      <c r="AE153">
        <f t="shared" si="42"/>
        <v>152</v>
      </c>
      <c r="AF153" t="s">
        <v>2475</v>
      </c>
      <c r="AG153" t="s">
        <v>2476</v>
      </c>
      <c r="AH153" t="s">
        <v>2477</v>
      </c>
      <c r="AI153" t="s">
        <v>2478</v>
      </c>
      <c r="AW153">
        <f t="shared" si="43"/>
        <v>152</v>
      </c>
    </row>
    <row r="154" spans="13:67" x14ac:dyDescent="0.2">
      <c r="M154">
        <f t="shared" si="41"/>
        <v>153</v>
      </c>
      <c r="N154" t="s">
        <v>2479</v>
      </c>
      <c r="O154" t="s">
        <v>2480</v>
      </c>
      <c r="P154" t="s">
        <v>2481</v>
      </c>
      <c r="Q154" t="s">
        <v>2482</v>
      </c>
      <c r="S154">
        <f t="shared" si="44"/>
        <v>153</v>
      </c>
      <c r="T154" t="s">
        <v>2483</v>
      </c>
      <c r="U154" t="s">
        <v>2484</v>
      </c>
      <c r="V154" t="s">
        <v>2485</v>
      </c>
      <c r="W154" t="s">
        <v>2486</v>
      </c>
      <c r="AE154">
        <f t="shared" si="42"/>
        <v>153</v>
      </c>
      <c r="AF154" t="s">
        <v>2487</v>
      </c>
      <c r="AG154" t="s">
        <v>2488</v>
      </c>
      <c r="AH154" t="s">
        <v>2489</v>
      </c>
      <c r="AI154" t="s">
        <v>2490</v>
      </c>
      <c r="AW154">
        <f t="shared" si="43"/>
        <v>153</v>
      </c>
    </row>
    <row r="155" spans="13:67" x14ac:dyDescent="0.2">
      <c r="M155">
        <f t="shared" si="41"/>
        <v>154</v>
      </c>
      <c r="N155" t="s">
        <v>1621</v>
      </c>
      <c r="O155" t="s">
        <v>1622</v>
      </c>
      <c r="P155" t="s">
        <v>1623</v>
      </c>
      <c r="Q155" t="s">
        <v>1624</v>
      </c>
      <c r="S155">
        <f t="shared" si="44"/>
        <v>154</v>
      </c>
      <c r="T155" t="s">
        <v>2491</v>
      </c>
      <c r="U155" t="s">
        <v>2492</v>
      </c>
      <c r="V155" t="s">
        <v>2493</v>
      </c>
      <c r="W155" t="s">
        <v>2494</v>
      </c>
      <c r="AE155">
        <f t="shared" si="42"/>
        <v>154</v>
      </c>
      <c r="AW155">
        <f t="shared" si="43"/>
        <v>154</v>
      </c>
      <c r="AX155" s="310"/>
      <c r="AY155" s="310"/>
      <c r="AZ155" s="310"/>
      <c r="BA155" s="310"/>
    </row>
    <row r="156" spans="13:67" x14ac:dyDescent="0.2">
      <c r="M156">
        <f t="shared" si="41"/>
        <v>155</v>
      </c>
      <c r="N156" t="s">
        <v>2495</v>
      </c>
      <c r="O156" t="s">
        <v>2496</v>
      </c>
      <c r="P156" t="s">
        <v>2497</v>
      </c>
      <c r="Q156" t="s">
        <v>2498</v>
      </c>
      <c r="S156">
        <f t="shared" si="44"/>
        <v>155</v>
      </c>
      <c r="T156" t="s">
        <v>2499</v>
      </c>
      <c r="U156" t="s">
        <v>2500</v>
      </c>
      <c r="V156" t="s">
        <v>2501</v>
      </c>
      <c r="W156" t="s">
        <v>2502</v>
      </c>
      <c r="AE156">
        <f t="shared" si="42"/>
        <v>155</v>
      </c>
      <c r="AW156">
        <f t="shared" si="43"/>
        <v>155</v>
      </c>
      <c r="AX156" s="310"/>
      <c r="AY156" s="310"/>
      <c r="AZ156" s="310"/>
      <c r="BA156" s="310"/>
    </row>
    <row r="157" spans="13:67" x14ac:dyDescent="0.2">
      <c r="M157">
        <f t="shared" si="41"/>
        <v>156</v>
      </c>
      <c r="N157" t="s">
        <v>2503</v>
      </c>
      <c r="O157" t="s">
        <v>2504</v>
      </c>
      <c r="P157" t="s">
        <v>2505</v>
      </c>
      <c r="Q157" t="s">
        <v>2506</v>
      </c>
      <c r="S157">
        <f t="shared" si="44"/>
        <v>156</v>
      </c>
      <c r="T157" t="s">
        <v>2507</v>
      </c>
      <c r="U157" t="s">
        <v>2508</v>
      </c>
      <c r="V157" t="s">
        <v>2509</v>
      </c>
      <c r="W157" t="s">
        <v>2510</v>
      </c>
      <c r="AE157">
        <f t="shared" si="42"/>
        <v>156</v>
      </c>
    </row>
    <row r="158" spans="13:67" x14ac:dyDescent="0.2">
      <c r="M158">
        <f t="shared" si="41"/>
        <v>157</v>
      </c>
      <c r="N158" t="s">
        <v>2511</v>
      </c>
      <c r="O158" t="s">
        <v>2512</v>
      </c>
      <c r="P158" t="s">
        <v>2513</v>
      </c>
      <c r="Q158" t="s">
        <v>2514</v>
      </c>
      <c r="S158">
        <f t="shared" si="44"/>
        <v>157</v>
      </c>
      <c r="T158" t="s">
        <v>2515</v>
      </c>
      <c r="U158" t="s">
        <v>2516</v>
      </c>
      <c r="V158" t="s">
        <v>2517</v>
      </c>
      <c r="W158" t="s">
        <v>2518</v>
      </c>
      <c r="AE158">
        <f t="shared" si="42"/>
        <v>157</v>
      </c>
    </row>
    <row r="159" spans="13:67" x14ac:dyDescent="0.2">
      <c r="M159">
        <f t="shared" si="41"/>
        <v>158</v>
      </c>
      <c r="N159" t="s">
        <v>2519</v>
      </c>
      <c r="O159" t="s">
        <v>2520</v>
      </c>
      <c r="P159" t="s">
        <v>2521</v>
      </c>
      <c r="Q159" t="s">
        <v>2522</v>
      </c>
      <c r="S159">
        <f t="shared" si="44"/>
        <v>158</v>
      </c>
      <c r="T159" t="s">
        <v>2523</v>
      </c>
      <c r="U159" t="s">
        <v>2524</v>
      </c>
      <c r="V159" t="s">
        <v>2525</v>
      </c>
      <c r="W159" t="s">
        <v>2526</v>
      </c>
      <c r="AE159">
        <f t="shared" si="42"/>
        <v>158</v>
      </c>
    </row>
    <row r="160" spans="13:67" x14ac:dyDescent="0.2">
      <c r="M160">
        <f t="shared" si="41"/>
        <v>159</v>
      </c>
      <c r="N160" t="s">
        <v>2527</v>
      </c>
      <c r="O160" t="s">
        <v>2528</v>
      </c>
      <c r="P160" t="s">
        <v>2529</v>
      </c>
      <c r="Q160" t="s">
        <v>2530</v>
      </c>
      <c r="S160">
        <f t="shared" si="44"/>
        <v>159</v>
      </c>
      <c r="T160" t="s">
        <v>2531</v>
      </c>
      <c r="U160" t="s">
        <v>2532</v>
      </c>
      <c r="V160" t="s">
        <v>2533</v>
      </c>
      <c r="W160" t="s">
        <v>2534</v>
      </c>
      <c r="AE160">
        <f t="shared" si="42"/>
        <v>159</v>
      </c>
    </row>
    <row r="161" spans="13:35" x14ac:dyDescent="0.2">
      <c r="M161">
        <f t="shared" si="41"/>
        <v>160</v>
      </c>
      <c r="N161" t="s">
        <v>930</v>
      </c>
      <c r="O161" t="s">
        <v>931</v>
      </c>
      <c r="P161" t="s">
        <v>2535</v>
      </c>
      <c r="Q161" t="s">
        <v>933</v>
      </c>
      <c r="AE161">
        <f t="shared" si="42"/>
        <v>160</v>
      </c>
    </row>
    <row r="162" spans="13:35" x14ac:dyDescent="0.2">
      <c r="M162">
        <f t="shared" si="41"/>
        <v>161</v>
      </c>
      <c r="N162" t="s">
        <v>2536</v>
      </c>
      <c r="O162" t="s">
        <v>951</v>
      </c>
      <c r="P162" t="s">
        <v>2537</v>
      </c>
      <c r="Q162" t="s">
        <v>2538</v>
      </c>
      <c r="AE162">
        <f t="shared" si="42"/>
        <v>161</v>
      </c>
      <c r="AF162" t="s">
        <v>2539</v>
      </c>
      <c r="AG162" t="s">
        <v>2540</v>
      </c>
      <c r="AH162" t="s">
        <v>2541</v>
      </c>
      <c r="AI162" t="s">
        <v>2542</v>
      </c>
    </row>
    <row r="163" spans="13:35" x14ac:dyDescent="0.2">
      <c r="M163">
        <f t="shared" si="41"/>
        <v>162</v>
      </c>
      <c r="N163" t="s">
        <v>2543</v>
      </c>
      <c r="O163" t="s">
        <v>1062</v>
      </c>
      <c r="P163" t="s">
        <v>2544</v>
      </c>
      <c r="Q163" t="s">
        <v>1064</v>
      </c>
      <c r="AE163">
        <f t="shared" si="42"/>
        <v>162</v>
      </c>
      <c r="AF163" t="s">
        <v>2545</v>
      </c>
      <c r="AG163" t="s">
        <v>2546</v>
      </c>
      <c r="AH163" t="s">
        <v>2547</v>
      </c>
      <c r="AI163" t="s">
        <v>2548</v>
      </c>
    </row>
    <row r="164" spans="13:35" x14ac:dyDescent="0.2">
      <c r="M164">
        <f t="shared" si="41"/>
        <v>163</v>
      </c>
      <c r="N164" t="s">
        <v>2549</v>
      </c>
      <c r="O164" t="s">
        <v>2550</v>
      </c>
      <c r="P164" t="s">
        <v>2551</v>
      </c>
      <c r="Q164" t="s">
        <v>2552</v>
      </c>
      <c r="AE164">
        <f t="shared" si="42"/>
        <v>163</v>
      </c>
      <c r="AF164" t="s">
        <v>2553</v>
      </c>
      <c r="AG164" t="s">
        <v>2554</v>
      </c>
      <c r="AH164" t="s">
        <v>2555</v>
      </c>
      <c r="AI164" t="s">
        <v>2556</v>
      </c>
    </row>
    <row r="165" spans="13:35" x14ac:dyDescent="0.2">
      <c r="M165">
        <f t="shared" si="41"/>
        <v>164</v>
      </c>
      <c r="N165" t="s">
        <v>2557</v>
      </c>
      <c r="O165" t="s">
        <v>2558</v>
      </c>
      <c r="P165" t="s">
        <v>2559</v>
      </c>
      <c r="Q165" t="s">
        <v>2560</v>
      </c>
      <c r="AE165">
        <f t="shared" si="42"/>
        <v>164</v>
      </c>
    </row>
    <row r="166" spans="13:35" x14ac:dyDescent="0.2">
      <c r="M166">
        <f t="shared" si="41"/>
        <v>165</v>
      </c>
      <c r="N166" t="s">
        <v>2543</v>
      </c>
      <c r="O166" t="s">
        <v>1062</v>
      </c>
      <c r="P166" t="s">
        <v>2544</v>
      </c>
      <c r="Q166" t="s">
        <v>1064</v>
      </c>
      <c r="AE166">
        <f t="shared" si="42"/>
        <v>165</v>
      </c>
    </row>
    <row r="167" spans="13:35" x14ac:dyDescent="0.2">
      <c r="M167">
        <f t="shared" si="41"/>
        <v>166</v>
      </c>
      <c r="N167" t="s">
        <v>2561</v>
      </c>
      <c r="O167" t="s">
        <v>2561</v>
      </c>
      <c r="P167" t="s">
        <v>2561</v>
      </c>
      <c r="Q167" t="s">
        <v>2561</v>
      </c>
      <c r="AE167">
        <f t="shared" si="42"/>
        <v>166</v>
      </c>
    </row>
    <row r="168" spans="13:35" x14ac:dyDescent="0.2">
      <c r="M168">
        <f t="shared" si="41"/>
        <v>167</v>
      </c>
      <c r="N168" t="s">
        <v>2562</v>
      </c>
      <c r="O168" t="s">
        <v>2563</v>
      </c>
      <c r="P168" t="s">
        <v>2564</v>
      </c>
      <c r="Q168" t="s">
        <v>1347</v>
      </c>
      <c r="AE168">
        <f t="shared" si="42"/>
        <v>167</v>
      </c>
    </row>
    <row r="169" spans="13:35" x14ac:dyDescent="0.2">
      <c r="M169">
        <f t="shared" si="41"/>
        <v>168</v>
      </c>
      <c r="N169" t="s">
        <v>2565</v>
      </c>
      <c r="O169" t="s">
        <v>2566</v>
      </c>
      <c r="P169" t="s">
        <v>2567</v>
      </c>
      <c r="Q169" t="s">
        <v>2568</v>
      </c>
      <c r="AE169">
        <f t="shared" si="42"/>
        <v>168</v>
      </c>
    </row>
    <row r="170" spans="13:35" x14ac:dyDescent="0.2">
      <c r="M170">
        <f t="shared" si="41"/>
        <v>169</v>
      </c>
      <c r="N170" t="s">
        <v>2569</v>
      </c>
      <c r="O170" t="s">
        <v>2570</v>
      </c>
      <c r="P170" t="s">
        <v>2571</v>
      </c>
      <c r="Q170" t="s">
        <v>2572</v>
      </c>
      <c r="AE170">
        <f t="shared" si="42"/>
        <v>169</v>
      </c>
    </row>
    <row r="171" spans="13:35" x14ac:dyDescent="0.2">
      <c r="M171">
        <f t="shared" si="41"/>
        <v>170</v>
      </c>
      <c r="N171" t="s">
        <v>2543</v>
      </c>
      <c r="O171" t="s">
        <v>1062</v>
      </c>
      <c r="P171" t="s">
        <v>2544</v>
      </c>
      <c r="Q171" t="s">
        <v>1064</v>
      </c>
      <c r="AE171">
        <f t="shared" si="42"/>
        <v>170</v>
      </c>
    </row>
    <row r="172" spans="13:35" x14ac:dyDescent="0.2">
      <c r="M172">
        <f t="shared" si="41"/>
        <v>171</v>
      </c>
      <c r="N172" t="s">
        <v>2573</v>
      </c>
      <c r="O172" t="s">
        <v>2574</v>
      </c>
      <c r="P172" t="s">
        <v>2575</v>
      </c>
      <c r="Q172" t="s">
        <v>2576</v>
      </c>
      <c r="AE172">
        <f t="shared" si="42"/>
        <v>171</v>
      </c>
    </row>
    <row r="173" spans="13:35" x14ac:dyDescent="0.2">
      <c r="M173">
        <f t="shared" si="41"/>
        <v>172</v>
      </c>
      <c r="N173" t="s">
        <v>2577</v>
      </c>
      <c r="O173" t="s">
        <v>2578</v>
      </c>
      <c r="P173" t="s">
        <v>2579</v>
      </c>
      <c r="Q173" t="s">
        <v>2580</v>
      </c>
      <c r="AE173">
        <f t="shared" si="42"/>
        <v>172</v>
      </c>
    </row>
    <row r="174" spans="13:35" x14ac:dyDescent="0.2">
      <c r="M174">
        <f t="shared" si="41"/>
        <v>173</v>
      </c>
      <c r="N174" s="48" t="s">
        <v>2581</v>
      </c>
      <c r="O174" t="s">
        <v>2582</v>
      </c>
      <c r="P174" s="48" t="s">
        <v>2583</v>
      </c>
      <c r="Q174" t="s">
        <v>2584</v>
      </c>
      <c r="AE174">
        <f t="shared" si="42"/>
        <v>173</v>
      </c>
    </row>
    <row r="175" spans="13:35" x14ac:dyDescent="0.2">
      <c r="M175">
        <f t="shared" si="41"/>
        <v>174</v>
      </c>
      <c r="N175" s="48" t="s">
        <v>2585</v>
      </c>
      <c r="O175" t="s">
        <v>2586</v>
      </c>
      <c r="P175" s="48" t="s">
        <v>2587</v>
      </c>
      <c r="Q175" t="s">
        <v>2588</v>
      </c>
      <c r="AE175">
        <f t="shared" si="42"/>
        <v>174</v>
      </c>
    </row>
    <row r="176" spans="13:35" x14ac:dyDescent="0.2">
      <c r="M176">
        <f t="shared" si="41"/>
        <v>175</v>
      </c>
      <c r="N176" s="48" t="s">
        <v>2589</v>
      </c>
      <c r="O176" t="s">
        <v>2590</v>
      </c>
      <c r="P176" s="48" t="s">
        <v>2591</v>
      </c>
      <c r="Q176" t="s">
        <v>2592</v>
      </c>
      <c r="AE176">
        <f t="shared" si="42"/>
        <v>175</v>
      </c>
    </row>
    <row r="177" spans="13:31" x14ac:dyDescent="0.2">
      <c r="M177">
        <f t="shared" si="41"/>
        <v>176</v>
      </c>
      <c r="N177" s="48" t="s">
        <v>2593</v>
      </c>
      <c r="O177" t="s">
        <v>2594</v>
      </c>
      <c r="P177" s="48" t="s">
        <v>2595</v>
      </c>
      <c r="Q177" t="s">
        <v>2596</v>
      </c>
      <c r="AE177">
        <f t="shared" si="42"/>
        <v>176</v>
      </c>
    </row>
    <row r="178" spans="13:31" x14ac:dyDescent="0.2">
      <c r="M178">
        <f t="shared" si="41"/>
        <v>177</v>
      </c>
      <c r="N178" s="48" t="s">
        <v>2597</v>
      </c>
      <c r="O178" t="s">
        <v>2598</v>
      </c>
      <c r="P178" s="48" t="s">
        <v>2599</v>
      </c>
      <c r="Q178" t="s">
        <v>2600</v>
      </c>
      <c r="AE178">
        <f t="shared" si="42"/>
        <v>177</v>
      </c>
    </row>
    <row r="179" spans="13:31" x14ac:dyDescent="0.2">
      <c r="M179">
        <f t="shared" si="41"/>
        <v>178</v>
      </c>
      <c r="AE179">
        <f t="shared" si="42"/>
        <v>178</v>
      </c>
    </row>
    <row r="180" spans="13:31" x14ac:dyDescent="0.2">
      <c r="M180">
        <f t="shared" si="41"/>
        <v>179</v>
      </c>
      <c r="AE180">
        <f t="shared" si="42"/>
        <v>179</v>
      </c>
    </row>
    <row r="181" spans="13:31" x14ac:dyDescent="0.2">
      <c r="M181">
        <f t="shared" si="41"/>
        <v>180</v>
      </c>
      <c r="AE181">
        <f t="shared" si="42"/>
        <v>180</v>
      </c>
    </row>
    <row r="182" spans="13:31" x14ac:dyDescent="0.2">
      <c r="M182">
        <f t="shared" si="41"/>
        <v>181</v>
      </c>
      <c r="N182" t="s">
        <v>2601</v>
      </c>
      <c r="O182" t="s">
        <v>868</v>
      </c>
      <c r="P182" t="s">
        <v>2602</v>
      </c>
      <c r="Q182" t="s">
        <v>870</v>
      </c>
      <c r="AE182">
        <f t="shared" si="42"/>
        <v>181</v>
      </c>
    </row>
    <row r="183" spans="13:31" x14ac:dyDescent="0.2">
      <c r="M183">
        <f t="shared" si="41"/>
        <v>182</v>
      </c>
      <c r="N183" t="s">
        <v>2603</v>
      </c>
      <c r="O183" t="s">
        <v>711</v>
      </c>
      <c r="P183" t="s">
        <v>2604</v>
      </c>
      <c r="Q183" t="s">
        <v>713</v>
      </c>
      <c r="AE183">
        <f t="shared" si="42"/>
        <v>182</v>
      </c>
    </row>
    <row r="184" spans="13:31" x14ac:dyDescent="0.2">
      <c r="M184">
        <f t="shared" ref="M184:M215" si="45">ROW()-1</f>
        <v>183</v>
      </c>
      <c r="AE184">
        <f t="shared" ref="AE184:AE215" si="46">ROW()-1</f>
        <v>183</v>
      </c>
    </row>
    <row r="185" spans="13:31" x14ac:dyDescent="0.2">
      <c r="M185">
        <f t="shared" si="45"/>
        <v>184</v>
      </c>
      <c r="AE185">
        <f t="shared" si="46"/>
        <v>184</v>
      </c>
    </row>
    <row r="186" spans="13:31" x14ac:dyDescent="0.2">
      <c r="M186">
        <f t="shared" si="45"/>
        <v>185</v>
      </c>
      <c r="AE186">
        <f t="shared" si="46"/>
        <v>185</v>
      </c>
    </row>
    <row r="187" spans="13:31" x14ac:dyDescent="0.2">
      <c r="M187">
        <f t="shared" si="45"/>
        <v>186</v>
      </c>
      <c r="AE187">
        <f t="shared" si="46"/>
        <v>186</v>
      </c>
    </row>
    <row r="188" spans="13:31" x14ac:dyDescent="0.2">
      <c r="M188">
        <f t="shared" si="45"/>
        <v>187</v>
      </c>
      <c r="AE188">
        <f t="shared" si="46"/>
        <v>187</v>
      </c>
    </row>
    <row r="189" spans="13:31" x14ac:dyDescent="0.2">
      <c r="M189">
        <f t="shared" si="45"/>
        <v>188</v>
      </c>
      <c r="AE189">
        <f t="shared" si="46"/>
        <v>188</v>
      </c>
    </row>
    <row r="190" spans="13:31" x14ac:dyDescent="0.2">
      <c r="M190">
        <f t="shared" si="45"/>
        <v>189</v>
      </c>
      <c r="AE190">
        <f t="shared" si="46"/>
        <v>189</v>
      </c>
    </row>
    <row r="191" spans="13:31" x14ac:dyDescent="0.2">
      <c r="M191">
        <f t="shared" si="45"/>
        <v>190</v>
      </c>
      <c r="AE191">
        <f t="shared" si="46"/>
        <v>190</v>
      </c>
    </row>
    <row r="192" spans="13:31" x14ac:dyDescent="0.2">
      <c r="M192">
        <f t="shared" si="45"/>
        <v>191</v>
      </c>
      <c r="N192" t="s">
        <v>2605</v>
      </c>
      <c r="O192" t="s">
        <v>2606</v>
      </c>
      <c r="P192" t="s">
        <v>2607</v>
      </c>
      <c r="Q192" t="s">
        <v>2608</v>
      </c>
      <c r="AE192">
        <f t="shared" si="46"/>
        <v>191</v>
      </c>
    </row>
    <row r="193" spans="13:35" x14ac:dyDescent="0.2">
      <c r="M193">
        <f t="shared" si="45"/>
        <v>192</v>
      </c>
      <c r="N193" t="s">
        <v>2609</v>
      </c>
      <c r="O193" t="s">
        <v>2610</v>
      </c>
      <c r="P193" t="s">
        <v>2611</v>
      </c>
      <c r="Q193" t="s">
        <v>2612</v>
      </c>
      <c r="AE193">
        <f t="shared" si="46"/>
        <v>192</v>
      </c>
    </row>
    <row r="194" spans="13:35" x14ac:dyDescent="0.2">
      <c r="M194">
        <f t="shared" si="45"/>
        <v>193</v>
      </c>
      <c r="N194" t="s">
        <v>2613</v>
      </c>
      <c r="O194" t="s">
        <v>2614</v>
      </c>
      <c r="P194" t="s">
        <v>2615</v>
      </c>
      <c r="Q194" t="s">
        <v>2616</v>
      </c>
      <c r="AE194">
        <f t="shared" si="46"/>
        <v>193</v>
      </c>
    </row>
    <row r="195" spans="13:35" x14ac:dyDescent="0.2">
      <c r="M195">
        <f t="shared" si="45"/>
        <v>194</v>
      </c>
      <c r="N195" t="s">
        <v>2617</v>
      </c>
      <c r="O195" t="s">
        <v>2618</v>
      </c>
      <c r="P195" t="s">
        <v>2619</v>
      </c>
      <c r="Q195" t="s">
        <v>2620</v>
      </c>
      <c r="AE195">
        <f t="shared" si="46"/>
        <v>194</v>
      </c>
    </row>
    <row r="196" spans="13:35" x14ac:dyDescent="0.2">
      <c r="M196">
        <f t="shared" si="45"/>
        <v>195</v>
      </c>
      <c r="N196" t="s">
        <v>2621</v>
      </c>
      <c r="O196" t="s">
        <v>2622</v>
      </c>
      <c r="P196" t="s">
        <v>2623</v>
      </c>
      <c r="Q196" t="s">
        <v>2624</v>
      </c>
      <c r="AE196">
        <f t="shared" si="46"/>
        <v>195</v>
      </c>
    </row>
    <row r="197" spans="13:35" x14ac:dyDescent="0.2">
      <c r="M197">
        <f t="shared" si="45"/>
        <v>196</v>
      </c>
      <c r="N197" t="s">
        <v>2625</v>
      </c>
      <c r="O197" t="s">
        <v>2626</v>
      </c>
      <c r="P197" t="s">
        <v>2627</v>
      </c>
      <c r="Q197" t="s">
        <v>2628</v>
      </c>
      <c r="AE197">
        <f t="shared" si="46"/>
        <v>196</v>
      </c>
    </row>
    <row r="198" spans="13:35" x14ac:dyDescent="0.2">
      <c r="M198">
        <f t="shared" si="45"/>
        <v>197</v>
      </c>
      <c r="N198" t="s">
        <v>2629</v>
      </c>
      <c r="O198" t="s">
        <v>2630</v>
      </c>
      <c r="P198" t="s">
        <v>2631</v>
      </c>
      <c r="Q198" t="s">
        <v>2632</v>
      </c>
      <c r="AE198">
        <f t="shared" si="46"/>
        <v>197</v>
      </c>
    </row>
    <row r="199" spans="13:35" x14ac:dyDescent="0.2">
      <c r="M199">
        <f t="shared" si="45"/>
        <v>198</v>
      </c>
      <c r="N199" t="s">
        <v>2633</v>
      </c>
      <c r="O199" t="s">
        <v>2634</v>
      </c>
      <c r="P199" t="s">
        <v>2635</v>
      </c>
      <c r="Q199" t="s">
        <v>2636</v>
      </c>
      <c r="AE199">
        <f t="shared" si="46"/>
        <v>198</v>
      </c>
    </row>
    <row r="200" spans="13:35" x14ac:dyDescent="0.2">
      <c r="M200">
        <f t="shared" si="45"/>
        <v>199</v>
      </c>
      <c r="N200" t="s">
        <v>2637</v>
      </c>
      <c r="O200" t="s">
        <v>2638</v>
      </c>
      <c r="P200" t="s">
        <v>2639</v>
      </c>
      <c r="Q200" t="s">
        <v>2640</v>
      </c>
      <c r="AE200">
        <f t="shared" si="46"/>
        <v>199</v>
      </c>
    </row>
    <row r="201" spans="13:35" x14ac:dyDescent="0.2">
      <c r="M201">
        <f t="shared" si="45"/>
        <v>200</v>
      </c>
      <c r="N201" t="s">
        <v>2641</v>
      </c>
      <c r="O201" t="s">
        <v>2642</v>
      </c>
      <c r="P201" t="s">
        <v>2643</v>
      </c>
      <c r="Q201" t="s">
        <v>2644</v>
      </c>
      <c r="AE201">
        <f t="shared" si="46"/>
        <v>200</v>
      </c>
    </row>
    <row r="202" spans="13:35" x14ac:dyDescent="0.2">
      <c r="M202">
        <f t="shared" si="45"/>
        <v>201</v>
      </c>
      <c r="N202" t="s">
        <v>2645</v>
      </c>
      <c r="O202" t="s">
        <v>2646</v>
      </c>
      <c r="P202" t="s">
        <v>2647</v>
      </c>
      <c r="Q202" t="s">
        <v>2648</v>
      </c>
      <c r="AE202">
        <f t="shared" si="46"/>
        <v>201</v>
      </c>
      <c r="AF202" t="s">
        <v>2649</v>
      </c>
      <c r="AG202" t="s">
        <v>2650</v>
      </c>
      <c r="AH202" t="s">
        <v>2651</v>
      </c>
      <c r="AI202" t="s">
        <v>2652</v>
      </c>
    </row>
    <row r="203" spans="13:35" x14ac:dyDescent="0.2">
      <c r="M203">
        <f t="shared" si="45"/>
        <v>202</v>
      </c>
      <c r="N203" t="s">
        <v>2653</v>
      </c>
      <c r="O203" t="s">
        <v>2654</v>
      </c>
      <c r="P203" t="s">
        <v>2655</v>
      </c>
      <c r="Q203" t="s">
        <v>2656</v>
      </c>
      <c r="AE203">
        <f t="shared" si="46"/>
        <v>202</v>
      </c>
    </row>
    <row r="204" spans="13:35" x14ac:dyDescent="0.2">
      <c r="M204">
        <f t="shared" si="45"/>
        <v>203</v>
      </c>
      <c r="N204" t="s">
        <v>2657</v>
      </c>
      <c r="O204" t="s">
        <v>2658</v>
      </c>
      <c r="P204" t="s">
        <v>2659</v>
      </c>
      <c r="Q204" t="s">
        <v>2660</v>
      </c>
      <c r="AE204">
        <f t="shared" si="46"/>
        <v>203</v>
      </c>
    </row>
    <row r="205" spans="13:35" x14ac:dyDescent="0.2">
      <c r="M205">
        <f t="shared" si="45"/>
        <v>204</v>
      </c>
      <c r="N205" t="s">
        <v>2661</v>
      </c>
      <c r="O205" t="s">
        <v>2662</v>
      </c>
      <c r="P205" t="s">
        <v>2663</v>
      </c>
      <c r="Q205" t="s">
        <v>2664</v>
      </c>
      <c r="AE205">
        <f t="shared" si="46"/>
        <v>204</v>
      </c>
      <c r="AF205" t="s">
        <v>2665</v>
      </c>
      <c r="AG205" t="s">
        <v>2666</v>
      </c>
      <c r="AH205" t="s">
        <v>2667</v>
      </c>
      <c r="AI205" t="s">
        <v>2668</v>
      </c>
    </row>
    <row r="206" spans="13:35" x14ac:dyDescent="0.2">
      <c r="M206">
        <f t="shared" si="45"/>
        <v>205</v>
      </c>
      <c r="N206" t="s">
        <v>2669</v>
      </c>
      <c r="O206" t="s">
        <v>2670</v>
      </c>
      <c r="P206" t="s">
        <v>2671</v>
      </c>
      <c r="Q206" t="s">
        <v>2672</v>
      </c>
      <c r="AE206">
        <f t="shared" si="46"/>
        <v>205</v>
      </c>
      <c r="AF206" t="s">
        <v>2673</v>
      </c>
      <c r="AG206" t="s">
        <v>2674</v>
      </c>
      <c r="AH206" t="s">
        <v>2675</v>
      </c>
      <c r="AI206" t="s">
        <v>2676</v>
      </c>
    </row>
    <row r="207" spans="13:35" x14ac:dyDescent="0.2">
      <c r="M207">
        <f t="shared" si="45"/>
        <v>206</v>
      </c>
      <c r="N207" t="s">
        <v>2677</v>
      </c>
      <c r="O207" t="s">
        <v>2678</v>
      </c>
      <c r="P207" t="s">
        <v>2679</v>
      </c>
      <c r="Q207" t="s">
        <v>2680</v>
      </c>
      <c r="AE207">
        <f t="shared" si="46"/>
        <v>206</v>
      </c>
    </row>
    <row r="208" spans="13:35" x14ac:dyDescent="0.2">
      <c r="M208">
        <f t="shared" si="45"/>
        <v>207</v>
      </c>
      <c r="AE208">
        <f t="shared" si="46"/>
        <v>207</v>
      </c>
    </row>
    <row r="209" spans="13:35" x14ac:dyDescent="0.2">
      <c r="M209">
        <f t="shared" si="45"/>
        <v>208</v>
      </c>
      <c r="AE209">
        <f t="shared" si="46"/>
        <v>208</v>
      </c>
    </row>
    <row r="210" spans="13:35" x14ac:dyDescent="0.2">
      <c r="M210">
        <f t="shared" si="45"/>
        <v>209</v>
      </c>
      <c r="N210" t="s">
        <v>2681</v>
      </c>
      <c r="O210" t="s">
        <v>2682</v>
      </c>
      <c r="P210" t="s">
        <v>2683</v>
      </c>
      <c r="Q210" t="s">
        <v>2684</v>
      </c>
      <c r="AE210">
        <f t="shared" si="46"/>
        <v>209</v>
      </c>
    </row>
    <row r="211" spans="13:35" x14ac:dyDescent="0.2">
      <c r="M211">
        <f t="shared" si="45"/>
        <v>210</v>
      </c>
      <c r="N211" t="s">
        <v>2685</v>
      </c>
      <c r="O211" t="s">
        <v>2686</v>
      </c>
      <c r="P211" t="s">
        <v>2686</v>
      </c>
      <c r="Q211" t="s">
        <v>2687</v>
      </c>
      <c r="AE211">
        <f t="shared" si="46"/>
        <v>210</v>
      </c>
    </row>
    <row r="212" spans="13:35" x14ac:dyDescent="0.2">
      <c r="M212">
        <f t="shared" si="45"/>
        <v>211</v>
      </c>
      <c r="N212" t="s">
        <v>2688</v>
      </c>
      <c r="O212" t="s">
        <v>2689</v>
      </c>
      <c r="P212" t="s">
        <v>2690</v>
      </c>
      <c r="Q212" t="s">
        <v>2691</v>
      </c>
      <c r="AE212">
        <f t="shared" si="46"/>
        <v>211</v>
      </c>
      <c r="AF212" t="s">
        <v>2135</v>
      </c>
      <c r="AG212" t="s">
        <v>2136</v>
      </c>
      <c r="AH212" t="s">
        <v>2137</v>
      </c>
      <c r="AI212" t="s">
        <v>2692</v>
      </c>
    </row>
    <row r="213" spans="13:35" x14ac:dyDescent="0.2">
      <c r="M213">
        <f t="shared" si="45"/>
        <v>212</v>
      </c>
      <c r="N213" t="s">
        <v>2693</v>
      </c>
      <c r="O213" t="s">
        <v>2694</v>
      </c>
      <c r="P213" t="s">
        <v>2695</v>
      </c>
      <c r="Q213" t="s">
        <v>2696</v>
      </c>
      <c r="AE213">
        <f t="shared" si="46"/>
        <v>212</v>
      </c>
      <c r="AF213" t="s">
        <v>2697</v>
      </c>
      <c r="AG213" t="s">
        <v>2698</v>
      </c>
      <c r="AH213" t="s">
        <v>2699</v>
      </c>
      <c r="AI213" t="s">
        <v>2700</v>
      </c>
    </row>
    <row r="214" spans="13:35" x14ac:dyDescent="0.2">
      <c r="M214">
        <f t="shared" si="45"/>
        <v>213</v>
      </c>
      <c r="N214" t="s">
        <v>2701</v>
      </c>
      <c r="O214" t="s">
        <v>2702</v>
      </c>
      <c r="P214" t="s">
        <v>2703</v>
      </c>
      <c r="Q214" t="s">
        <v>2704</v>
      </c>
      <c r="AE214">
        <f t="shared" si="46"/>
        <v>213</v>
      </c>
      <c r="AF214" t="s">
        <v>2705</v>
      </c>
      <c r="AG214" t="s">
        <v>2706</v>
      </c>
      <c r="AH214" t="s">
        <v>2707</v>
      </c>
      <c r="AI214" t="s">
        <v>2708</v>
      </c>
    </row>
    <row r="215" spans="13:35" x14ac:dyDescent="0.2">
      <c r="M215">
        <f t="shared" si="45"/>
        <v>214</v>
      </c>
      <c r="N215" t="s">
        <v>2709</v>
      </c>
      <c r="O215" t="s">
        <v>2710</v>
      </c>
      <c r="P215" t="s">
        <v>2711</v>
      </c>
      <c r="Q215" t="s">
        <v>2712</v>
      </c>
      <c r="AE215">
        <f t="shared" si="46"/>
        <v>214</v>
      </c>
      <c r="AF215" t="s">
        <v>2713</v>
      </c>
      <c r="AG215" t="s">
        <v>2714</v>
      </c>
      <c r="AH215" t="s">
        <v>2715</v>
      </c>
      <c r="AI215" t="s">
        <v>2716</v>
      </c>
    </row>
    <row r="216" spans="13:35" x14ac:dyDescent="0.2">
      <c r="M216">
        <f t="shared" ref="M216:M226" si="47">ROW()-1</f>
        <v>215</v>
      </c>
      <c r="N216" t="s">
        <v>2717</v>
      </c>
      <c r="O216" t="s">
        <v>2718</v>
      </c>
      <c r="P216" t="s">
        <v>2719</v>
      </c>
      <c r="Q216" t="s">
        <v>2720</v>
      </c>
      <c r="AE216">
        <f t="shared" ref="AE216:AE239" si="48">ROW()-1</f>
        <v>215</v>
      </c>
      <c r="AF216" s="25" t="s">
        <v>2721</v>
      </c>
      <c r="AG216" t="s">
        <v>2722</v>
      </c>
      <c r="AH216" t="s">
        <v>2723</v>
      </c>
      <c r="AI216" t="s">
        <v>2724</v>
      </c>
    </row>
    <row r="217" spans="13:35" x14ac:dyDescent="0.2">
      <c r="M217">
        <f t="shared" si="47"/>
        <v>216</v>
      </c>
      <c r="N217" t="s">
        <v>2725</v>
      </c>
      <c r="O217" t="s">
        <v>2726</v>
      </c>
      <c r="P217" t="s">
        <v>2727</v>
      </c>
      <c r="Q217" t="s">
        <v>2728</v>
      </c>
      <c r="AE217">
        <f t="shared" si="48"/>
        <v>216</v>
      </c>
      <c r="AF217" s="25" t="s">
        <v>2729</v>
      </c>
      <c r="AG217" t="s">
        <v>2730</v>
      </c>
      <c r="AH217" s="25" t="s">
        <v>2731</v>
      </c>
      <c r="AI217" t="s">
        <v>2732</v>
      </c>
    </row>
    <row r="218" spans="13:35" x14ac:dyDescent="0.2">
      <c r="M218">
        <f t="shared" si="47"/>
        <v>217</v>
      </c>
      <c r="N218" t="s">
        <v>2733</v>
      </c>
      <c r="O218" t="s">
        <v>2734</v>
      </c>
      <c r="P218" t="s">
        <v>2734</v>
      </c>
      <c r="Q218" t="s">
        <v>2735</v>
      </c>
      <c r="AE218">
        <f t="shared" si="48"/>
        <v>217</v>
      </c>
      <c r="AF218" s="25" t="s">
        <v>2736</v>
      </c>
      <c r="AG218" t="s">
        <v>2737</v>
      </c>
      <c r="AH218" s="25" t="s">
        <v>2738</v>
      </c>
      <c r="AI218" t="s">
        <v>2739</v>
      </c>
    </row>
    <row r="219" spans="13:35" x14ac:dyDescent="0.2">
      <c r="M219">
        <f t="shared" si="47"/>
        <v>218</v>
      </c>
      <c r="N219" t="s">
        <v>2740</v>
      </c>
      <c r="O219" t="s">
        <v>2741</v>
      </c>
      <c r="P219" t="s">
        <v>2742</v>
      </c>
      <c r="Q219" t="s">
        <v>2743</v>
      </c>
      <c r="AE219">
        <f t="shared" si="48"/>
        <v>218</v>
      </c>
      <c r="AF219" s="25" t="s">
        <v>2744</v>
      </c>
      <c r="AG219" s="25" t="s">
        <v>2745</v>
      </c>
      <c r="AH219" s="25" t="s">
        <v>2746</v>
      </c>
      <c r="AI219" s="25" t="s">
        <v>2747</v>
      </c>
    </row>
    <row r="220" spans="13:35" x14ac:dyDescent="0.2">
      <c r="M220">
        <f t="shared" si="47"/>
        <v>219</v>
      </c>
      <c r="N220" t="s">
        <v>2748</v>
      </c>
      <c r="O220" t="s">
        <v>2749</v>
      </c>
      <c r="P220" t="s">
        <v>2750</v>
      </c>
      <c r="Q220" t="s">
        <v>2751</v>
      </c>
      <c r="AE220">
        <f t="shared" si="48"/>
        <v>219</v>
      </c>
    </row>
    <row r="221" spans="13:35" x14ac:dyDescent="0.2">
      <c r="M221">
        <f t="shared" si="47"/>
        <v>220</v>
      </c>
      <c r="AE221">
        <f t="shared" si="48"/>
        <v>220</v>
      </c>
    </row>
    <row r="222" spans="13:35" x14ac:dyDescent="0.2">
      <c r="M222">
        <f t="shared" si="47"/>
        <v>221</v>
      </c>
      <c r="N222" t="s">
        <v>2752</v>
      </c>
      <c r="O222" t="s">
        <v>2753</v>
      </c>
      <c r="P222" t="s">
        <v>2754</v>
      </c>
      <c r="Q222" t="s">
        <v>2755</v>
      </c>
      <c r="AE222">
        <f t="shared" si="48"/>
        <v>221</v>
      </c>
      <c r="AF222" t="s">
        <v>2756</v>
      </c>
      <c r="AG222" t="s">
        <v>2757</v>
      </c>
      <c r="AH222" t="s">
        <v>2758</v>
      </c>
      <c r="AI222" t="s">
        <v>2759</v>
      </c>
    </row>
    <row r="223" spans="13:35" x14ac:dyDescent="0.2">
      <c r="M223">
        <f t="shared" si="47"/>
        <v>222</v>
      </c>
      <c r="N223" t="s">
        <v>2760</v>
      </c>
      <c r="O223" t="s">
        <v>2761</v>
      </c>
      <c r="P223" t="s">
        <v>2762</v>
      </c>
      <c r="Q223" t="s">
        <v>2763</v>
      </c>
      <c r="AE223">
        <f t="shared" si="48"/>
        <v>222</v>
      </c>
      <c r="AF223" t="s">
        <v>2764</v>
      </c>
      <c r="AG223" t="s">
        <v>2765</v>
      </c>
      <c r="AH223" t="s">
        <v>2766</v>
      </c>
      <c r="AI223" t="s">
        <v>2767</v>
      </c>
    </row>
    <row r="224" spans="13:35" x14ac:dyDescent="0.2">
      <c r="M224">
        <f t="shared" si="47"/>
        <v>223</v>
      </c>
      <c r="N224" t="s">
        <v>2768</v>
      </c>
      <c r="O224" t="s">
        <v>2769</v>
      </c>
      <c r="P224" t="s">
        <v>2770</v>
      </c>
      <c r="Q224" t="s">
        <v>2771</v>
      </c>
      <c r="AE224">
        <f t="shared" si="48"/>
        <v>223</v>
      </c>
      <c r="AF224" t="s">
        <v>2772</v>
      </c>
      <c r="AG224" t="s">
        <v>2773</v>
      </c>
      <c r="AH224" t="s">
        <v>2774</v>
      </c>
      <c r="AI224" t="s">
        <v>2775</v>
      </c>
    </row>
    <row r="225" spans="13:35" x14ac:dyDescent="0.2">
      <c r="M225">
        <f t="shared" si="47"/>
        <v>224</v>
      </c>
      <c r="AE225">
        <f t="shared" si="48"/>
        <v>224</v>
      </c>
    </row>
    <row r="226" spans="13:35" x14ac:dyDescent="0.2">
      <c r="M226">
        <f t="shared" si="47"/>
        <v>225</v>
      </c>
      <c r="AE226">
        <f t="shared" si="48"/>
        <v>225</v>
      </c>
    </row>
    <row r="227" spans="13:35" x14ac:dyDescent="0.2">
      <c r="M227">
        <f t="shared" ref="M227:M258" si="49">ROW()-1</f>
        <v>226</v>
      </c>
      <c r="AE227">
        <f t="shared" si="48"/>
        <v>226</v>
      </c>
    </row>
    <row r="228" spans="13:35" x14ac:dyDescent="0.2">
      <c r="M228">
        <f t="shared" si="49"/>
        <v>227</v>
      </c>
      <c r="AE228">
        <f t="shared" si="48"/>
        <v>227</v>
      </c>
    </row>
    <row r="229" spans="13:35" x14ac:dyDescent="0.2">
      <c r="M229">
        <f t="shared" si="49"/>
        <v>228</v>
      </c>
      <c r="AE229">
        <f t="shared" si="48"/>
        <v>228</v>
      </c>
    </row>
    <row r="230" spans="13:35" x14ac:dyDescent="0.2">
      <c r="M230">
        <f t="shared" si="49"/>
        <v>229</v>
      </c>
      <c r="AE230">
        <f t="shared" si="48"/>
        <v>229</v>
      </c>
    </row>
    <row r="231" spans="13:35" x14ac:dyDescent="0.2">
      <c r="M231">
        <f t="shared" si="49"/>
        <v>230</v>
      </c>
      <c r="AE231">
        <f t="shared" si="48"/>
        <v>230</v>
      </c>
    </row>
    <row r="232" spans="13:35" x14ac:dyDescent="0.2">
      <c r="M232">
        <f t="shared" si="49"/>
        <v>231</v>
      </c>
      <c r="N232" t="s">
        <v>2776</v>
      </c>
      <c r="O232" t="s">
        <v>2777</v>
      </c>
      <c r="P232" t="s">
        <v>2778</v>
      </c>
      <c r="Q232" t="s">
        <v>2779</v>
      </c>
      <c r="AE232">
        <f t="shared" si="48"/>
        <v>231</v>
      </c>
      <c r="AF232" t="s">
        <v>2780</v>
      </c>
      <c r="AG232" t="s">
        <v>2781</v>
      </c>
      <c r="AH232" t="s">
        <v>2782</v>
      </c>
      <c r="AI232" t="s">
        <v>2783</v>
      </c>
    </row>
    <row r="233" spans="13:35" x14ac:dyDescent="0.2">
      <c r="M233">
        <f t="shared" si="49"/>
        <v>232</v>
      </c>
      <c r="N233" t="s">
        <v>2784</v>
      </c>
      <c r="O233" t="s">
        <v>2785</v>
      </c>
      <c r="P233" t="s">
        <v>2786</v>
      </c>
      <c r="Q233" t="s">
        <v>2787</v>
      </c>
      <c r="AE233">
        <f t="shared" si="48"/>
        <v>232</v>
      </c>
    </row>
    <row r="234" spans="13:35" x14ac:dyDescent="0.2">
      <c r="M234">
        <f t="shared" si="49"/>
        <v>233</v>
      </c>
      <c r="N234" t="s">
        <v>2788</v>
      </c>
      <c r="O234" t="s">
        <v>2789</v>
      </c>
      <c r="P234" t="s">
        <v>2790</v>
      </c>
      <c r="Q234" t="s">
        <v>2791</v>
      </c>
      <c r="AE234">
        <f t="shared" si="48"/>
        <v>233</v>
      </c>
    </row>
    <row r="235" spans="13:35" x14ac:dyDescent="0.2">
      <c r="M235">
        <f t="shared" si="49"/>
        <v>234</v>
      </c>
      <c r="N235" t="s">
        <v>2792</v>
      </c>
      <c r="O235" t="s">
        <v>2793</v>
      </c>
      <c r="P235" t="s">
        <v>2794</v>
      </c>
      <c r="Q235" t="s">
        <v>2795</v>
      </c>
      <c r="AE235">
        <f t="shared" si="48"/>
        <v>234</v>
      </c>
    </row>
    <row r="236" spans="13:35" x14ac:dyDescent="0.2">
      <c r="M236">
        <f t="shared" si="49"/>
        <v>235</v>
      </c>
      <c r="N236" t="s">
        <v>2796</v>
      </c>
      <c r="O236" t="s">
        <v>2797</v>
      </c>
      <c r="P236" t="s">
        <v>2798</v>
      </c>
      <c r="Q236" t="s">
        <v>2799</v>
      </c>
      <c r="AE236">
        <f t="shared" si="48"/>
        <v>235</v>
      </c>
    </row>
    <row r="237" spans="13:35" x14ac:dyDescent="0.2">
      <c r="M237">
        <f t="shared" si="49"/>
        <v>236</v>
      </c>
      <c r="AE237">
        <f t="shared" si="48"/>
        <v>236</v>
      </c>
    </row>
    <row r="238" spans="13:35" x14ac:dyDescent="0.2">
      <c r="M238">
        <f t="shared" si="49"/>
        <v>237</v>
      </c>
      <c r="AE238">
        <f t="shared" si="48"/>
        <v>237</v>
      </c>
    </row>
    <row r="239" spans="13:35" x14ac:dyDescent="0.2">
      <c r="M239">
        <f t="shared" si="49"/>
        <v>238</v>
      </c>
      <c r="AE239">
        <f t="shared" si="48"/>
        <v>238</v>
      </c>
    </row>
    <row r="240" spans="13:35" x14ac:dyDescent="0.2">
      <c r="M240">
        <f t="shared" si="49"/>
        <v>239</v>
      </c>
      <c r="AE240">
        <f t="shared" ref="AE240:AE246" si="50">ROW()-1</f>
        <v>239</v>
      </c>
    </row>
    <row r="241" spans="13:35" x14ac:dyDescent="0.2">
      <c r="M241">
        <f t="shared" si="49"/>
        <v>240</v>
      </c>
      <c r="AE241">
        <f t="shared" si="50"/>
        <v>240</v>
      </c>
    </row>
    <row r="242" spans="13:35" x14ac:dyDescent="0.2">
      <c r="M242">
        <f t="shared" si="49"/>
        <v>241</v>
      </c>
      <c r="N242" s="25" t="s">
        <v>2800</v>
      </c>
      <c r="O242" t="s">
        <v>2801</v>
      </c>
      <c r="P242" s="25" t="s">
        <v>2802</v>
      </c>
      <c r="Q242" t="s">
        <v>2803</v>
      </c>
      <c r="AE242">
        <f t="shared" si="50"/>
        <v>241</v>
      </c>
      <c r="AF242" t="s">
        <v>2804</v>
      </c>
      <c r="AG242" t="s">
        <v>2805</v>
      </c>
      <c r="AH242" t="s">
        <v>2806</v>
      </c>
      <c r="AI242" t="s">
        <v>2807</v>
      </c>
    </row>
    <row r="243" spans="13:35" x14ac:dyDescent="0.2">
      <c r="M243">
        <f t="shared" si="49"/>
        <v>242</v>
      </c>
      <c r="N243" t="s">
        <v>2808</v>
      </c>
      <c r="O243" t="s">
        <v>2809</v>
      </c>
      <c r="P243" t="s">
        <v>2810</v>
      </c>
      <c r="Q243" t="s">
        <v>2811</v>
      </c>
      <c r="AE243">
        <f t="shared" si="50"/>
        <v>242</v>
      </c>
      <c r="AF243" s="25" t="s">
        <v>2812</v>
      </c>
      <c r="AG243" t="s">
        <v>2813</v>
      </c>
      <c r="AH243" s="25" t="s">
        <v>2814</v>
      </c>
      <c r="AI243" t="s">
        <v>2815</v>
      </c>
    </row>
    <row r="244" spans="13:35" x14ac:dyDescent="0.2">
      <c r="M244">
        <f t="shared" si="49"/>
        <v>243</v>
      </c>
      <c r="N244" t="s">
        <v>2816</v>
      </c>
      <c r="O244" t="s">
        <v>2817</v>
      </c>
      <c r="P244" t="s">
        <v>2818</v>
      </c>
      <c r="Q244" t="s">
        <v>2819</v>
      </c>
      <c r="AE244">
        <f t="shared" si="50"/>
        <v>243</v>
      </c>
    </row>
    <row r="245" spans="13:35" x14ac:dyDescent="0.2">
      <c r="M245">
        <f t="shared" si="49"/>
        <v>244</v>
      </c>
      <c r="N245" t="s">
        <v>2820</v>
      </c>
      <c r="O245" t="s">
        <v>2821</v>
      </c>
      <c r="P245" t="s">
        <v>2822</v>
      </c>
      <c r="Q245" t="s">
        <v>2823</v>
      </c>
      <c r="AE245">
        <f t="shared" si="50"/>
        <v>244</v>
      </c>
    </row>
    <row r="246" spans="13:35" x14ac:dyDescent="0.2">
      <c r="M246">
        <f t="shared" si="49"/>
        <v>245</v>
      </c>
      <c r="N246" s="25" t="s">
        <v>2824</v>
      </c>
      <c r="O246" t="s">
        <v>2825</v>
      </c>
      <c r="P246" s="25" t="s">
        <v>2826</v>
      </c>
      <c r="Q246" t="s">
        <v>2827</v>
      </c>
      <c r="AE246">
        <f t="shared" si="50"/>
        <v>245</v>
      </c>
    </row>
    <row r="247" spans="13:35" x14ac:dyDescent="0.2">
      <c r="M247">
        <f t="shared" si="49"/>
        <v>246</v>
      </c>
      <c r="N247" t="s">
        <v>2828</v>
      </c>
      <c r="O247" t="s">
        <v>2829</v>
      </c>
      <c r="P247" t="s">
        <v>2830</v>
      </c>
      <c r="Q247" t="s">
        <v>2831</v>
      </c>
      <c r="AE247">
        <f t="shared" ref="AE247:AE254" si="51">ROW()-1</f>
        <v>246</v>
      </c>
    </row>
    <row r="248" spans="13:35" x14ac:dyDescent="0.2">
      <c r="M248">
        <f t="shared" si="49"/>
        <v>247</v>
      </c>
      <c r="N248" t="s">
        <v>2832</v>
      </c>
      <c r="O248" t="s">
        <v>2833</v>
      </c>
      <c r="P248" t="s">
        <v>2834</v>
      </c>
      <c r="Q248" t="s">
        <v>2835</v>
      </c>
      <c r="AE248">
        <f t="shared" si="51"/>
        <v>247</v>
      </c>
    </row>
    <row r="249" spans="13:35" x14ac:dyDescent="0.2">
      <c r="M249">
        <f t="shared" si="49"/>
        <v>248</v>
      </c>
      <c r="N249" t="s">
        <v>2836</v>
      </c>
      <c r="O249" t="s">
        <v>2837</v>
      </c>
      <c r="P249" t="s">
        <v>2838</v>
      </c>
      <c r="Q249" t="s">
        <v>2839</v>
      </c>
      <c r="AE249">
        <f t="shared" si="51"/>
        <v>248</v>
      </c>
    </row>
    <row r="250" spans="13:35" x14ac:dyDescent="0.2">
      <c r="M250">
        <f t="shared" si="49"/>
        <v>249</v>
      </c>
      <c r="N250" t="s">
        <v>2840</v>
      </c>
      <c r="O250" t="s">
        <v>3036</v>
      </c>
      <c r="P250" t="s">
        <v>3037</v>
      </c>
      <c r="Q250" t="s">
        <v>3038</v>
      </c>
      <c r="AE250">
        <f t="shared" si="51"/>
        <v>249</v>
      </c>
    </row>
    <row r="251" spans="13:35" x14ac:dyDescent="0.2">
      <c r="M251">
        <f t="shared" si="49"/>
        <v>250</v>
      </c>
      <c r="AE251">
        <f t="shared" si="51"/>
        <v>250</v>
      </c>
    </row>
    <row r="252" spans="13:35" x14ac:dyDescent="0.2">
      <c r="M252">
        <f t="shared" si="49"/>
        <v>251</v>
      </c>
      <c r="N252" t="s">
        <v>2841</v>
      </c>
      <c r="O252" t="s">
        <v>2842</v>
      </c>
      <c r="P252" t="s">
        <v>2843</v>
      </c>
      <c r="Q252" t="s">
        <v>2844</v>
      </c>
      <c r="AE252">
        <f t="shared" si="51"/>
        <v>251</v>
      </c>
      <c r="AF252" t="s">
        <v>2845</v>
      </c>
      <c r="AG252" t="s">
        <v>2846</v>
      </c>
      <c r="AH252" t="s">
        <v>2847</v>
      </c>
      <c r="AI252" t="s">
        <v>2848</v>
      </c>
    </row>
    <row r="253" spans="13:35" x14ac:dyDescent="0.2">
      <c r="M253">
        <f t="shared" si="49"/>
        <v>252</v>
      </c>
      <c r="AE253">
        <f t="shared" si="51"/>
        <v>252</v>
      </c>
      <c r="AF253" t="s">
        <v>2849</v>
      </c>
      <c r="AG253" t="s">
        <v>2850</v>
      </c>
      <c r="AH253" t="s">
        <v>2851</v>
      </c>
      <c r="AI253" t="s">
        <v>2852</v>
      </c>
    </row>
    <row r="254" spans="13:35" x14ac:dyDescent="0.2">
      <c r="M254">
        <f t="shared" si="49"/>
        <v>253</v>
      </c>
      <c r="N254" s="25" t="s">
        <v>2853</v>
      </c>
      <c r="O254" s="25" t="s">
        <v>2854</v>
      </c>
      <c r="P254" s="25" t="s">
        <v>2855</v>
      </c>
      <c r="Q254" s="25" t="s">
        <v>2856</v>
      </c>
      <c r="AE254">
        <f t="shared" si="51"/>
        <v>253</v>
      </c>
      <c r="AF254" s="310"/>
    </row>
    <row r="255" spans="13:35" x14ac:dyDescent="0.2">
      <c r="M255">
        <f t="shared" si="49"/>
        <v>254</v>
      </c>
      <c r="N255" t="s">
        <v>2857</v>
      </c>
      <c r="O255" t="s">
        <v>2858</v>
      </c>
      <c r="P255" t="s">
        <v>2859</v>
      </c>
      <c r="Q255" t="s">
        <v>2860</v>
      </c>
    </row>
    <row r="256" spans="13:35" x14ac:dyDescent="0.2">
      <c r="M256">
        <f t="shared" si="49"/>
        <v>255</v>
      </c>
    </row>
    <row r="257" spans="13:17" x14ac:dyDescent="0.2">
      <c r="M257">
        <f t="shared" si="49"/>
        <v>256</v>
      </c>
    </row>
    <row r="258" spans="13:17" x14ac:dyDescent="0.2">
      <c r="M258">
        <f t="shared" si="49"/>
        <v>257</v>
      </c>
    </row>
    <row r="259" spans="13:17" x14ac:dyDescent="0.2">
      <c r="M259">
        <f t="shared" ref="M259:M307" si="52">ROW()-1</f>
        <v>258</v>
      </c>
    </row>
    <row r="260" spans="13:17" x14ac:dyDescent="0.2">
      <c r="M260">
        <f t="shared" si="52"/>
        <v>259</v>
      </c>
    </row>
    <row r="261" spans="13:17" x14ac:dyDescent="0.2">
      <c r="M261">
        <f t="shared" si="52"/>
        <v>260</v>
      </c>
    </row>
    <row r="262" spans="13:17" x14ac:dyDescent="0.2">
      <c r="M262">
        <f t="shared" si="52"/>
        <v>261</v>
      </c>
      <c r="N262" s="25" t="s">
        <v>2800</v>
      </c>
      <c r="O262" t="s">
        <v>2861</v>
      </c>
      <c r="P262" s="25" t="s">
        <v>2802</v>
      </c>
      <c r="Q262" t="s">
        <v>2803</v>
      </c>
    </row>
    <row r="263" spans="13:17" x14ac:dyDescent="0.2">
      <c r="M263">
        <f t="shared" si="52"/>
        <v>262</v>
      </c>
      <c r="N263" t="s">
        <v>2862</v>
      </c>
      <c r="O263" t="s">
        <v>2863</v>
      </c>
      <c r="P263" s="25" t="s">
        <v>2864</v>
      </c>
      <c r="Q263" t="s">
        <v>2865</v>
      </c>
    </row>
    <row r="264" spans="13:17" x14ac:dyDescent="0.2">
      <c r="M264">
        <f t="shared" si="52"/>
        <v>263</v>
      </c>
      <c r="N264" s="25" t="s">
        <v>2866</v>
      </c>
      <c r="O264" t="s">
        <v>2867</v>
      </c>
      <c r="P264" s="25" t="s">
        <v>2868</v>
      </c>
      <c r="Q264" t="s">
        <v>2869</v>
      </c>
    </row>
    <row r="265" spans="13:17" x14ac:dyDescent="0.2">
      <c r="M265">
        <f t="shared" si="52"/>
        <v>264</v>
      </c>
      <c r="N265" t="s">
        <v>2870</v>
      </c>
      <c r="O265" t="s">
        <v>2871</v>
      </c>
      <c r="P265" t="s">
        <v>2872</v>
      </c>
      <c r="Q265" t="s">
        <v>2873</v>
      </c>
    </row>
    <row r="266" spans="13:17" x14ac:dyDescent="0.2">
      <c r="M266">
        <f t="shared" si="52"/>
        <v>265</v>
      </c>
      <c r="N266" t="s">
        <v>2255</v>
      </c>
      <c r="O266" t="s">
        <v>2256</v>
      </c>
      <c r="P266" t="s">
        <v>2257</v>
      </c>
      <c r="Q266" t="s">
        <v>2258</v>
      </c>
    </row>
    <row r="267" spans="13:17" x14ac:dyDescent="0.2">
      <c r="M267">
        <f t="shared" si="52"/>
        <v>266</v>
      </c>
      <c r="N267" t="s">
        <v>2874</v>
      </c>
      <c r="O267" t="s">
        <v>2875</v>
      </c>
      <c r="P267" t="s">
        <v>2876</v>
      </c>
      <c r="Q267" t="s">
        <v>2877</v>
      </c>
    </row>
    <row r="268" spans="13:17" x14ac:dyDescent="0.2">
      <c r="M268">
        <f t="shared" ref="M268:M269" si="53">ROW()-1</f>
        <v>267</v>
      </c>
      <c r="N268" t="s">
        <v>2878</v>
      </c>
      <c r="O268" t="s">
        <v>2879</v>
      </c>
      <c r="P268" t="s">
        <v>2880</v>
      </c>
      <c r="Q268" t="s">
        <v>2881</v>
      </c>
    </row>
    <row r="269" spans="13:17" x14ac:dyDescent="0.2">
      <c r="M269">
        <f t="shared" si="53"/>
        <v>268</v>
      </c>
      <c r="N269" t="s">
        <v>2882</v>
      </c>
      <c r="O269" t="s">
        <v>2883</v>
      </c>
      <c r="P269" t="s">
        <v>2884</v>
      </c>
      <c r="Q269" t="s">
        <v>2885</v>
      </c>
    </row>
    <row r="270" spans="13:17" x14ac:dyDescent="0.2">
      <c r="M270">
        <f>ROW()-1</f>
        <v>269</v>
      </c>
      <c r="N270" t="s">
        <v>2886</v>
      </c>
      <c r="O270" t="s">
        <v>2887</v>
      </c>
      <c r="P270" t="s">
        <v>2888</v>
      </c>
      <c r="Q270" t="s">
        <v>2889</v>
      </c>
    </row>
    <row r="271" spans="13:17" x14ac:dyDescent="0.2">
      <c r="M271">
        <f t="shared" si="52"/>
        <v>270</v>
      </c>
      <c r="N271" t="s">
        <v>2890</v>
      </c>
      <c r="O271" t="s">
        <v>2891</v>
      </c>
      <c r="P271" t="s">
        <v>2892</v>
      </c>
      <c r="Q271" t="s">
        <v>2893</v>
      </c>
    </row>
    <row r="272" spans="13:17" x14ac:dyDescent="0.2">
      <c r="M272">
        <f t="shared" si="52"/>
        <v>271</v>
      </c>
      <c r="N272" t="s">
        <v>2894</v>
      </c>
      <c r="O272" t="s">
        <v>2895</v>
      </c>
      <c r="P272" t="s">
        <v>2896</v>
      </c>
      <c r="Q272" t="s">
        <v>2897</v>
      </c>
    </row>
    <row r="273" spans="13:17" x14ac:dyDescent="0.2">
      <c r="M273">
        <f t="shared" si="52"/>
        <v>272</v>
      </c>
      <c r="N273" t="s">
        <v>2898</v>
      </c>
      <c r="O273" t="s">
        <v>2899</v>
      </c>
      <c r="P273" t="s">
        <v>2900</v>
      </c>
      <c r="Q273" t="s">
        <v>2901</v>
      </c>
    </row>
    <row r="274" spans="13:17" x14ac:dyDescent="0.2">
      <c r="M274">
        <f t="shared" ref="M274:M275" si="54">ROW()-1</f>
        <v>273</v>
      </c>
      <c r="N274" t="s">
        <v>2902</v>
      </c>
      <c r="O274" t="s">
        <v>2903</v>
      </c>
      <c r="P274" t="s">
        <v>2904</v>
      </c>
      <c r="Q274" t="s">
        <v>2905</v>
      </c>
    </row>
    <row r="275" spans="13:17" x14ac:dyDescent="0.2">
      <c r="M275">
        <f t="shared" si="54"/>
        <v>274</v>
      </c>
      <c r="N275" t="s">
        <v>2906</v>
      </c>
      <c r="O275" t="s">
        <v>2907</v>
      </c>
      <c r="P275" t="s">
        <v>2908</v>
      </c>
      <c r="Q275" t="s">
        <v>2909</v>
      </c>
    </row>
    <row r="276" spans="13:17" x14ac:dyDescent="0.2">
      <c r="M276">
        <f t="shared" ref="M276:M287" si="55">ROW()-1</f>
        <v>275</v>
      </c>
      <c r="N276" t="s">
        <v>2910</v>
      </c>
      <c r="O276" t="s">
        <v>2911</v>
      </c>
      <c r="P276" t="s">
        <v>2912</v>
      </c>
      <c r="Q276" t="s">
        <v>2913</v>
      </c>
    </row>
    <row r="277" spans="13:17" x14ac:dyDescent="0.2">
      <c r="M277">
        <f t="shared" si="55"/>
        <v>276</v>
      </c>
      <c r="N277" s="25" t="s">
        <v>2914</v>
      </c>
      <c r="O277" s="25" t="s">
        <v>2914</v>
      </c>
      <c r="P277" s="25" t="s">
        <v>2914</v>
      </c>
      <c r="Q277" s="25" t="s">
        <v>2914</v>
      </c>
    </row>
    <row r="278" spans="13:17" x14ac:dyDescent="0.2">
      <c r="M278">
        <f t="shared" si="55"/>
        <v>277</v>
      </c>
      <c r="N278" s="25" t="s">
        <v>2915</v>
      </c>
      <c r="O278" s="25" t="s">
        <v>2915</v>
      </c>
      <c r="P278" s="25" t="s">
        <v>2915</v>
      </c>
      <c r="Q278" s="25" t="s">
        <v>2915</v>
      </c>
    </row>
    <row r="279" spans="13:17" x14ac:dyDescent="0.2">
      <c r="M279">
        <f t="shared" si="55"/>
        <v>278</v>
      </c>
      <c r="N279" s="25" t="s">
        <v>2916</v>
      </c>
      <c r="O279" s="25" t="s">
        <v>2916</v>
      </c>
      <c r="P279" s="25" t="s">
        <v>2916</v>
      </c>
      <c r="Q279" s="25" t="s">
        <v>2916</v>
      </c>
    </row>
    <row r="280" spans="13:17" x14ac:dyDescent="0.2">
      <c r="M280">
        <f t="shared" si="55"/>
        <v>279</v>
      </c>
      <c r="N280" t="s">
        <v>2917</v>
      </c>
      <c r="O280" t="s">
        <v>3033</v>
      </c>
      <c r="P280" t="s">
        <v>3034</v>
      </c>
      <c r="Q280" t="s">
        <v>3035</v>
      </c>
    </row>
    <row r="281" spans="13:17" x14ac:dyDescent="0.2">
      <c r="M281">
        <f t="shared" si="55"/>
        <v>280</v>
      </c>
      <c r="N281" s="25" t="s">
        <v>2918</v>
      </c>
      <c r="O281" t="s">
        <v>2919</v>
      </c>
      <c r="P281" s="25" t="s">
        <v>2920</v>
      </c>
      <c r="Q281" t="s">
        <v>2921</v>
      </c>
    </row>
    <row r="282" spans="13:17" x14ac:dyDescent="0.2">
      <c r="M282">
        <f t="shared" si="55"/>
        <v>281</v>
      </c>
      <c r="N282" s="25" t="s">
        <v>2922</v>
      </c>
      <c r="O282" t="s">
        <v>2923</v>
      </c>
      <c r="P282" s="25" t="s">
        <v>2924</v>
      </c>
      <c r="Q282" t="s">
        <v>2925</v>
      </c>
    </row>
    <row r="283" spans="13:17" x14ac:dyDescent="0.2">
      <c r="M283">
        <f t="shared" si="55"/>
        <v>282</v>
      </c>
      <c r="N283" s="25" t="s">
        <v>2926</v>
      </c>
      <c r="O283" t="s">
        <v>2927</v>
      </c>
      <c r="P283" s="25" t="s">
        <v>2928</v>
      </c>
      <c r="Q283" t="s">
        <v>2929</v>
      </c>
    </row>
    <row r="284" spans="13:17" x14ac:dyDescent="0.2">
      <c r="M284">
        <f t="shared" si="55"/>
        <v>283</v>
      </c>
      <c r="N284" s="25" t="s">
        <v>2930</v>
      </c>
      <c r="O284" t="s">
        <v>2931</v>
      </c>
      <c r="P284" s="25" t="s">
        <v>2932</v>
      </c>
      <c r="Q284" t="s">
        <v>2933</v>
      </c>
    </row>
    <row r="285" spans="13:17" x14ac:dyDescent="0.2">
      <c r="M285">
        <f t="shared" si="55"/>
        <v>284</v>
      </c>
      <c r="N285" s="25" t="s">
        <v>2934</v>
      </c>
      <c r="O285" t="s">
        <v>2935</v>
      </c>
      <c r="P285" s="25" t="s">
        <v>2936</v>
      </c>
      <c r="Q285" t="s">
        <v>2937</v>
      </c>
    </row>
    <row r="286" spans="13:17" x14ac:dyDescent="0.2">
      <c r="M286">
        <f t="shared" si="55"/>
        <v>285</v>
      </c>
      <c r="N286" s="25" t="s">
        <v>2938</v>
      </c>
      <c r="O286" t="s">
        <v>2939</v>
      </c>
      <c r="P286" s="25" t="s">
        <v>2940</v>
      </c>
      <c r="Q286" t="s">
        <v>2941</v>
      </c>
    </row>
    <row r="287" spans="13:17" x14ac:dyDescent="0.2">
      <c r="M287">
        <f t="shared" si="55"/>
        <v>286</v>
      </c>
      <c r="N287" t="s">
        <v>2942</v>
      </c>
      <c r="O287" t="s">
        <v>2943</v>
      </c>
      <c r="P287" s="25" t="s">
        <v>2944</v>
      </c>
      <c r="Q287" t="s">
        <v>2945</v>
      </c>
    </row>
    <row r="288" spans="13:17" x14ac:dyDescent="0.2">
      <c r="M288">
        <f t="shared" si="52"/>
        <v>287</v>
      </c>
      <c r="N288" t="s">
        <v>2946</v>
      </c>
      <c r="O288" t="s">
        <v>2947</v>
      </c>
      <c r="P288" s="25" t="s">
        <v>2948</v>
      </c>
      <c r="Q288" t="s">
        <v>2949</v>
      </c>
    </row>
    <row r="289" spans="13:17" x14ac:dyDescent="0.2">
      <c r="M289">
        <f t="shared" si="52"/>
        <v>288</v>
      </c>
      <c r="N289" t="s">
        <v>2135</v>
      </c>
      <c r="O289" t="s">
        <v>2136</v>
      </c>
      <c r="P289" t="s">
        <v>2950</v>
      </c>
      <c r="Q289" t="s">
        <v>2138</v>
      </c>
    </row>
    <row r="290" spans="13:17" x14ac:dyDescent="0.2">
      <c r="M290">
        <f t="shared" si="52"/>
        <v>289</v>
      </c>
      <c r="N290" t="s">
        <v>2697</v>
      </c>
      <c r="O290" t="s">
        <v>2698</v>
      </c>
      <c r="P290" t="s">
        <v>2699</v>
      </c>
      <c r="Q290" t="s">
        <v>2700</v>
      </c>
    </row>
    <row r="291" spans="13:17" x14ac:dyDescent="0.2">
      <c r="M291">
        <f t="shared" si="52"/>
        <v>290</v>
      </c>
      <c r="N291" t="s">
        <v>2705</v>
      </c>
      <c r="O291" t="s">
        <v>2706</v>
      </c>
      <c r="P291" t="s">
        <v>2951</v>
      </c>
      <c r="Q291" t="s">
        <v>2952</v>
      </c>
    </row>
    <row r="292" spans="13:17" x14ac:dyDescent="0.2">
      <c r="M292">
        <f t="shared" si="52"/>
        <v>291</v>
      </c>
      <c r="N292" s="25" t="s">
        <v>2953</v>
      </c>
      <c r="O292" t="s">
        <v>2954</v>
      </c>
      <c r="P292" s="25" t="s">
        <v>2955</v>
      </c>
      <c r="Q292" t="s">
        <v>2956</v>
      </c>
    </row>
    <row r="293" spans="13:17" x14ac:dyDescent="0.2">
      <c r="M293">
        <f t="shared" si="52"/>
        <v>292</v>
      </c>
      <c r="N293" t="s">
        <v>2957</v>
      </c>
      <c r="O293" t="s">
        <v>2958</v>
      </c>
      <c r="P293" s="25" t="s">
        <v>2959</v>
      </c>
      <c r="Q293" t="s">
        <v>2960</v>
      </c>
    </row>
    <row r="294" spans="13:17" x14ac:dyDescent="0.2">
      <c r="M294">
        <f t="shared" si="52"/>
        <v>293</v>
      </c>
      <c r="N294" t="s">
        <v>2961</v>
      </c>
      <c r="O294" t="s">
        <v>2962</v>
      </c>
      <c r="P294" s="25" t="s">
        <v>2963</v>
      </c>
      <c r="Q294" t="s">
        <v>2964</v>
      </c>
    </row>
    <row r="295" spans="13:17" x14ac:dyDescent="0.2">
      <c r="M295">
        <f t="shared" si="52"/>
        <v>294</v>
      </c>
    </row>
    <row r="296" spans="13:17" x14ac:dyDescent="0.2">
      <c r="M296">
        <f t="shared" ref="M296:M300" si="56">ROW()-1</f>
        <v>295</v>
      </c>
    </row>
    <row r="297" spans="13:17" x14ac:dyDescent="0.2">
      <c r="M297">
        <f t="shared" si="56"/>
        <v>296</v>
      </c>
    </row>
    <row r="298" spans="13:17" x14ac:dyDescent="0.2">
      <c r="M298">
        <f t="shared" si="56"/>
        <v>297</v>
      </c>
    </row>
    <row r="299" spans="13:17" x14ac:dyDescent="0.2">
      <c r="M299">
        <f t="shared" si="56"/>
        <v>298</v>
      </c>
      <c r="N299" t="s">
        <v>2135</v>
      </c>
      <c r="O299" t="s">
        <v>2136</v>
      </c>
      <c r="P299" t="s">
        <v>2950</v>
      </c>
      <c r="Q299" t="s">
        <v>2138</v>
      </c>
    </row>
    <row r="300" spans="13:17" x14ac:dyDescent="0.2">
      <c r="M300">
        <f t="shared" si="56"/>
        <v>299</v>
      </c>
      <c r="N300" t="s">
        <v>2697</v>
      </c>
      <c r="O300" t="s">
        <v>2698</v>
      </c>
      <c r="P300" t="s">
        <v>2699</v>
      </c>
      <c r="Q300" t="s">
        <v>2700</v>
      </c>
    </row>
    <row r="301" spans="13:17" x14ac:dyDescent="0.2">
      <c r="M301">
        <f t="shared" ref="M301:M305" si="57">ROW()-1</f>
        <v>300</v>
      </c>
      <c r="N301" t="s">
        <v>2705</v>
      </c>
      <c r="O301" t="s">
        <v>2706</v>
      </c>
      <c r="P301" t="s">
        <v>2951</v>
      </c>
      <c r="Q301" t="s">
        <v>2952</v>
      </c>
    </row>
    <row r="302" spans="13:17" x14ac:dyDescent="0.2">
      <c r="M302">
        <f t="shared" si="57"/>
        <v>301</v>
      </c>
    </row>
    <row r="303" spans="13:17" x14ac:dyDescent="0.2">
      <c r="M303">
        <f t="shared" si="57"/>
        <v>302</v>
      </c>
    </row>
    <row r="304" spans="13:17" x14ac:dyDescent="0.2">
      <c r="M304">
        <f t="shared" si="57"/>
        <v>303</v>
      </c>
    </row>
    <row r="305" spans="13:17" x14ac:dyDescent="0.2">
      <c r="M305">
        <f t="shared" si="57"/>
        <v>304</v>
      </c>
    </row>
    <row r="306" spans="13:17" x14ac:dyDescent="0.2">
      <c r="M306">
        <f t="shared" si="52"/>
        <v>305</v>
      </c>
    </row>
    <row r="307" spans="13:17" x14ac:dyDescent="0.2">
      <c r="M307">
        <f t="shared" si="52"/>
        <v>306</v>
      </c>
    </row>
    <row r="308" spans="13:17" x14ac:dyDescent="0.2">
      <c r="M308">
        <f t="shared" ref="M308:M321" si="58">ROW()-1</f>
        <v>307</v>
      </c>
    </row>
    <row r="309" spans="13:17" x14ac:dyDescent="0.2">
      <c r="M309">
        <f t="shared" si="58"/>
        <v>308</v>
      </c>
      <c r="N309" t="s">
        <v>2135</v>
      </c>
      <c r="O309" t="s">
        <v>2136</v>
      </c>
      <c r="P309" t="s">
        <v>2950</v>
      </c>
      <c r="Q309" t="s">
        <v>2138</v>
      </c>
    </row>
    <row r="310" spans="13:17" x14ac:dyDescent="0.2">
      <c r="M310">
        <f t="shared" si="58"/>
        <v>309</v>
      </c>
      <c r="N310" t="s">
        <v>2175</v>
      </c>
      <c r="O310" t="s">
        <v>2176</v>
      </c>
      <c r="P310" s="25" t="s">
        <v>2177</v>
      </c>
      <c r="Q310" t="s">
        <v>2178</v>
      </c>
    </row>
    <row r="311" spans="13:17" x14ac:dyDescent="0.2">
      <c r="M311">
        <f t="shared" si="58"/>
        <v>310</v>
      </c>
      <c r="N311" t="s">
        <v>2705</v>
      </c>
      <c r="O311" t="s">
        <v>2706</v>
      </c>
      <c r="P311" t="s">
        <v>2951</v>
      </c>
      <c r="Q311" t="s">
        <v>2952</v>
      </c>
    </row>
    <row r="312" spans="13:17" x14ac:dyDescent="0.2">
      <c r="M312">
        <f t="shared" si="58"/>
        <v>311</v>
      </c>
      <c r="N312" t="s">
        <v>2965</v>
      </c>
      <c r="O312" t="s">
        <v>2966</v>
      </c>
      <c r="P312" t="s">
        <v>2967</v>
      </c>
      <c r="Q312" t="s">
        <v>2968</v>
      </c>
    </row>
    <row r="313" spans="13:17" x14ac:dyDescent="0.2">
      <c r="M313">
        <f t="shared" si="58"/>
        <v>312</v>
      </c>
    </row>
    <row r="314" spans="13:17" x14ac:dyDescent="0.2">
      <c r="M314">
        <f t="shared" si="58"/>
        <v>313</v>
      </c>
    </row>
    <row r="315" spans="13:17" x14ac:dyDescent="0.2">
      <c r="M315">
        <f t="shared" si="58"/>
        <v>314</v>
      </c>
    </row>
    <row r="316" spans="13:17" x14ac:dyDescent="0.2">
      <c r="M316">
        <f t="shared" si="58"/>
        <v>315</v>
      </c>
    </row>
    <row r="317" spans="13:17" x14ac:dyDescent="0.2">
      <c r="M317">
        <f t="shared" si="58"/>
        <v>316</v>
      </c>
    </row>
    <row r="318" spans="13:17" x14ac:dyDescent="0.2">
      <c r="M318">
        <f t="shared" si="58"/>
        <v>317</v>
      </c>
    </row>
    <row r="319" spans="13:17" x14ac:dyDescent="0.2">
      <c r="M319">
        <f t="shared" si="58"/>
        <v>318</v>
      </c>
      <c r="N319" t="s">
        <v>2135</v>
      </c>
      <c r="O319" t="s">
        <v>2136</v>
      </c>
      <c r="P319" t="s">
        <v>2950</v>
      </c>
      <c r="Q319" t="s">
        <v>2138</v>
      </c>
    </row>
    <row r="320" spans="13:17" x14ac:dyDescent="0.2">
      <c r="M320">
        <f t="shared" si="58"/>
        <v>319</v>
      </c>
      <c r="N320" t="s">
        <v>2179</v>
      </c>
      <c r="O320" t="s">
        <v>2180</v>
      </c>
      <c r="P320" t="s">
        <v>2181</v>
      </c>
      <c r="Q320" t="s">
        <v>2182</v>
      </c>
    </row>
    <row r="321" spans="13:17" x14ac:dyDescent="0.2">
      <c r="M321">
        <f t="shared" si="58"/>
        <v>320</v>
      </c>
      <c r="N321" t="s">
        <v>2969</v>
      </c>
      <c r="O321" t="s">
        <v>2212</v>
      </c>
      <c r="P321" t="s">
        <v>2970</v>
      </c>
      <c r="Q321" t="s">
        <v>2971</v>
      </c>
    </row>
    <row r="322" spans="13:17" x14ac:dyDescent="0.2">
      <c r="M322">
        <f t="shared" ref="M322:M334" si="59">ROW()-1</f>
        <v>321</v>
      </c>
      <c r="N322" s="394" t="s">
        <v>2972</v>
      </c>
      <c r="O322" s="394" t="s">
        <v>2954</v>
      </c>
      <c r="P322" s="396" t="s">
        <v>2955</v>
      </c>
      <c r="Q322" s="395" t="s">
        <v>2956</v>
      </c>
    </row>
    <row r="323" spans="13:17" x14ac:dyDescent="0.2">
      <c r="M323">
        <f t="shared" si="59"/>
        <v>322</v>
      </c>
      <c r="N323" t="s">
        <v>2973</v>
      </c>
      <c r="O323" t="s">
        <v>2974</v>
      </c>
      <c r="P323" t="s">
        <v>2975</v>
      </c>
      <c r="Q323" t="s">
        <v>2976</v>
      </c>
    </row>
    <row r="324" spans="13:17" x14ac:dyDescent="0.2">
      <c r="M324">
        <f t="shared" si="59"/>
        <v>323</v>
      </c>
      <c r="N324" s="394" t="s">
        <v>2977</v>
      </c>
      <c r="O324" s="394" t="s">
        <v>2978</v>
      </c>
      <c r="P324" s="394" t="s">
        <v>2979</v>
      </c>
      <c r="Q324" s="395" t="s">
        <v>2980</v>
      </c>
    </row>
    <row r="325" spans="13:17" x14ac:dyDescent="0.2">
      <c r="M325">
        <f t="shared" si="59"/>
        <v>324</v>
      </c>
      <c r="N325" t="s">
        <v>2981</v>
      </c>
      <c r="O325" t="s">
        <v>2982</v>
      </c>
      <c r="P325" t="s">
        <v>2983</v>
      </c>
      <c r="Q325" t="s">
        <v>2984</v>
      </c>
    </row>
    <row r="326" spans="13:17" x14ac:dyDescent="0.2">
      <c r="M326">
        <f t="shared" si="59"/>
        <v>325</v>
      </c>
      <c r="N326" s="394" t="s">
        <v>2985</v>
      </c>
      <c r="O326" s="394" t="s">
        <v>2986</v>
      </c>
      <c r="P326" s="394" t="s">
        <v>2987</v>
      </c>
      <c r="Q326" s="395" t="s">
        <v>2988</v>
      </c>
    </row>
    <row r="327" spans="13:17" x14ac:dyDescent="0.2">
      <c r="M327">
        <f t="shared" si="59"/>
        <v>326</v>
      </c>
      <c r="N327" t="s">
        <v>2989</v>
      </c>
      <c r="O327" t="s">
        <v>2990</v>
      </c>
      <c r="P327" s="25" t="s">
        <v>2991</v>
      </c>
      <c r="Q327" t="s">
        <v>2992</v>
      </c>
    </row>
    <row r="328" spans="13:17" x14ac:dyDescent="0.2">
      <c r="M328">
        <f t="shared" si="59"/>
        <v>327</v>
      </c>
    </row>
    <row r="329" spans="13:17" x14ac:dyDescent="0.2">
      <c r="M329">
        <f t="shared" si="59"/>
        <v>328</v>
      </c>
      <c r="N329" t="s">
        <v>2993</v>
      </c>
      <c r="O329" t="s">
        <v>2994</v>
      </c>
      <c r="P329" t="s">
        <v>2995</v>
      </c>
      <c r="Q329" t="s">
        <v>2996</v>
      </c>
    </row>
    <row r="330" spans="13:17" x14ac:dyDescent="0.2">
      <c r="M330">
        <f t="shared" si="59"/>
        <v>329</v>
      </c>
      <c r="N330" t="s">
        <v>2997</v>
      </c>
      <c r="O330" t="s">
        <v>2998</v>
      </c>
      <c r="P330" t="s">
        <v>2999</v>
      </c>
      <c r="Q330" t="s">
        <v>3000</v>
      </c>
    </row>
    <row r="331" spans="13:17" x14ac:dyDescent="0.2">
      <c r="M331">
        <f t="shared" si="59"/>
        <v>330</v>
      </c>
    </row>
    <row r="332" spans="13:17" x14ac:dyDescent="0.2">
      <c r="M332">
        <f t="shared" si="59"/>
        <v>331</v>
      </c>
    </row>
    <row r="333" spans="13:17" x14ac:dyDescent="0.2">
      <c r="M333">
        <f t="shared" si="59"/>
        <v>332</v>
      </c>
    </row>
    <row r="334" spans="13:17" x14ac:dyDescent="0.2">
      <c r="M334">
        <f t="shared" si="59"/>
        <v>333</v>
      </c>
    </row>
    <row r="335" spans="13:17" x14ac:dyDescent="0.2">
      <c r="M335">
        <f t="shared" ref="M335:M340" si="60">ROW()-1</f>
        <v>334</v>
      </c>
    </row>
    <row r="336" spans="13:17" x14ac:dyDescent="0.2">
      <c r="M336">
        <f t="shared" si="60"/>
        <v>335</v>
      </c>
    </row>
    <row r="337" spans="13:17" x14ac:dyDescent="0.2">
      <c r="M337">
        <f t="shared" si="60"/>
        <v>336</v>
      </c>
    </row>
    <row r="338" spans="13:17" x14ac:dyDescent="0.2">
      <c r="M338">
        <f t="shared" si="60"/>
        <v>337</v>
      </c>
    </row>
    <row r="339" spans="13:17" x14ac:dyDescent="0.2">
      <c r="M339">
        <f t="shared" si="60"/>
        <v>338</v>
      </c>
      <c r="N339" t="s">
        <v>3001</v>
      </c>
      <c r="O339" t="s">
        <v>3002</v>
      </c>
      <c r="P339" t="s">
        <v>3003</v>
      </c>
      <c r="Q339" t="s">
        <v>3004</v>
      </c>
    </row>
    <row r="340" spans="13:17" x14ac:dyDescent="0.2">
      <c r="M340">
        <f t="shared" si="60"/>
        <v>339</v>
      </c>
      <c r="N340" t="s">
        <v>3005</v>
      </c>
      <c r="O340" t="s">
        <v>3006</v>
      </c>
      <c r="P340" t="s">
        <v>3007</v>
      </c>
      <c r="Q340" t="s">
        <v>3008</v>
      </c>
    </row>
    <row r="341" spans="13:17" x14ac:dyDescent="0.2">
      <c r="M341">
        <f t="shared" ref="M341:M345" si="61">ROW()-1</f>
        <v>340</v>
      </c>
      <c r="N341" t="s">
        <v>3009</v>
      </c>
      <c r="O341" t="s">
        <v>3010</v>
      </c>
      <c r="P341" t="s">
        <v>3011</v>
      </c>
      <c r="Q341" t="s">
        <v>3012</v>
      </c>
    </row>
    <row r="342" spans="13:17" x14ac:dyDescent="0.2">
      <c r="M342">
        <f t="shared" si="61"/>
        <v>341</v>
      </c>
      <c r="N342" t="s">
        <v>3013</v>
      </c>
      <c r="O342" t="s">
        <v>3014</v>
      </c>
      <c r="P342" t="s">
        <v>3015</v>
      </c>
      <c r="Q342" t="s">
        <v>3016</v>
      </c>
    </row>
    <row r="343" spans="13:17" x14ac:dyDescent="0.2">
      <c r="M343">
        <f>ROW()-1</f>
        <v>342</v>
      </c>
      <c r="N343" t="s">
        <v>3017</v>
      </c>
      <c r="O343" t="s">
        <v>3018</v>
      </c>
      <c r="P343" t="s">
        <v>3019</v>
      </c>
      <c r="Q343" t="s">
        <v>3020</v>
      </c>
    </row>
    <row r="344" spans="13:17" x14ac:dyDescent="0.2">
      <c r="M344">
        <f>ROW()-1</f>
        <v>343</v>
      </c>
      <c r="N344" t="s">
        <v>3021</v>
      </c>
      <c r="O344" t="s">
        <v>3022</v>
      </c>
      <c r="P344" s="25" t="s">
        <v>3023</v>
      </c>
      <c r="Q344" t="s">
        <v>3024</v>
      </c>
    </row>
    <row r="345" spans="13:17" x14ac:dyDescent="0.2">
      <c r="M345">
        <f t="shared" si="61"/>
        <v>344</v>
      </c>
      <c r="N345" t="s">
        <v>3025</v>
      </c>
      <c r="O345" t="s">
        <v>3026</v>
      </c>
      <c r="P345" s="25" t="s">
        <v>3027</v>
      </c>
      <c r="Q345" t="s">
        <v>3028</v>
      </c>
    </row>
    <row r="346" spans="13:17" x14ac:dyDescent="0.2">
      <c r="M346">
        <v>345</v>
      </c>
      <c r="N346" t="s">
        <v>3029</v>
      </c>
      <c r="O346" t="s">
        <v>3030</v>
      </c>
      <c r="P346" s="25" t="s">
        <v>3031</v>
      </c>
      <c r="Q346" t="s">
        <v>3032</v>
      </c>
    </row>
    <row r="347" spans="13:17" x14ac:dyDescent="0.2">
      <c r="M347">
        <f>ROW()-1</f>
        <v>346</v>
      </c>
    </row>
  </sheetData>
  <sheetProtection algorithmName="SHA-512" hashValue="XVK3bGkIInhJ1MJhvxX2jCbQu7nKO29Tiqse+k6JmzrsfRuk9hOHJEPICpgknVLoWU3XxUpSrgSAZhYqwCW6vA==" saltValue="Y93FE/KlDlR0f2/8IP9b2A==" spinCount="100000" sheet="1" objects="1" scenarios="1"/>
  <dataValidations disablePrompts="1" count="1">
    <dataValidation allowBlank="1" showInputMessage="1" showErrorMessage="1" sqref="F2" xr:uid="{00000000-0002-0000-0C00-000000000000}"/>
  </dataValidations>
  <pageMargins left="0.7" right="0.7" top="0.78740157499999996" bottom="0.78740157499999996" header="0.3" footer="0.3"/>
  <pageSetup paperSize="9"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3">
    <tabColor rgb="FF004976"/>
  </sheetPr>
  <dimension ref="A1:CK360"/>
  <sheetViews>
    <sheetView showGridLines="0" showRowColHeaders="0" zoomScaleNormal="100" workbookViewId="0">
      <pane xSplit="7" topLeftCell="H1" activePane="topRight" state="frozen"/>
      <selection activeCell="J349" sqref="J349"/>
      <selection pane="topRight" activeCell="B3" sqref="B3:C3"/>
    </sheetView>
  </sheetViews>
  <sheetFormatPr baseColWidth="10" defaultColWidth="10.85546875" defaultRowHeight="12.6" customHeight="1" x14ac:dyDescent="0.2"/>
  <cols>
    <col min="1" max="1" width="2.42578125" style="56" customWidth="1"/>
    <col min="2" max="2" width="2.42578125" style="1" customWidth="1"/>
    <col min="3" max="3" width="52.5703125" style="1" customWidth="1"/>
    <col min="4" max="4" width="26.85546875" style="1" bestFit="1" customWidth="1"/>
    <col min="5" max="5" width="11.85546875" style="162" customWidth="1"/>
    <col min="6" max="6" width="14.140625" style="9" customWidth="1"/>
    <col min="7" max="7" width="2.42578125" style="34" customWidth="1"/>
    <col min="8" max="19" width="12" style="9" customWidth="1"/>
    <col min="20" max="23" width="12" style="11" customWidth="1"/>
    <col min="24" max="24" width="12" style="272" customWidth="1"/>
    <col min="25" max="25" width="12" style="11" customWidth="1"/>
    <col min="26" max="26" width="12" style="8" customWidth="1"/>
    <col min="27" max="89" width="12" style="9" customWidth="1"/>
    <col min="90" max="16384" width="10.85546875" style="1"/>
  </cols>
  <sheetData>
    <row r="1" spans="1:89" ht="12.6" customHeight="1" x14ac:dyDescent="0.2">
      <c r="X1" s="269"/>
    </row>
    <row r="2" spans="1:89" s="97" customFormat="1" ht="26.1" customHeight="1" x14ac:dyDescent="0.2">
      <c r="A2" s="53"/>
      <c r="B2" s="406" t="str">
        <f>UPPER(RIGHT(Inhaltsverzeichnis!$C$7,LEN(Inhaltsverzeichnis!$C$7)-FIND(" – ",Inhaltsverzeichnis!$C$7,1)-2))</f>
        <v>ALLGEMEINE STANDARDANGABEN</v>
      </c>
      <c r="C2" s="406"/>
      <c r="D2" s="402" t="str">
        <f>VLOOKUP(35,Textbausteine_Menu[],Hilfsgrössen!$D$2,FALSE)</f>
        <v>zurück zum Inhaltsverzeichnis</v>
      </c>
      <c r="E2" s="403"/>
      <c r="F2" s="91" t="s">
        <v>0</v>
      </c>
      <c r="G2" s="104"/>
      <c r="H2" s="67"/>
      <c r="I2" s="67"/>
      <c r="J2" s="67"/>
      <c r="K2" s="67"/>
      <c r="L2" s="67"/>
      <c r="M2" s="67"/>
      <c r="N2" s="67"/>
      <c r="O2" s="67"/>
      <c r="P2" s="67"/>
      <c r="Q2" s="67"/>
      <c r="R2" s="67"/>
      <c r="S2" s="67"/>
      <c r="T2" s="70"/>
      <c r="U2" s="70"/>
      <c r="V2" s="70"/>
      <c r="W2" s="70"/>
      <c r="X2" s="269"/>
      <c r="Y2" s="70"/>
      <c r="Z2" s="35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row>
    <row r="3" spans="1:89" s="98" customFormat="1" ht="26.1" customHeight="1" x14ac:dyDescent="0.2">
      <c r="A3" s="54"/>
      <c r="B3" s="407" t="str">
        <f>UPPER("GRI "&amp;LEFT(Inhaltsverzeichnis!$C$7,3))</f>
        <v>GRI 102</v>
      </c>
      <c r="C3" s="407"/>
      <c r="E3" s="160"/>
      <c r="F3" s="27"/>
      <c r="G3" s="32"/>
      <c r="H3" s="27"/>
      <c r="I3" s="27"/>
      <c r="J3" s="27"/>
      <c r="K3" s="27"/>
      <c r="L3" s="27"/>
      <c r="M3" s="27"/>
      <c r="N3" s="27"/>
      <c r="O3" s="27"/>
      <c r="P3" s="27"/>
      <c r="Q3" s="27"/>
      <c r="R3" s="27"/>
      <c r="S3" s="27"/>
      <c r="T3" s="71"/>
      <c r="U3" s="71"/>
      <c r="V3" s="71"/>
      <c r="W3" s="71"/>
      <c r="X3" s="270"/>
      <c r="Y3" s="71"/>
      <c r="Z3" s="358"/>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row>
    <row r="6" spans="1:89" s="6" customFormat="1" ht="12.6" customHeight="1" x14ac:dyDescent="0.2">
      <c r="A6" s="55"/>
      <c r="B6" s="6" t="str">
        <f>VLOOKUP(31,Textbausteine_Menu[],Hilfsgrössen!$D$2,FALSE)</f>
        <v>Offenlegungen</v>
      </c>
      <c r="E6" s="161"/>
      <c r="F6" s="28"/>
      <c r="G6" s="33"/>
      <c r="H6" s="28"/>
      <c r="I6" s="28"/>
      <c r="J6" s="28"/>
      <c r="K6" s="28"/>
      <c r="L6" s="28"/>
      <c r="M6" s="28"/>
      <c r="N6" s="28"/>
      <c r="O6" s="28"/>
      <c r="P6" s="28"/>
      <c r="Q6" s="28"/>
      <c r="R6" s="28"/>
      <c r="S6" s="28"/>
      <c r="T6" s="7"/>
      <c r="U6" s="7"/>
      <c r="V6" s="7"/>
      <c r="W6" s="7"/>
      <c r="X6" s="271"/>
      <c r="Y6" s="7"/>
      <c r="Z6" s="359"/>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row>
    <row r="7" spans="1:89" ht="12.6" customHeight="1" x14ac:dyDescent="0.2">
      <c r="B7" s="2"/>
      <c r="C7" s="93" t="str">
        <f>VLOOKUP(1,Textbausteine_102[],Hilfsgrössen!$D$2,FALSE)</f>
        <v>Marktanteile</v>
      </c>
      <c r="D7" s="4"/>
    </row>
    <row r="8" spans="1:89" ht="12.6" customHeight="1" x14ac:dyDescent="0.2">
      <c r="B8" s="2"/>
      <c r="C8" s="93" t="str">
        <f>VLOOKUP(2,Textbausteine_102[],Hilfsgrössen!$D$2,FALSE)</f>
        <v>Finanzierung</v>
      </c>
      <c r="D8" s="4"/>
    </row>
    <row r="9" spans="1:89" ht="12.6" customHeight="1" x14ac:dyDescent="0.2">
      <c r="B9" s="2"/>
      <c r="C9" s="93" t="str">
        <f>VLOOKUP(3,Textbausteine_102[],Hilfsgrössen!$D$2,FALSE)</f>
        <v>Cashflow und Investitionen</v>
      </c>
      <c r="D9" s="4"/>
    </row>
    <row r="10" spans="1:89" ht="12.6" customHeight="1" x14ac:dyDescent="0.2">
      <c r="B10" s="2"/>
      <c r="C10" s="93" t="str">
        <f>VLOOKUP(4,Textbausteine_102[],Hilfsgrössen!$D$2,FALSE)</f>
        <v>Mengenentwicklung</v>
      </c>
      <c r="D10" s="4"/>
    </row>
    <row r="11" spans="1:89" ht="12.6" customHeight="1" x14ac:dyDescent="0.2">
      <c r="B11" s="2"/>
      <c r="C11" s="93" t="str">
        <f>VLOOKUP(5,Textbausteine_102[],Hilfsgrössen!$D$2,FALSE)</f>
        <v>Volumen Zahlungsverkehr</v>
      </c>
      <c r="D11" s="4"/>
    </row>
    <row r="12" spans="1:89" ht="12.6" customHeight="1" x14ac:dyDescent="0.2">
      <c r="B12" s="2"/>
      <c r="C12" s="93" t="str">
        <f>VLOOKUP(6,Textbausteine_102[],Hilfsgrössen!$D$2,FALSE)</f>
        <v>Personalbestand</v>
      </c>
      <c r="D12" s="4"/>
    </row>
    <row r="13" spans="1:89" ht="12.6" customHeight="1" x14ac:dyDescent="0.2">
      <c r="B13" s="2"/>
      <c r="C13" s="93" t="str">
        <f>VLOOKUP(7,Textbausteine_102[],Hilfsgrössen!$D$2,FALSE)</f>
        <v>Geschlechterverteilung</v>
      </c>
      <c r="D13" s="4"/>
    </row>
    <row r="14" spans="1:89" ht="12.6" customHeight="1" x14ac:dyDescent="0.2">
      <c r="B14" s="2"/>
      <c r="C14" s="93" t="str">
        <f>VLOOKUP(8,Textbausteine_102[],Hilfsgrössen!$D$2,FALSE)</f>
        <v>Teilzeit</v>
      </c>
      <c r="D14" s="4"/>
    </row>
    <row r="15" spans="1:89" ht="12.6" customHeight="1" x14ac:dyDescent="0.2">
      <c r="B15" s="2"/>
      <c r="C15" s="93" t="str">
        <f>VLOOKUP(9,Textbausteine_102[],Hilfsgrössen!$D$2,FALSE)</f>
        <v>Anstellungsverhältnisse</v>
      </c>
      <c r="D15" s="4"/>
      <c r="E15" s="161"/>
      <c r="F15" s="28"/>
      <c r="G15" s="33"/>
    </row>
    <row r="16" spans="1:89" ht="12.6" customHeight="1" x14ac:dyDescent="0.2">
      <c r="B16" s="2"/>
      <c r="C16" s="93" t="str">
        <f>VLOOKUP(10,Textbausteine_102[],Hilfsgrössen!$D$2,FALSE)</f>
        <v>Lieferkette</v>
      </c>
      <c r="D16" s="4"/>
      <c r="E16" s="161"/>
      <c r="F16" s="28"/>
      <c r="G16" s="33"/>
    </row>
    <row r="17" spans="1:89" ht="12.6" customHeight="1" x14ac:dyDescent="0.2">
      <c r="B17" s="2"/>
      <c r="C17" s="93" t="str">
        <f>VLOOKUP(11,Textbausteine_102[],Hilfsgrössen!$D$2,FALSE)</f>
        <v>Kundenzufriedenheit</v>
      </c>
      <c r="D17" s="4"/>
    </row>
    <row r="18" spans="1:89" ht="12.6" customHeight="1" x14ac:dyDescent="0.2">
      <c r="B18" s="2"/>
    </row>
    <row r="19" spans="1:89" ht="12.6" customHeight="1" x14ac:dyDescent="0.2">
      <c r="B19" s="2"/>
    </row>
    <row r="20" spans="1:89" s="78" customFormat="1" ht="12.6" customHeight="1" x14ac:dyDescent="0.2">
      <c r="A20" s="43" t="s">
        <v>27</v>
      </c>
      <c r="B20" s="401" t="str">
        <f>$C$7</f>
        <v>Marktanteile</v>
      </c>
      <c r="C20" s="401"/>
      <c r="D20" s="78" t="str">
        <f>VLOOKUP(32,Textbausteine_Menu[],Hilfsgrössen!$D$2,FALSE)</f>
        <v>Einheit</v>
      </c>
      <c r="E20" s="163" t="str">
        <f>VLOOKUP(33,Textbausteine_Menu[],Hilfsgrössen!$D$2,FALSE)</f>
        <v>Fussnoten</v>
      </c>
      <c r="F20" s="28" t="str">
        <f>VLOOKUP(34,Textbausteine_Menu[],Hilfsgrössen!$D$2,FALSE)</f>
        <v>GRI</v>
      </c>
      <c r="G20" s="33"/>
      <c r="H20" s="72">
        <v>2004</v>
      </c>
      <c r="I20" s="72">
        <v>2005</v>
      </c>
      <c r="J20" s="72">
        <v>2006</v>
      </c>
      <c r="K20" s="72">
        <v>2007</v>
      </c>
      <c r="L20" s="72">
        <v>2008</v>
      </c>
      <c r="M20" s="72">
        <v>2009</v>
      </c>
      <c r="N20" s="72">
        <v>2010</v>
      </c>
      <c r="O20" s="72">
        <v>2011</v>
      </c>
      <c r="P20" s="72">
        <v>2012</v>
      </c>
      <c r="Q20" s="72">
        <v>2013</v>
      </c>
      <c r="R20" s="72">
        <v>2014</v>
      </c>
      <c r="S20" s="72">
        <v>2015</v>
      </c>
      <c r="T20" s="74">
        <v>2016</v>
      </c>
      <c r="U20" s="74">
        <v>2017</v>
      </c>
      <c r="V20" s="74">
        <v>2018</v>
      </c>
      <c r="W20" s="74">
        <v>2019</v>
      </c>
      <c r="X20" s="273">
        <v>2020</v>
      </c>
      <c r="Y20" s="147">
        <v>2021</v>
      </c>
      <c r="Z20" s="360"/>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row>
    <row r="21" spans="1:89" s="42" customFormat="1" ht="12.6" customHeight="1" x14ac:dyDescent="0.2">
      <c r="A21" s="57"/>
      <c r="B21" s="401"/>
      <c r="C21" s="401"/>
      <c r="E21" s="161"/>
      <c r="F21" s="28"/>
      <c r="G21" s="34"/>
      <c r="H21" s="73"/>
      <c r="I21" s="73"/>
      <c r="J21" s="73"/>
      <c r="K21" s="73"/>
      <c r="L21" s="73"/>
      <c r="M21" s="73"/>
      <c r="N21" s="73"/>
      <c r="O21" s="73"/>
      <c r="P21" s="73"/>
      <c r="Q21" s="73"/>
      <c r="R21" s="73"/>
      <c r="S21" s="73"/>
      <c r="T21" s="75"/>
      <c r="U21" s="75"/>
      <c r="V21" s="75"/>
      <c r="W21" s="75"/>
      <c r="X21" s="274"/>
      <c r="Y21" s="312"/>
      <c r="Z21" s="361"/>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row>
    <row r="22" spans="1:89" ht="12.6" customHeight="1" x14ac:dyDescent="0.2">
      <c r="B22" s="2"/>
      <c r="E22" s="164"/>
      <c r="G22" s="33"/>
      <c r="Y22" s="313"/>
    </row>
    <row r="23" spans="1:89" ht="12.6" customHeight="1" x14ac:dyDescent="0.2">
      <c r="B23" s="2" t="str">
        <f>VLOOKUP(45,Textbausteine_Menu[],Hilfsgrössen!$D$2,FALSE)</f>
        <v>Logistik-Services</v>
      </c>
      <c r="E23" s="164"/>
      <c r="T23" s="9"/>
      <c r="U23" s="9"/>
      <c r="V23" s="9"/>
      <c r="W23" s="9"/>
      <c r="X23" s="307"/>
      <c r="Y23" s="314"/>
    </row>
    <row r="24" spans="1:89" ht="12.6" customHeight="1" x14ac:dyDescent="0.2">
      <c r="B24" s="2"/>
      <c r="C24" s="1" t="str">
        <f>VLOOKUP(41,Textbausteine_102[],Hilfsgrössen!$D$2,FALSE)</f>
        <v>Import und Export von Mail</v>
      </c>
      <c r="D24" s="1" t="str">
        <f>VLOOKUP(21,Textbausteine_102[],Hilfsgrössen!$D$2,FALSE)</f>
        <v>%</v>
      </c>
      <c r="E24" s="164" t="s">
        <v>28</v>
      </c>
      <c r="F24" s="9" t="s">
        <v>29</v>
      </c>
      <c r="G24" s="103"/>
      <c r="H24" s="226" t="s">
        <v>30</v>
      </c>
      <c r="I24" s="226" t="s">
        <v>30</v>
      </c>
      <c r="J24" s="212">
        <v>83</v>
      </c>
      <c r="K24" s="198">
        <v>82</v>
      </c>
      <c r="L24" s="198">
        <v>82</v>
      </c>
      <c r="M24" s="198">
        <v>85</v>
      </c>
      <c r="N24" s="198">
        <v>85</v>
      </c>
      <c r="O24" s="198">
        <v>86</v>
      </c>
      <c r="P24" s="198">
        <v>86</v>
      </c>
      <c r="Q24" s="198">
        <v>85</v>
      </c>
      <c r="R24" s="198">
        <v>84</v>
      </c>
      <c r="S24" s="198">
        <v>83</v>
      </c>
      <c r="T24" s="198">
        <v>83</v>
      </c>
      <c r="U24" s="198">
        <v>82</v>
      </c>
      <c r="V24" s="198">
        <v>81</v>
      </c>
      <c r="W24" s="198">
        <v>80</v>
      </c>
      <c r="X24" s="275">
        <v>80</v>
      </c>
      <c r="Y24" s="323">
        <v>80</v>
      </c>
      <c r="Z24" s="335"/>
    </row>
    <row r="25" spans="1:89" ht="12.6" customHeight="1" x14ac:dyDescent="0.2">
      <c r="B25" s="2"/>
      <c r="C25" s="105" t="str">
        <f>VLOOKUP(42,Textbausteine_102[],Hilfsgrössen!$D$2,FALSE)</f>
        <v>Pakete</v>
      </c>
      <c r="D25" s="1" t="str">
        <f>VLOOKUP(21,Textbausteine_102[],Hilfsgrössen!$D$2,FALSE)</f>
        <v>%</v>
      </c>
      <c r="E25" s="164"/>
      <c r="F25" s="9" t="s">
        <v>29</v>
      </c>
      <c r="H25" s="102" t="s">
        <v>30</v>
      </c>
      <c r="I25" s="102">
        <v>74</v>
      </c>
      <c r="J25" s="102">
        <v>74</v>
      </c>
      <c r="K25" s="9">
        <v>74</v>
      </c>
      <c r="L25" s="9">
        <v>74</v>
      </c>
      <c r="M25" s="11">
        <v>74</v>
      </c>
      <c r="N25" s="11">
        <v>75</v>
      </c>
      <c r="O25" s="9">
        <v>75</v>
      </c>
      <c r="P25" s="9">
        <v>76</v>
      </c>
      <c r="Q25" s="9">
        <v>76</v>
      </c>
      <c r="R25" s="9">
        <v>76</v>
      </c>
      <c r="S25" s="9">
        <v>76.900000000000006</v>
      </c>
      <c r="T25" s="9">
        <v>77.900000000000006</v>
      </c>
      <c r="U25" s="9">
        <v>78.400000000000006</v>
      </c>
      <c r="V25" s="9">
        <v>79</v>
      </c>
      <c r="W25" s="9">
        <v>79.2</v>
      </c>
      <c r="X25" s="307">
        <v>79.900000000000006</v>
      </c>
      <c r="Y25" s="314">
        <v>79.3</v>
      </c>
      <c r="Z25" s="335"/>
    </row>
    <row r="26" spans="1:89" ht="12.6" customHeight="1" x14ac:dyDescent="0.2">
      <c r="C26" s="1" t="str">
        <f>VLOOKUP(43,Textbausteine_102[],Hilfsgrössen!$D$2,FALSE)</f>
        <v>Import und Export von Kurier, Express und Pakete</v>
      </c>
      <c r="D26" s="1" t="str">
        <f>VLOOKUP(21,Textbausteine_102[],Hilfsgrössen!$D$2,FALSE)</f>
        <v>%</v>
      </c>
      <c r="E26" s="164" t="s">
        <v>31</v>
      </c>
      <c r="F26" s="9" t="s">
        <v>29</v>
      </c>
      <c r="G26" s="103"/>
      <c r="H26" s="102" t="s">
        <v>30</v>
      </c>
      <c r="I26" s="102" t="s">
        <v>30</v>
      </c>
      <c r="J26" s="11">
        <v>47</v>
      </c>
      <c r="K26" s="11">
        <v>47</v>
      </c>
      <c r="L26" s="11">
        <v>46</v>
      </c>
      <c r="M26" s="11">
        <v>46</v>
      </c>
      <c r="N26" s="11">
        <v>45</v>
      </c>
      <c r="O26" s="9">
        <v>42</v>
      </c>
      <c r="P26" s="9">
        <v>45</v>
      </c>
      <c r="Q26" s="9">
        <v>18</v>
      </c>
      <c r="R26" s="9">
        <v>17</v>
      </c>
      <c r="S26" s="9">
        <v>18.5</v>
      </c>
      <c r="T26" s="9">
        <v>19.399999999999999</v>
      </c>
      <c r="U26" s="9">
        <v>18.5</v>
      </c>
      <c r="V26" s="9">
        <v>18</v>
      </c>
      <c r="W26" s="9">
        <v>19</v>
      </c>
      <c r="X26" s="307">
        <v>20</v>
      </c>
      <c r="Y26" s="314">
        <v>20</v>
      </c>
      <c r="Z26" s="335"/>
    </row>
    <row r="27" spans="1:89" ht="12.6" customHeight="1" x14ac:dyDescent="0.2">
      <c r="C27" s="13"/>
      <c r="E27" s="164"/>
      <c r="H27" s="11"/>
      <c r="I27" s="11"/>
      <c r="J27" s="11"/>
      <c r="K27" s="11"/>
      <c r="L27" s="11"/>
      <c r="M27" s="11"/>
      <c r="N27" s="11"/>
      <c r="T27" s="9"/>
      <c r="U27" s="9"/>
      <c r="V27" s="9"/>
      <c r="W27" s="9"/>
      <c r="X27" s="307"/>
      <c r="Y27" s="314"/>
      <c r="Z27" s="335"/>
    </row>
    <row r="28" spans="1:89" ht="12.6" customHeight="1" x14ac:dyDescent="0.2">
      <c r="B28" s="2" t="str">
        <f>VLOOKUP(48,Textbausteine_Menu[],Hilfsgrössen!$D$2,FALSE)</f>
        <v>Kommunikations-Services</v>
      </c>
      <c r="E28" s="397">
        <v>9</v>
      </c>
      <c r="F28" s="9" t="s">
        <v>29</v>
      </c>
      <c r="H28" s="102" t="s">
        <v>30</v>
      </c>
      <c r="I28" s="102" t="s">
        <v>30</v>
      </c>
      <c r="J28" s="102" t="s">
        <v>30</v>
      </c>
      <c r="K28" s="102" t="s">
        <v>30</v>
      </c>
      <c r="L28" s="102" t="s">
        <v>30</v>
      </c>
      <c r="M28" s="102" t="s">
        <v>30</v>
      </c>
      <c r="N28" s="102" t="s">
        <v>30</v>
      </c>
      <c r="O28" s="102" t="s">
        <v>30</v>
      </c>
      <c r="P28" s="102" t="s">
        <v>30</v>
      </c>
      <c r="Q28" s="102" t="s">
        <v>30</v>
      </c>
      <c r="R28" s="102" t="s">
        <v>30</v>
      </c>
      <c r="S28" s="102" t="s">
        <v>30</v>
      </c>
      <c r="T28" s="102" t="s">
        <v>30</v>
      </c>
      <c r="U28" s="102" t="s">
        <v>30</v>
      </c>
      <c r="V28" s="102" t="s">
        <v>30</v>
      </c>
      <c r="W28" s="102" t="s">
        <v>30</v>
      </c>
      <c r="X28" s="102" t="s">
        <v>30</v>
      </c>
      <c r="Y28" s="314" t="s">
        <v>30</v>
      </c>
      <c r="Z28" s="335"/>
    </row>
    <row r="29" spans="1:89" ht="12.6" customHeight="1" x14ac:dyDescent="0.2">
      <c r="B29" s="2"/>
      <c r="E29" s="164"/>
      <c r="G29" s="33"/>
      <c r="Y29" s="313"/>
      <c r="Z29" s="335"/>
    </row>
    <row r="30" spans="1:89" ht="12.6" customHeight="1" x14ac:dyDescent="0.2">
      <c r="B30" s="2" t="str">
        <f>VLOOKUP(49,Textbausteine_Menu[],Hilfsgrössen!$D$2,FALSE)</f>
        <v>PostFinance</v>
      </c>
      <c r="E30" s="164"/>
      <c r="T30" s="9"/>
      <c r="U30" s="9"/>
      <c r="V30" s="9"/>
      <c r="W30" s="9"/>
      <c r="X30" s="307"/>
      <c r="Y30" s="314"/>
      <c r="Z30" s="335"/>
    </row>
    <row r="31" spans="1:89" ht="12.6" customHeight="1" x14ac:dyDescent="0.2">
      <c r="B31" s="2"/>
      <c r="C31" s="1" t="str">
        <f>VLOOKUP(44,Textbausteine_102[],Hilfsgrössen!$D$2,FALSE)</f>
        <v>Passivgeschäft</v>
      </c>
      <c r="D31" s="1" t="str">
        <f>VLOOKUP(21,Textbausteine_102[],Hilfsgrössen!$D$2,FALSE)</f>
        <v>%</v>
      </c>
      <c r="E31" s="164" t="s">
        <v>33</v>
      </c>
      <c r="F31" s="9" t="s">
        <v>29</v>
      </c>
      <c r="H31" s="102" t="s">
        <v>30</v>
      </c>
      <c r="I31" s="9">
        <v>6.3</v>
      </c>
      <c r="J31" s="1">
        <v>6.1</v>
      </c>
      <c r="K31" s="1">
        <v>6.3</v>
      </c>
      <c r="L31" s="106">
        <v>6.9</v>
      </c>
      <c r="M31" s="11">
        <v>9</v>
      </c>
      <c r="N31" s="11">
        <v>9.8000000000000007</v>
      </c>
      <c r="O31" s="9">
        <v>10.199999999999999</v>
      </c>
      <c r="P31" s="9">
        <v>10.6</v>
      </c>
      <c r="Q31" s="9">
        <v>10.9</v>
      </c>
      <c r="R31" s="9">
        <v>10.9</v>
      </c>
      <c r="S31" s="9">
        <v>10.7</v>
      </c>
      <c r="T31" s="102" t="s">
        <v>30</v>
      </c>
      <c r="U31" s="102" t="s">
        <v>30</v>
      </c>
      <c r="V31" s="102" t="s">
        <v>30</v>
      </c>
      <c r="W31" s="102" t="s">
        <v>30</v>
      </c>
      <c r="X31" s="276" t="s">
        <v>30</v>
      </c>
      <c r="Y31" s="314" t="s">
        <v>30</v>
      </c>
      <c r="Z31" s="335"/>
    </row>
    <row r="32" spans="1:89" ht="12.6" customHeight="1" x14ac:dyDescent="0.2">
      <c r="B32" s="2"/>
      <c r="E32" s="164"/>
      <c r="G32" s="33"/>
      <c r="Y32" s="313"/>
      <c r="Z32" s="335"/>
    </row>
    <row r="33" spans="1:89" ht="12.6" customHeight="1" x14ac:dyDescent="0.2">
      <c r="B33" s="2" t="str">
        <f>VLOOKUP(55,Textbausteine_Menu[],Hilfsgrössen!$D$2,FALSE)</f>
        <v>Mobilitäts-Services</v>
      </c>
      <c r="C33" s="8"/>
      <c r="E33" s="164"/>
      <c r="G33" s="33"/>
      <c r="Y33" s="313"/>
      <c r="Z33" s="335"/>
    </row>
    <row r="34" spans="1:89" ht="12.6" customHeight="1" x14ac:dyDescent="0.2">
      <c r="B34" s="2"/>
      <c r="C34" s="1" t="str">
        <f>VLOOKUP(45,Textbausteine_102[],Hilfsgrössen!$D$2,FALSE)</f>
        <v>Marktanteil PostAuto gemäss Angebotskilometer RPV Bus (%)</v>
      </c>
      <c r="D34" s="1" t="str">
        <f>VLOOKUP(21,Textbausteine_102[],Hilfsgrössen!$D$2,FALSE)</f>
        <v>%</v>
      </c>
      <c r="E34" s="164" t="s">
        <v>34</v>
      </c>
      <c r="F34" s="9" t="s">
        <v>29</v>
      </c>
      <c r="G34" s="33"/>
      <c r="H34" s="102" t="s">
        <v>30</v>
      </c>
      <c r="I34" s="102" t="s">
        <v>30</v>
      </c>
      <c r="J34" s="102" t="s">
        <v>30</v>
      </c>
      <c r="K34" s="102" t="s">
        <v>30</v>
      </c>
      <c r="L34" s="102" t="s">
        <v>30</v>
      </c>
      <c r="M34" s="102" t="s">
        <v>30</v>
      </c>
      <c r="N34" s="102" t="s">
        <v>30</v>
      </c>
      <c r="O34" s="102" t="s">
        <v>30</v>
      </c>
      <c r="P34" s="102" t="s">
        <v>30</v>
      </c>
      <c r="Q34" s="102" t="s">
        <v>30</v>
      </c>
      <c r="R34" s="102" t="s">
        <v>30</v>
      </c>
      <c r="S34" s="102" t="s">
        <v>30</v>
      </c>
      <c r="T34" s="102" t="s">
        <v>30</v>
      </c>
      <c r="U34" s="102" t="s">
        <v>30</v>
      </c>
      <c r="V34" s="102" t="s">
        <v>30</v>
      </c>
      <c r="W34" s="102" t="s">
        <v>30</v>
      </c>
      <c r="X34" s="275">
        <v>53</v>
      </c>
      <c r="Y34" s="323">
        <v>53</v>
      </c>
      <c r="Z34" s="335"/>
    </row>
    <row r="35" spans="1:89" ht="12.6" customHeight="1" x14ac:dyDescent="0.2">
      <c r="B35" s="2"/>
      <c r="E35" s="164"/>
      <c r="G35" s="33"/>
    </row>
    <row r="36" spans="1:89" s="320" customFormat="1" ht="12.6" customHeight="1" x14ac:dyDescent="0.25">
      <c r="A36" s="352"/>
      <c r="B36" s="302" t="str">
        <f>VLOOKUP(241,Textbausteine_102[],Hilfsgrössen!$D$2,FALSE)</f>
        <v>1) Ab dem Jahr 2012 besteht Swiss Post International nicht mehr als eigenständiges Segment. Die Werte wurden ab dem 1. Januar 2012 auf die Geschäftsbereiche PostMail und PostLogistics überführt. PostMail und PostLogistics wurden ab dem 1.1.2021 im Segment Logistik-Services zusammengeführt.</v>
      </c>
      <c r="C36" s="309"/>
      <c r="E36" s="301"/>
      <c r="F36" s="322"/>
      <c r="G36" s="340"/>
      <c r="H36" s="355"/>
      <c r="I36" s="355"/>
      <c r="J36" s="355"/>
      <c r="K36" s="355"/>
      <c r="L36" s="355"/>
      <c r="M36" s="355"/>
      <c r="N36" s="322"/>
      <c r="O36" s="322"/>
      <c r="P36" s="322"/>
      <c r="Q36" s="322"/>
      <c r="R36" s="355"/>
      <c r="S36" s="355"/>
      <c r="T36" s="322"/>
      <c r="U36" s="322"/>
      <c r="V36" s="322"/>
      <c r="W36" s="322"/>
      <c r="X36" s="322"/>
      <c r="Y36" s="322"/>
      <c r="Z36" s="335"/>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row>
    <row r="37" spans="1:89" ht="12.6" customHeight="1" x14ac:dyDescent="0.25">
      <c r="B37" s="302" t="str">
        <f>VLOOKUP(242,Textbausteine_102[],Hilfsgrössen!$D$2,FALSE)</f>
        <v>2) Vorjahreswerte angepasst</v>
      </c>
      <c r="C37" s="13"/>
      <c r="H37" s="99"/>
      <c r="I37" s="99"/>
      <c r="J37" s="99"/>
      <c r="K37" s="99"/>
      <c r="L37" s="99"/>
      <c r="M37" s="99"/>
      <c r="N37" s="11"/>
      <c r="O37" s="11"/>
      <c r="R37" s="99"/>
      <c r="S37" s="99"/>
      <c r="T37" s="9"/>
      <c r="U37" s="9"/>
      <c r="V37" s="9"/>
      <c r="W37" s="9"/>
      <c r="X37" s="307"/>
      <c r="Y37" s="9"/>
      <c r="Z37" s="335"/>
    </row>
    <row r="38" spans="1:89" ht="12.6" customHeight="1" x14ac:dyDescent="0.25">
      <c r="B38" s="302" t="str">
        <f>VLOOKUP(243,Textbausteine_102[],Hilfsgrössen!$D$2,FALSE)</f>
        <v>3) Das Passivgeschäft umfasst die Entgegennahme von Kundengeldern.</v>
      </c>
      <c r="C38" s="48"/>
      <c r="H38" s="107"/>
      <c r="I38" s="107"/>
      <c r="J38" s="107"/>
      <c r="K38" s="107"/>
      <c r="L38" s="107"/>
      <c r="M38" s="107"/>
      <c r="N38" s="99"/>
      <c r="O38" s="99"/>
      <c r="P38" s="99"/>
      <c r="Q38" s="99"/>
      <c r="R38" s="99"/>
      <c r="S38" s="99"/>
      <c r="T38" s="9"/>
      <c r="U38" s="9"/>
      <c r="V38" s="9"/>
      <c r="W38" s="9"/>
      <c r="X38" s="307"/>
      <c r="Y38" s="9"/>
      <c r="Z38" s="335"/>
    </row>
    <row r="39" spans="1:89" ht="12.6" customHeight="1" x14ac:dyDescent="0.25">
      <c r="B39" s="302" t="str">
        <f>VLOOKUP(244,Textbausteine_102[],Hilfsgrössen!$D$2,FALSE)</f>
        <v>4) 2013 provisorischer Ist-Wert (Nov. 2013), Vorjahre angepasst infolge Überführung in PostFinance AG Ende Juni 2013.</v>
      </c>
      <c r="C39" s="48"/>
      <c r="E39" s="164"/>
      <c r="H39" s="107"/>
      <c r="I39" s="107"/>
      <c r="J39" s="107"/>
      <c r="K39" s="107"/>
      <c r="L39" s="107"/>
      <c r="M39" s="107"/>
      <c r="N39" s="99"/>
      <c r="O39" s="99"/>
      <c r="P39" s="99"/>
      <c r="Q39" s="99"/>
      <c r="R39" s="99"/>
      <c r="S39" s="99"/>
      <c r="T39" s="9"/>
      <c r="U39" s="9"/>
      <c r="V39" s="9"/>
      <c r="W39" s="9"/>
      <c r="X39" s="307"/>
      <c r="Y39" s="9"/>
      <c r="Z39" s="335"/>
    </row>
    <row r="40" spans="1:89" s="320" customFormat="1" ht="12.6" customHeight="1" x14ac:dyDescent="0.25">
      <c r="A40" s="352"/>
      <c r="B40" s="302" t="str">
        <f>VLOOKUP(245,Textbausteine_102[],Hilfsgrössen!$D$2,FALSE)</f>
        <v>5) Absoluter Marktanteil, d.h. Umsatzvolumen der PostAuto AG am Marktvolumen (Umsatz)</v>
      </c>
      <c r="C40" s="309"/>
      <c r="E40" s="353"/>
      <c r="F40" s="354"/>
      <c r="G40" s="340"/>
      <c r="H40" s="355"/>
      <c r="I40" s="355"/>
      <c r="J40" s="355"/>
      <c r="K40" s="355"/>
      <c r="L40" s="355"/>
      <c r="M40" s="355"/>
      <c r="N40" s="322"/>
      <c r="O40" s="322"/>
      <c r="P40" s="322"/>
      <c r="Q40" s="322"/>
      <c r="R40" s="355"/>
      <c r="S40" s="355"/>
      <c r="T40" s="322"/>
      <c r="U40" s="322"/>
      <c r="V40" s="322"/>
      <c r="W40" s="322"/>
      <c r="X40" s="322"/>
      <c r="Y40" s="322"/>
      <c r="Z40" s="335"/>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2"/>
      <c r="AW40" s="322"/>
      <c r="AX40" s="322"/>
      <c r="AY40" s="322"/>
      <c r="AZ40" s="322"/>
      <c r="BA40" s="322"/>
      <c r="BB40" s="322"/>
      <c r="BC40" s="322"/>
      <c r="BD40" s="322"/>
      <c r="BE40" s="322"/>
      <c r="BF40" s="322"/>
      <c r="BG40" s="322"/>
      <c r="BH40" s="322"/>
      <c r="BI40" s="322"/>
      <c r="BJ40" s="322"/>
      <c r="BK40" s="322"/>
      <c r="BL40" s="322"/>
      <c r="BM40" s="322"/>
      <c r="BN40" s="322"/>
      <c r="BO40" s="322"/>
      <c r="BP40" s="322"/>
      <c r="BQ40" s="322"/>
      <c r="BR40" s="322"/>
      <c r="BS40" s="322"/>
      <c r="BT40" s="322"/>
      <c r="BU40" s="322"/>
      <c r="BV40" s="322"/>
      <c r="BW40" s="322"/>
      <c r="BX40" s="322"/>
      <c r="BY40" s="322"/>
      <c r="BZ40" s="322"/>
      <c r="CA40" s="322"/>
      <c r="CB40" s="322"/>
      <c r="CC40" s="322"/>
      <c r="CD40" s="322"/>
      <c r="CE40" s="322"/>
      <c r="CF40" s="322"/>
      <c r="CG40" s="322"/>
      <c r="CH40" s="322"/>
      <c r="CI40" s="322"/>
      <c r="CJ40" s="322"/>
      <c r="CK40" s="322"/>
    </row>
    <row r="41" spans="1:89" ht="12.6" customHeight="1" x14ac:dyDescent="0.25">
      <c r="B41" s="302" t="str">
        <f>VLOOKUP(246,Textbausteine_102[],Hilfsgrössen!$D$2,FALSE)</f>
        <v>6) Zwischen 2010 bis und mit 2013: inkl. Privatkunden unter Hoheit PostNetz</v>
      </c>
      <c r="C41" s="302"/>
      <c r="D41" s="302"/>
      <c r="E41" s="167"/>
      <c r="F41" s="30"/>
      <c r="G41" s="302"/>
      <c r="H41" s="302"/>
      <c r="I41" s="302"/>
      <c r="J41" s="302"/>
      <c r="K41" s="302"/>
      <c r="L41" s="302"/>
      <c r="M41" s="302"/>
      <c r="N41" s="302"/>
      <c r="O41" s="302"/>
      <c r="P41" s="302"/>
      <c r="Q41" s="302"/>
      <c r="R41" s="99"/>
      <c r="S41" s="99"/>
      <c r="T41" s="9"/>
      <c r="U41" s="9"/>
      <c r="V41" s="9"/>
      <c r="W41" s="9"/>
      <c r="X41" s="307"/>
      <c r="Y41" s="9"/>
      <c r="Z41" s="335"/>
    </row>
    <row r="42" spans="1:89" ht="12.6" customHeight="1" x14ac:dyDescent="0.25">
      <c r="B42" s="302" t="str">
        <f>VLOOKUP(247,Textbausteine_102[],Hilfsgrössen!$D$2,FALSE)</f>
        <v>7) Ab 2014 werden die Mengen TNT nicht mehr in die Marktanteilsberechnung einbezogen, so dass dieser mit den ausgewiesenen Mengen übereinstimmen. Als Vergleichsgrösse wurde das Jahr 2013 zusätzlich aufbereitet. Die Werte 2005 bis 2012 sind nicht vergleichbar.</v>
      </c>
      <c r="C42" s="302"/>
      <c r="D42" s="302"/>
      <c r="E42" s="167"/>
      <c r="F42" s="30"/>
      <c r="G42" s="302"/>
      <c r="H42" s="302"/>
      <c r="I42" s="302"/>
      <c r="J42" s="302"/>
      <c r="K42" s="302"/>
      <c r="L42" s="302"/>
      <c r="M42" s="302"/>
      <c r="N42" s="302"/>
      <c r="O42" s="302"/>
      <c r="P42" s="302"/>
      <c r="Q42" s="302"/>
      <c r="R42" s="99"/>
      <c r="S42" s="99"/>
      <c r="T42" s="9"/>
      <c r="U42" s="9"/>
      <c r="V42" s="9"/>
      <c r="W42" s="9"/>
      <c r="X42" s="307"/>
      <c r="Y42" s="9"/>
      <c r="Z42" s="335"/>
    </row>
    <row r="43" spans="1:89" ht="12.6" customHeight="1" x14ac:dyDescent="0.25">
      <c r="B43" s="302" t="str">
        <f>VLOOKUP(248,Textbausteine_102[],Hilfsgrössen!$D$2,FALSE)</f>
        <v>8) Die Erhebung des Marktanteils Passivgeschäft von PostFinance wurde ab 1.1.2016 eingestellt.</v>
      </c>
      <c r="C43" s="13"/>
      <c r="H43" s="99"/>
      <c r="I43" s="99"/>
      <c r="J43" s="99"/>
      <c r="K43" s="99"/>
      <c r="L43" s="99"/>
      <c r="M43" s="99"/>
      <c r="N43" s="11"/>
      <c r="O43" s="11"/>
      <c r="R43" s="99"/>
      <c r="S43" s="99"/>
      <c r="T43" s="9"/>
      <c r="U43" s="9"/>
      <c r="V43" s="9"/>
      <c r="W43" s="9"/>
      <c r="X43" s="307"/>
      <c r="Y43" s="9"/>
      <c r="Z43" s="335"/>
    </row>
    <row r="44" spans="1:89" ht="12.6" customHeight="1" x14ac:dyDescent="0.25">
      <c r="B44" s="302" t="str">
        <f>VLOOKUP(249,Textbausteine_102[],Hilfsgrössen!$D$2,FALSE)</f>
        <v>9) Kommunikations-Services arbeitet per dato nicht mit Marktanteilen.</v>
      </c>
      <c r="C44" s="330"/>
      <c r="E44" s="164"/>
      <c r="G44" s="33"/>
      <c r="Z44" s="335"/>
    </row>
    <row r="45" spans="1:89" ht="12.6" customHeight="1" x14ac:dyDescent="0.2">
      <c r="C45" s="13"/>
      <c r="H45" s="99"/>
      <c r="I45" s="99"/>
      <c r="J45" s="99"/>
      <c r="K45" s="99"/>
      <c r="L45" s="99"/>
      <c r="M45" s="99"/>
      <c r="N45" s="11"/>
      <c r="O45" s="11"/>
      <c r="R45" s="99"/>
      <c r="S45" s="99"/>
      <c r="T45" s="9"/>
      <c r="U45" s="9"/>
      <c r="V45" s="9"/>
      <c r="W45" s="9"/>
      <c r="X45" s="307"/>
      <c r="Y45" s="9"/>
    </row>
    <row r="46" spans="1:89" s="78" customFormat="1" ht="12.6" customHeight="1" x14ac:dyDescent="0.2">
      <c r="A46" s="43" t="s">
        <v>27</v>
      </c>
      <c r="B46" s="401" t="str">
        <f>$C$8</f>
        <v>Finanzierung</v>
      </c>
      <c r="C46" s="401"/>
      <c r="D46" s="78" t="str">
        <f>VLOOKUP(32,Textbausteine_Menu[],Hilfsgrössen!$D$2,FALSE)</f>
        <v>Einheit</v>
      </c>
      <c r="E46" s="163" t="str">
        <f>VLOOKUP(33,Textbausteine_Menu[],Hilfsgrössen!$D$2,FALSE)</f>
        <v>Fussnoten</v>
      </c>
      <c r="F46" s="28" t="str">
        <f>VLOOKUP(34,Textbausteine_Menu[],Hilfsgrössen!$D$2,FALSE)</f>
        <v>GRI</v>
      </c>
      <c r="G46" s="33"/>
      <c r="H46" s="72">
        <v>2004</v>
      </c>
      <c r="I46" s="72">
        <v>2005</v>
      </c>
      <c r="J46" s="72">
        <v>2006</v>
      </c>
      <c r="K46" s="72">
        <v>2007</v>
      </c>
      <c r="L46" s="72">
        <v>2008</v>
      </c>
      <c r="M46" s="72">
        <v>2009</v>
      </c>
      <c r="N46" s="72">
        <v>2010</v>
      </c>
      <c r="O46" s="72">
        <v>2011</v>
      </c>
      <c r="P46" s="72">
        <v>2012</v>
      </c>
      <c r="Q46" s="72">
        <v>2013</v>
      </c>
      <c r="R46" s="72">
        <v>2014</v>
      </c>
      <c r="S46" s="72">
        <v>2015</v>
      </c>
      <c r="T46" s="74">
        <v>2016</v>
      </c>
      <c r="U46" s="74">
        <v>2017</v>
      </c>
      <c r="V46" s="74">
        <v>2018</v>
      </c>
      <c r="W46" s="74">
        <v>2019</v>
      </c>
      <c r="X46" s="273">
        <v>2020</v>
      </c>
      <c r="Y46" s="147">
        <v>2021</v>
      </c>
      <c r="Z46" s="360"/>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72"/>
      <c r="BG46" s="72"/>
      <c r="BH46" s="72"/>
      <c r="BI46" s="72"/>
      <c r="BJ46" s="72"/>
      <c r="BK46" s="72"/>
      <c r="BL46" s="72"/>
      <c r="BM46" s="72"/>
      <c r="BN46" s="72"/>
      <c r="BO46" s="72"/>
      <c r="BP46" s="72"/>
      <c r="BQ46" s="72"/>
      <c r="BR46" s="72"/>
      <c r="BS46" s="72"/>
      <c r="BT46" s="72"/>
      <c r="BU46" s="72"/>
      <c r="BV46" s="72"/>
      <c r="BW46" s="72"/>
      <c r="BX46" s="72"/>
      <c r="BY46" s="72"/>
      <c r="BZ46" s="72"/>
      <c r="CA46" s="72"/>
      <c r="CB46" s="72"/>
      <c r="CC46" s="72"/>
      <c r="CD46" s="72"/>
      <c r="CE46" s="72"/>
      <c r="CF46" s="72"/>
      <c r="CG46" s="72"/>
      <c r="CH46" s="72"/>
      <c r="CI46" s="72"/>
      <c r="CJ46" s="72"/>
      <c r="CK46" s="72"/>
    </row>
    <row r="47" spans="1:89" s="42" customFormat="1" ht="12.6" customHeight="1" x14ac:dyDescent="0.2">
      <c r="A47" s="57"/>
      <c r="B47" s="401"/>
      <c r="C47" s="401"/>
      <c r="E47" s="161"/>
      <c r="F47" s="28"/>
      <c r="G47" s="34"/>
      <c r="H47" s="73"/>
      <c r="I47" s="73"/>
      <c r="J47" s="73"/>
      <c r="K47" s="73"/>
      <c r="L47" s="73"/>
      <c r="M47" s="73"/>
      <c r="N47" s="73"/>
      <c r="O47" s="73"/>
      <c r="P47" s="73"/>
      <c r="Q47" s="73"/>
      <c r="R47" s="73"/>
      <c r="S47" s="73"/>
      <c r="T47" s="75"/>
      <c r="U47" s="75"/>
      <c r="V47" s="75"/>
      <c r="W47" s="75"/>
      <c r="X47" s="274"/>
      <c r="Y47" s="312"/>
      <c r="Z47" s="361"/>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row>
    <row r="48" spans="1:89" ht="12.6" customHeight="1" x14ac:dyDescent="0.2">
      <c r="B48" s="2"/>
      <c r="E48" s="164"/>
      <c r="G48" s="33"/>
      <c r="Y48" s="313"/>
    </row>
    <row r="49" spans="1:89" ht="12.6" customHeight="1" x14ac:dyDescent="0.2">
      <c r="B49" s="2" t="str">
        <f>VLOOKUP(36,Textbausteine_Menu[],Hilfsgrössen!$D$2,FALSE)</f>
        <v>Konzern</v>
      </c>
      <c r="E49" s="164"/>
      <c r="T49" s="9"/>
      <c r="U49" s="9"/>
      <c r="V49" s="9"/>
      <c r="W49" s="9"/>
      <c r="X49" s="307"/>
      <c r="Y49" s="314"/>
    </row>
    <row r="50" spans="1:89" ht="12.6" customHeight="1" x14ac:dyDescent="0.2">
      <c r="B50" s="2"/>
      <c r="C50" s="1" t="str">
        <f>VLOOKUP(51,Textbausteine_102[],Hilfsgrössen!$D$2,FALSE)</f>
        <v>Bilanzsumme</v>
      </c>
      <c r="D50" s="1" t="str">
        <f>VLOOKUP(22,Textbausteine_102[],Hilfsgrössen!$D$2,FALSE)</f>
        <v>Mio. CHF</v>
      </c>
      <c r="E50" s="164"/>
      <c r="F50" s="9" t="s">
        <v>35</v>
      </c>
      <c r="H50" s="86" t="s">
        <v>30</v>
      </c>
      <c r="I50" s="9">
        <v>50130</v>
      </c>
      <c r="J50" s="9">
        <v>55600</v>
      </c>
      <c r="K50" s="9">
        <v>60085</v>
      </c>
      <c r="L50" s="9">
        <v>71603</v>
      </c>
      <c r="M50" s="9">
        <v>84676</v>
      </c>
      <c r="N50" s="9">
        <v>93310</v>
      </c>
      <c r="O50" s="9">
        <v>108254</v>
      </c>
      <c r="P50" s="9">
        <v>120069</v>
      </c>
      <c r="Q50" s="9">
        <v>120383</v>
      </c>
      <c r="R50" s="9">
        <v>124671</v>
      </c>
      <c r="S50" s="9">
        <v>120327</v>
      </c>
      <c r="T50" s="9">
        <v>126545</v>
      </c>
      <c r="U50" s="9">
        <v>127289</v>
      </c>
      <c r="V50" s="9">
        <v>124196</v>
      </c>
      <c r="W50" s="9">
        <v>132544</v>
      </c>
      <c r="X50" s="307">
        <v>124274</v>
      </c>
      <c r="Y50" s="314">
        <v>128397</v>
      </c>
      <c r="Z50" s="335"/>
    </row>
    <row r="51" spans="1:89" ht="12.6" customHeight="1" x14ac:dyDescent="0.2">
      <c r="C51" s="13" t="str">
        <f>VLOOKUP(52,Textbausteine_102[],Hilfsgrössen!$D$2,FALSE)</f>
        <v>Kundengelder PostFinance</v>
      </c>
      <c r="D51" s="1" t="str">
        <f>VLOOKUP(22,Textbausteine_102[],Hilfsgrössen!$D$2,FALSE)</f>
        <v>Mio. CHF</v>
      </c>
      <c r="E51" s="164"/>
      <c r="F51" s="9" t="s">
        <v>35</v>
      </c>
      <c r="H51" s="86" t="s">
        <v>30</v>
      </c>
      <c r="I51" s="11">
        <v>43630</v>
      </c>
      <c r="J51" s="11">
        <v>48364</v>
      </c>
      <c r="K51" s="11">
        <v>51462</v>
      </c>
      <c r="L51" s="11">
        <v>64204</v>
      </c>
      <c r="M51" s="11">
        <v>77272</v>
      </c>
      <c r="N51" s="11">
        <v>85725</v>
      </c>
      <c r="O51" s="9">
        <v>100707</v>
      </c>
      <c r="P51" s="9">
        <v>110531</v>
      </c>
      <c r="Q51" s="9">
        <v>109086</v>
      </c>
      <c r="R51" s="9">
        <v>112150</v>
      </c>
      <c r="S51" s="9">
        <v>107380</v>
      </c>
      <c r="T51" s="9">
        <v>110477</v>
      </c>
      <c r="U51" s="9">
        <v>113195</v>
      </c>
      <c r="V51" s="9">
        <v>111141</v>
      </c>
      <c r="W51" s="9">
        <v>108669</v>
      </c>
      <c r="X51" s="307">
        <v>109337</v>
      </c>
      <c r="Y51" s="314">
        <v>94110</v>
      </c>
      <c r="Z51" s="335"/>
    </row>
    <row r="52" spans="1:89" ht="12.6" customHeight="1" x14ac:dyDescent="0.2">
      <c r="C52" s="13" t="str">
        <f>VLOOKUP(53,Textbausteine_102[],Hilfsgrössen!$D$2,FALSE)</f>
        <v>Anteil an Bilanzsumme</v>
      </c>
      <c r="D52" s="1" t="str">
        <f>VLOOKUP(21,Textbausteine_102[],Hilfsgrössen!$D$2,FALSE)</f>
        <v>%</v>
      </c>
      <c r="E52" s="164"/>
      <c r="F52" s="9" t="s">
        <v>35</v>
      </c>
      <c r="H52" s="86" t="s">
        <v>30</v>
      </c>
      <c r="I52" s="11">
        <v>87</v>
      </c>
      <c r="J52" s="11">
        <v>87</v>
      </c>
      <c r="K52" s="11">
        <v>86</v>
      </c>
      <c r="L52" s="11">
        <v>90</v>
      </c>
      <c r="M52" s="11">
        <v>91</v>
      </c>
      <c r="N52" s="11">
        <v>92</v>
      </c>
      <c r="O52" s="9">
        <v>93</v>
      </c>
      <c r="P52" s="15">
        <v>92</v>
      </c>
      <c r="Q52" s="9">
        <v>91</v>
      </c>
      <c r="R52" s="9">
        <v>90</v>
      </c>
      <c r="S52" s="9">
        <v>89</v>
      </c>
      <c r="T52" s="9">
        <v>87</v>
      </c>
      <c r="U52" s="9">
        <v>89</v>
      </c>
      <c r="V52" s="9">
        <v>89</v>
      </c>
      <c r="W52" s="9">
        <v>82</v>
      </c>
      <c r="X52" s="307">
        <v>88</v>
      </c>
      <c r="Y52" s="314">
        <v>73</v>
      </c>
      <c r="Z52" s="335"/>
    </row>
    <row r="53" spans="1:89" ht="12.6" customHeight="1" x14ac:dyDescent="0.2">
      <c r="C53" s="1" t="str">
        <f>VLOOKUP(54,Textbausteine_102[],Hilfsgrössen!$D$2,FALSE)</f>
        <v>Eigenkapital</v>
      </c>
      <c r="D53" s="1" t="str">
        <f>VLOOKUP(22,Textbausteine_102[],Hilfsgrössen!$D$2,FALSE)</f>
        <v>Mio. CHF</v>
      </c>
      <c r="E53" s="164"/>
      <c r="F53" s="9" t="s">
        <v>35</v>
      </c>
      <c r="H53" s="86" t="s">
        <v>30</v>
      </c>
      <c r="I53" s="99">
        <v>922</v>
      </c>
      <c r="J53" s="99">
        <v>1605</v>
      </c>
      <c r="K53" s="99">
        <v>2470</v>
      </c>
      <c r="L53" s="99">
        <v>2857</v>
      </c>
      <c r="M53" s="99">
        <v>3534</v>
      </c>
      <c r="N53" s="11">
        <v>4224</v>
      </c>
      <c r="O53" s="11">
        <v>4879</v>
      </c>
      <c r="P53" s="9">
        <v>3145</v>
      </c>
      <c r="Q53" s="9">
        <v>5637</v>
      </c>
      <c r="R53" s="99">
        <v>5010</v>
      </c>
      <c r="S53" s="99">
        <v>4385</v>
      </c>
      <c r="T53" s="9">
        <v>4744</v>
      </c>
      <c r="U53" s="9">
        <v>6583</v>
      </c>
      <c r="V53" s="9">
        <v>6759</v>
      </c>
      <c r="W53" s="9">
        <v>6834</v>
      </c>
      <c r="X53" s="307">
        <v>6906</v>
      </c>
      <c r="Y53" s="314">
        <v>8832</v>
      </c>
      <c r="Z53" s="335"/>
    </row>
    <row r="54" spans="1:89" ht="12.6" customHeight="1" x14ac:dyDescent="0.2">
      <c r="C54" s="13"/>
      <c r="H54" s="99"/>
      <c r="I54" s="99"/>
      <c r="J54" s="99"/>
      <c r="K54" s="99"/>
      <c r="L54" s="99"/>
      <c r="M54" s="99"/>
      <c r="N54" s="11"/>
      <c r="O54" s="11"/>
      <c r="R54" s="99"/>
      <c r="S54" s="99"/>
      <c r="T54" s="9"/>
      <c r="U54" s="9"/>
      <c r="V54" s="9"/>
      <c r="W54" s="9"/>
      <c r="X54" s="307"/>
      <c r="Y54" s="9"/>
    </row>
    <row r="55" spans="1:89" ht="12.6" customHeight="1" x14ac:dyDescent="0.25">
      <c r="B55" s="18"/>
      <c r="C55" s="334"/>
      <c r="H55" s="99"/>
      <c r="I55" s="99"/>
      <c r="J55" s="99"/>
      <c r="K55" s="99"/>
      <c r="L55" s="99"/>
      <c r="M55" s="99"/>
      <c r="N55" s="11"/>
      <c r="O55" s="11"/>
      <c r="R55" s="99"/>
      <c r="S55" s="99"/>
      <c r="T55" s="9"/>
      <c r="U55" s="9"/>
      <c r="V55" s="9"/>
      <c r="W55" s="9"/>
      <c r="X55" s="307"/>
      <c r="Y55" s="9"/>
    </row>
    <row r="56" spans="1:89" ht="12.6" customHeight="1" x14ac:dyDescent="0.2">
      <c r="C56" s="13"/>
      <c r="H56" s="99"/>
      <c r="I56" s="99"/>
      <c r="J56" s="99"/>
      <c r="K56" s="99"/>
      <c r="L56" s="99"/>
      <c r="M56" s="99"/>
      <c r="N56" s="11"/>
      <c r="O56" s="11"/>
      <c r="R56" s="99"/>
      <c r="S56" s="99"/>
      <c r="T56" s="9"/>
      <c r="U56" s="9"/>
      <c r="V56" s="9"/>
      <c r="W56" s="9"/>
      <c r="X56" s="307"/>
      <c r="Y56" s="9"/>
    </row>
    <row r="57" spans="1:89" ht="12.6" customHeight="1" x14ac:dyDescent="0.2">
      <c r="C57" s="13"/>
      <c r="H57" s="99"/>
      <c r="I57" s="99"/>
      <c r="J57" s="99"/>
      <c r="K57" s="99"/>
      <c r="L57" s="99"/>
      <c r="M57" s="99"/>
      <c r="N57" s="11"/>
      <c r="O57" s="11"/>
      <c r="R57" s="99"/>
      <c r="S57" s="99"/>
      <c r="T57" s="9"/>
      <c r="U57" s="9"/>
      <c r="V57" s="9"/>
      <c r="W57" s="9"/>
      <c r="X57" s="307"/>
      <c r="Y57" s="9"/>
    </row>
    <row r="58" spans="1:89" s="78" customFormat="1" ht="12.6" customHeight="1" x14ac:dyDescent="0.2">
      <c r="A58" s="43" t="s">
        <v>27</v>
      </c>
      <c r="B58" s="401" t="str">
        <f>$C$9</f>
        <v>Cashflow und Investitionen</v>
      </c>
      <c r="C58" s="401"/>
      <c r="D58" s="78" t="str">
        <f>VLOOKUP(32,Textbausteine_Menu[],Hilfsgrössen!$D$2,FALSE)</f>
        <v>Einheit</v>
      </c>
      <c r="E58" s="163" t="str">
        <f>VLOOKUP(33,Textbausteine_Menu[],Hilfsgrössen!$D$2,FALSE)</f>
        <v>Fussnoten</v>
      </c>
      <c r="F58" s="28" t="str">
        <f>VLOOKUP(34,Textbausteine_Menu[],Hilfsgrössen!$D$2,FALSE)</f>
        <v>GRI</v>
      </c>
      <c r="G58" s="33"/>
      <c r="H58" s="72">
        <v>2004</v>
      </c>
      <c r="I58" s="72">
        <v>2005</v>
      </c>
      <c r="J58" s="72">
        <v>2006</v>
      </c>
      <c r="K58" s="72">
        <v>2007</v>
      </c>
      <c r="L58" s="72">
        <v>2008</v>
      </c>
      <c r="M58" s="72">
        <v>2009</v>
      </c>
      <c r="N58" s="72">
        <v>2010</v>
      </c>
      <c r="O58" s="72">
        <v>2011</v>
      </c>
      <c r="P58" s="72">
        <v>2012</v>
      </c>
      <c r="Q58" s="72">
        <v>2013</v>
      </c>
      <c r="R58" s="72">
        <v>2014</v>
      </c>
      <c r="S58" s="72">
        <v>2015</v>
      </c>
      <c r="T58" s="74">
        <v>2016</v>
      </c>
      <c r="U58" s="74">
        <v>2017</v>
      </c>
      <c r="V58" s="74">
        <v>2018</v>
      </c>
      <c r="W58" s="74">
        <v>2019</v>
      </c>
      <c r="X58" s="74">
        <v>2020</v>
      </c>
      <c r="Y58" s="147">
        <v>2021</v>
      </c>
      <c r="Z58" s="360"/>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c r="BE58" s="72"/>
      <c r="BF58" s="72"/>
      <c r="BG58" s="72"/>
      <c r="BH58" s="72"/>
      <c r="BI58" s="72"/>
      <c r="BJ58" s="72"/>
      <c r="BK58" s="72"/>
      <c r="BL58" s="72"/>
      <c r="BM58" s="72"/>
      <c r="BN58" s="72"/>
      <c r="BO58" s="72"/>
      <c r="BP58" s="72"/>
      <c r="BQ58" s="72"/>
      <c r="BR58" s="72"/>
      <c r="BS58" s="72"/>
      <c r="BT58" s="72"/>
      <c r="BU58" s="72"/>
      <c r="BV58" s="72"/>
      <c r="BW58" s="72"/>
      <c r="BX58" s="72"/>
      <c r="BY58" s="72"/>
      <c r="BZ58" s="72"/>
      <c r="CA58" s="72"/>
      <c r="CB58" s="72"/>
      <c r="CC58" s="72"/>
      <c r="CD58" s="72"/>
      <c r="CE58" s="72"/>
      <c r="CF58" s="72"/>
      <c r="CG58" s="72"/>
      <c r="CH58" s="72"/>
      <c r="CI58" s="72"/>
      <c r="CJ58" s="72"/>
      <c r="CK58" s="72"/>
    </row>
    <row r="59" spans="1:89" s="42" customFormat="1" ht="12.6" customHeight="1" x14ac:dyDescent="0.2">
      <c r="A59" s="57"/>
      <c r="B59" s="401"/>
      <c r="C59" s="401"/>
      <c r="E59" s="161"/>
      <c r="F59" s="28"/>
      <c r="G59" s="34"/>
      <c r="H59" s="73"/>
      <c r="I59" s="73"/>
      <c r="J59" s="73"/>
      <c r="K59" s="73"/>
      <c r="L59" s="73"/>
      <c r="M59" s="73"/>
      <c r="N59" s="73"/>
      <c r="O59" s="73"/>
      <c r="P59" s="73"/>
      <c r="Q59" s="73"/>
      <c r="R59" s="73"/>
      <c r="S59" s="73"/>
      <c r="T59" s="75"/>
      <c r="U59" s="75"/>
      <c r="V59" s="75"/>
      <c r="W59" s="75"/>
      <c r="X59" s="274"/>
      <c r="Y59" s="312"/>
      <c r="Z59" s="361"/>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BD59" s="73"/>
      <c r="BE59" s="73"/>
      <c r="BF59" s="73"/>
      <c r="BG59" s="73"/>
      <c r="BH59" s="73"/>
      <c r="BI59" s="73"/>
      <c r="BJ59" s="73"/>
      <c r="BK59" s="73"/>
      <c r="BL59" s="73"/>
      <c r="BM59" s="73"/>
      <c r="BN59" s="73"/>
      <c r="BO59" s="73"/>
      <c r="BP59" s="73"/>
      <c r="BQ59" s="73"/>
      <c r="BR59" s="73"/>
      <c r="BS59" s="73"/>
      <c r="BT59" s="73"/>
      <c r="BU59" s="73"/>
      <c r="BV59" s="73"/>
      <c r="BW59" s="73"/>
      <c r="BX59" s="73"/>
      <c r="BY59" s="73"/>
      <c r="BZ59" s="73"/>
      <c r="CA59" s="73"/>
      <c r="CB59" s="73"/>
      <c r="CC59" s="73"/>
      <c r="CD59" s="73"/>
      <c r="CE59" s="73"/>
      <c r="CF59" s="73"/>
      <c r="CG59" s="73"/>
      <c r="CH59" s="73"/>
      <c r="CI59" s="73"/>
      <c r="CJ59" s="73"/>
      <c r="CK59" s="73"/>
    </row>
    <row r="60" spans="1:89" ht="12.6" customHeight="1" x14ac:dyDescent="0.2">
      <c r="B60" s="2"/>
      <c r="E60" s="164"/>
      <c r="G60" s="33"/>
      <c r="Y60" s="313"/>
    </row>
    <row r="61" spans="1:89" ht="12.6" customHeight="1" x14ac:dyDescent="0.2">
      <c r="B61" s="2" t="str">
        <f>VLOOKUP(36,Textbausteine_Menu[],Hilfsgrössen!$D$2,FALSE)</f>
        <v>Konzern</v>
      </c>
      <c r="C61" s="2"/>
      <c r="E61" s="164"/>
      <c r="T61" s="9"/>
      <c r="U61" s="9"/>
      <c r="V61" s="9"/>
      <c r="W61" s="9"/>
      <c r="X61" s="307"/>
      <c r="Y61" s="314"/>
    </row>
    <row r="62" spans="1:89" ht="12.6" customHeight="1" x14ac:dyDescent="0.2">
      <c r="C62" s="48" t="str">
        <f>VLOOKUP(61,Textbausteine_102[],Hilfsgrössen!$D$2,FALSE)</f>
        <v>Geldfluss aus operativer Geschäftstätigkeit</v>
      </c>
      <c r="D62" s="1" t="str">
        <f>VLOOKUP(22,Textbausteine_102[],Hilfsgrössen!$D$2,FALSE)</f>
        <v>Mio. CHF</v>
      </c>
      <c r="E62" s="164" t="s">
        <v>36</v>
      </c>
      <c r="F62" s="9" t="s">
        <v>35</v>
      </c>
      <c r="H62" s="86" t="s">
        <v>30</v>
      </c>
      <c r="I62" s="102">
        <v>3603</v>
      </c>
      <c r="J62" s="102">
        <v>3247</v>
      </c>
      <c r="K62" s="9">
        <v>-3312</v>
      </c>
      <c r="L62" s="9">
        <v>8281</v>
      </c>
      <c r="M62" s="9">
        <v>-357</v>
      </c>
      <c r="N62" s="11">
        <v>-2271</v>
      </c>
      <c r="O62" s="9">
        <v>19679</v>
      </c>
      <c r="P62" s="9">
        <v>13424</v>
      </c>
      <c r="Q62" s="9">
        <v>-367</v>
      </c>
      <c r="R62" s="9">
        <v>-1925</v>
      </c>
      <c r="S62" s="9">
        <v>-2990</v>
      </c>
      <c r="T62" s="9">
        <v>-385</v>
      </c>
      <c r="U62" s="9">
        <v>1941</v>
      </c>
      <c r="V62" s="9">
        <v>-1309</v>
      </c>
      <c r="W62" s="9">
        <v>10261</v>
      </c>
      <c r="X62" s="307">
        <v>-7995</v>
      </c>
      <c r="Y62" s="314">
        <v>8252</v>
      </c>
      <c r="Z62" s="335"/>
    </row>
    <row r="63" spans="1:89" ht="12.6" customHeight="1" x14ac:dyDescent="0.2">
      <c r="C63" s="52" t="str">
        <f>VLOOKUP(62,Textbausteine_102[],Hilfsgrössen!$D$2,FALSE)</f>
        <v>Investitionen</v>
      </c>
      <c r="D63" s="1" t="str">
        <f>VLOOKUP(22,Textbausteine_102[],Hilfsgrössen!$D$2,FALSE)</f>
        <v>Mio. CHF</v>
      </c>
      <c r="E63" s="164"/>
      <c r="F63" s="9" t="s">
        <v>35</v>
      </c>
      <c r="H63" s="86" t="s">
        <v>30</v>
      </c>
      <c r="I63" s="9">
        <v>347</v>
      </c>
      <c r="J63" s="9">
        <v>540</v>
      </c>
      <c r="K63" s="9">
        <v>644</v>
      </c>
      <c r="L63" s="9">
        <v>516</v>
      </c>
      <c r="M63" s="9">
        <v>431</v>
      </c>
      <c r="N63" s="11">
        <v>364</v>
      </c>
      <c r="O63" s="9">
        <v>429</v>
      </c>
      <c r="P63" s="9">
        <v>443</v>
      </c>
      <c r="Q63" s="9">
        <v>453</v>
      </c>
      <c r="R63" s="9">
        <v>443</v>
      </c>
      <c r="S63" s="9">
        <v>437</v>
      </c>
      <c r="T63" s="9">
        <v>450</v>
      </c>
      <c r="U63" s="9">
        <v>394</v>
      </c>
      <c r="V63" s="9">
        <v>412</v>
      </c>
      <c r="W63" s="9">
        <v>443</v>
      </c>
      <c r="X63" s="307">
        <v>401</v>
      </c>
      <c r="Y63" s="314">
        <v>670</v>
      </c>
      <c r="Z63" s="335"/>
    </row>
    <row r="64" spans="1:89" ht="12.6" customHeight="1" x14ac:dyDescent="0.2">
      <c r="C64" s="50" t="str">
        <f>VLOOKUP(63,Textbausteine_102[],Hilfsgrössen!$D$2,FALSE)</f>
        <v>übrige Sachanlagen, immatrielle Anlagen</v>
      </c>
      <c r="D64" s="1" t="str">
        <f>VLOOKUP(22,Textbausteine_102[],Hilfsgrössen!$D$2,FALSE)</f>
        <v>Mio. CHF</v>
      </c>
      <c r="E64" s="165"/>
      <c r="F64" s="9" t="s">
        <v>35</v>
      </c>
      <c r="H64" s="86" t="s">
        <v>30</v>
      </c>
      <c r="I64" s="9">
        <v>176</v>
      </c>
      <c r="J64" s="9">
        <v>195</v>
      </c>
      <c r="K64" s="9">
        <v>322</v>
      </c>
      <c r="L64" s="9">
        <v>326</v>
      </c>
      <c r="M64" s="9">
        <v>270</v>
      </c>
      <c r="N64" s="11">
        <v>176</v>
      </c>
      <c r="O64" s="9">
        <v>239</v>
      </c>
      <c r="P64" s="9">
        <v>228</v>
      </c>
      <c r="Q64" s="9">
        <v>249</v>
      </c>
      <c r="R64" s="9">
        <v>250</v>
      </c>
      <c r="S64" s="9">
        <v>317</v>
      </c>
      <c r="T64" s="9">
        <v>302</v>
      </c>
      <c r="U64" s="9">
        <v>245</v>
      </c>
      <c r="V64" s="9">
        <v>252</v>
      </c>
      <c r="W64" s="9">
        <v>293</v>
      </c>
      <c r="X64" s="307">
        <v>199</v>
      </c>
      <c r="Y64" s="314">
        <v>270</v>
      </c>
      <c r="Z64" s="335"/>
    </row>
    <row r="65" spans="1:89" ht="12.6" customHeight="1" x14ac:dyDescent="0.2">
      <c r="C65" s="50" t="str">
        <f>VLOOKUP(64,Textbausteine_102[],Hilfsgrössen!$D$2,FALSE)</f>
        <v>Betriebsliegenschaften</v>
      </c>
      <c r="D65" s="1" t="str">
        <f>VLOOKUP(22,Textbausteine_102[],Hilfsgrössen!$D$2,FALSE)</f>
        <v>Mio. CHF</v>
      </c>
      <c r="E65" s="165"/>
      <c r="F65" s="9" t="s">
        <v>35</v>
      </c>
      <c r="H65" s="86" t="s">
        <v>30</v>
      </c>
      <c r="I65" s="9">
        <v>153</v>
      </c>
      <c r="J65" s="9">
        <v>310</v>
      </c>
      <c r="K65" s="9">
        <v>281</v>
      </c>
      <c r="L65" s="9">
        <v>147</v>
      </c>
      <c r="M65" s="9">
        <v>109</v>
      </c>
      <c r="N65" s="11">
        <v>163</v>
      </c>
      <c r="O65" s="9">
        <v>168</v>
      </c>
      <c r="P65" s="9">
        <v>162</v>
      </c>
      <c r="Q65" s="9">
        <v>115</v>
      </c>
      <c r="R65" s="9">
        <v>124</v>
      </c>
      <c r="S65" s="9">
        <v>57</v>
      </c>
      <c r="T65" s="9">
        <v>103</v>
      </c>
      <c r="U65" s="9">
        <v>97</v>
      </c>
      <c r="V65" s="9">
        <v>63</v>
      </c>
      <c r="W65" s="9">
        <v>108</v>
      </c>
      <c r="X65" s="307">
        <v>152</v>
      </c>
      <c r="Y65" s="314">
        <v>85</v>
      </c>
      <c r="Z65" s="335"/>
    </row>
    <row r="66" spans="1:89" ht="12.6" customHeight="1" x14ac:dyDescent="0.2">
      <c r="C66" s="50" t="str">
        <f>VLOOKUP(65,Textbausteine_102[],Hilfsgrössen!$D$2,FALSE)</f>
        <v>als Finanzinvestition gehaltene Immobilien</v>
      </c>
      <c r="D66" s="1" t="str">
        <f>VLOOKUP(22,Textbausteine_102[],Hilfsgrössen!$D$2,FALSE)</f>
        <v>Mio. CHF</v>
      </c>
      <c r="E66" s="165"/>
      <c r="F66" s="9" t="s">
        <v>35</v>
      </c>
      <c r="H66" s="86" t="s">
        <v>30</v>
      </c>
      <c r="I66" s="9">
        <v>0</v>
      </c>
      <c r="J66" s="9">
        <v>0</v>
      </c>
      <c r="K66" s="9">
        <v>0</v>
      </c>
      <c r="L66" s="9">
        <v>0</v>
      </c>
      <c r="M66" s="9">
        <v>0</v>
      </c>
      <c r="N66" s="11">
        <v>0</v>
      </c>
      <c r="O66" s="9">
        <v>11</v>
      </c>
      <c r="P66" s="9">
        <v>19</v>
      </c>
      <c r="Q66" s="9">
        <v>48</v>
      </c>
      <c r="R66" s="9">
        <v>64</v>
      </c>
      <c r="S66" s="9">
        <v>47</v>
      </c>
      <c r="T66" s="9">
        <v>31</v>
      </c>
      <c r="U66" s="9">
        <v>29</v>
      </c>
      <c r="V66" s="9">
        <v>24</v>
      </c>
      <c r="W66" s="9">
        <v>38</v>
      </c>
      <c r="X66" s="307">
        <v>26</v>
      </c>
      <c r="Y66" s="314">
        <v>65</v>
      </c>
      <c r="Z66" s="335"/>
    </row>
    <row r="67" spans="1:89" ht="12.6" customHeight="1" x14ac:dyDescent="0.2">
      <c r="C67" s="50" t="str">
        <f>VLOOKUP(66,Textbausteine_102[],Hilfsgrössen!$D$2,FALSE)</f>
        <v>Beteiligungen</v>
      </c>
      <c r="D67" s="1" t="str">
        <f>VLOOKUP(22,Textbausteine_102[],Hilfsgrössen!$D$2,FALSE)</f>
        <v>Mio. CHF</v>
      </c>
      <c r="E67" s="165"/>
      <c r="F67" s="9" t="s">
        <v>35</v>
      </c>
      <c r="H67" s="86" t="s">
        <v>30</v>
      </c>
      <c r="I67" s="9">
        <v>18</v>
      </c>
      <c r="J67" s="9">
        <v>35</v>
      </c>
      <c r="K67" s="9">
        <v>41</v>
      </c>
      <c r="L67" s="9">
        <v>43</v>
      </c>
      <c r="M67" s="9">
        <v>52</v>
      </c>
      <c r="N67" s="11">
        <v>25</v>
      </c>
      <c r="O67" s="9">
        <v>11</v>
      </c>
      <c r="P67" s="9">
        <v>34</v>
      </c>
      <c r="Q67" s="9">
        <v>41</v>
      </c>
      <c r="R67" s="9">
        <v>5</v>
      </c>
      <c r="S67" s="9">
        <v>16</v>
      </c>
      <c r="T67" s="9">
        <v>14</v>
      </c>
      <c r="U67" s="9">
        <v>23</v>
      </c>
      <c r="V67" s="9">
        <v>73</v>
      </c>
      <c r="W67" s="9">
        <v>4</v>
      </c>
      <c r="X67" s="307">
        <v>24</v>
      </c>
      <c r="Y67" s="314">
        <v>250</v>
      </c>
      <c r="Z67" s="335"/>
    </row>
    <row r="68" spans="1:89" ht="12.6" customHeight="1" x14ac:dyDescent="0.2">
      <c r="C68" s="52" t="str">
        <f>VLOOKUP(67,Textbausteine_102[],Hilfsgrössen!$D$2,FALSE)</f>
        <v>Grad der eigenfinanzierten Investitionen</v>
      </c>
      <c r="D68" s="1" t="str">
        <f>VLOOKUP(21,Textbausteine_102[],Hilfsgrössen!$D$2,FALSE)</f>
        <v>%</v>
      </c>
      <c r="E68" s="165"/>
      <c r="F68" s="9" t="s">
        <v>35</v>
      </c>
      <c r="H68" s="86" t="s">
        <v>30</v>
      </c>
      <c r="I68" s="9">
        <v>100</v>
      </c>
      <c r="J68" s="9">
        <v>100</v>
      </c>
      <c r="K68" s="9">
        <v>100</v>
      </c>
      <c r="L68" s="9">
        <v>100</v>
      </c>
      <c r="M68" s="9">
        <v>100</v>
      </c>
      <c r="N68" s="11">
        <v>100</v>
      </c>
      <c r="O68" s="9">
        <v>100</v>
      </c>
      <c r="P68" s="9">
        <v>100</v>
      </c>
      <c r="Q68" s="9">
        <v>100</v>
      </c>
      <c r="R68" s="9">
        <v>100</v>
      </c>
      <c r="S68" s="9">
        <v>100</v>
      </c>
      <c r="T68" s="9">
        <v>100</v>
      </c>
      <c r="U68" s="9">
        <v>100</v>
      </c>
      <c r="V68" s="9">
        <v>100</v>
      </c>
      <c r="W68" s="9">
        <v>100</v>
      </c>
      <c r="X68" s="307">
        <v>100</v>
      </c>
      <c r="Y68" s="314">
        <v>100</v>
      </c>
      <c r="Z68" s="335"/>
    </row>
    <row r="69" spans="1:89" ht="12.6" customHeight="1" x14ac:dyDescent="0.2">
      <c r="C69" s="13"/>
      <c r="E69" s="165"/>
      <c r="F69" s="31"/>
      <c r="H69" s="99"/>
      <c r="I69" s="99"/>
      <c r="J69" s="99"/>
      <c r="K69" s="99"/>
      <c r="L69" s="99"/>
      <c r="M69" s="99"/>
      <c r="N69" s="11"/>
      <c r="O69" s="11"/>
      <c r="R69" s="99"/>
      <c r="S69" s="99"/>
      <c r="T69" s="9"/>
      <c r="U69" s="9"/>
      <c r="V69" s="9"/>
      <c r="W69" s="9"/>
      <c r="X69" s="307"/>
      <c r="Y69" s="9"/>
    </row>
    <row r="70" spans="1:89" ht="12.6" customHeight="1" x14ac:dyDescent="0.25">
      <c r="B70" s="302" t="str">
        <f>VLOOKUP(253,Textbausteine_102[],Hilfsgrössen!$D$2,FALSE)</f>
        <v>1) Im ausgewiesenen Cashflow 2012 - 2021 werden die Veränderungen der Positionen aus Finanzdienstleistungen (PostFinance) berücksichtigt.</v>
      </c>
      <c r="C70" s="302"/>
      <c r="D70" s="302"/>
      <c r="E70" s="167"/>
      <c r="F70" s="30"/>
      <c r="G70" s="302"/>
      <c r="H70" s="302"/>
      <c r="I70" s="302"/>
      <c r="J70" s="302"/>
      <c r="K70" s="302"/>
      <c r="L70" s="302"/>
      <c r="M70" s="302"/>
      <c r="N70" s="302"/>
      <c r="O70" s="302"/>
      <c r="P70" s="302"/>
      <c r="Q70" s="302"/>
      <c r="R70" s="99"/>
      <c r="S70" s="99"/>
      <c r="T70" s="9"/>
      <c r="U70" s="9"/>
      <c r="V70" s="9"/>
      <c r="W70" s="9"/>
      <c r="X70" s="9"/>
      <c r="Y70" s="9"/>
    </row>
    <row r="71" spans="1:89" ht="12.6" customHeight="1" x14ac:dyDescent="0.25">
      <c r="B71" s="302"/>
      <c r="C71" s="302"/>
      <c r="D71" s="302"/>
      <c r="E71" s="167"/>
      <c r="F71" s="30"/>
      <c r="G71" s="302"/>
      <c r="H71" s="302"/>
      <c r="I71" s="302"/>
      <c r="J71" s="302"/>
      <c r="K71" s="302"/>
      <c r="L71" s="302"/>
      <c r="M71" s="302"/>
      <c r="N71" s="302"/>
      <c r="O71" s="302"/>
      <c r="P71" s="302"/>
      <c r="Q71" s="302"/>
      <c r="R71" s="99"/>
      <c r="S71" s="99"/>
      <c r="T71" s="9"/>
      <c r="U71" s="9"/>
      <c r="V71" s="9"/>
      <c r="W71" s="9"/>
      <c r="X71" s="307"/>
      <c r="Y71" s="9"/>
    </row>
    <row r="72" spans="1:89" ht="12.6" customHeight="1" x14ac:dyDescent="0.2">
      <c r="C72" s="13"/>
      <c r="H72" s="99"/>
      <c r="I72" s="99"/>
      <c r="J72" s="99"/>
      <c r="K72" s="99"/>
      <c r="L72" s="99"/>
      <c r="M72" s="99"/>
      <c r="N72" s="11"/>
      <c r="O72" s="11"/>
      <c r="R72" s="99"/>
      <c r="S72" s="99"/>
      <c r="T72" s="9"/>
      <c r="U72" s="9"/>
      <c r="V72" s="9"/>
      <c r="W72" s="9"/>
      <c r="X72" s="307"/>
      <c r="Y72" s="9"/>
    </row>
    <row r="73" spans="1:89" s="78" customFormat="1" ht="12.6" customHeight="1" x14ac:dyDescent="0.2">
      <c r="A73" s="43" t="s">
        <v>27</v>
      </c>
      <c r="B73" s="401" t="str">
        <f>$C$10</f>
        <v>Mengenentwicklung</v>
      </c>
      <c r="C73" s="401"/>
      <c r="D73" s="78" t="str">
        <f>VLOOKUP(32,Textbausteine_Menu[],Hilfsgrössen!$D$2,FALSE)</f>
        <v>Einheit</v>
      </c>
      <c r="E73" s="163" t="str">
        <f>VLOOKUP(33,Textbausteine_Menu[],Hilfsgrössen!$D$2,FALSE)</f>
        <v>Fussnoten</v>
      </c>
      <c r="F73" s="28" t="str">
        <f>VLOOKUP(34,Textbausteine_Menu[],Hilfsgrössen!$D$2,FALSE)</f>
        <v>GRI</v>
      </c>
      <c r="G73" s="33"/>
      <c r="H73" s="72">
        <v>2004</v>
      </c>
      <c r="I73" s="72">
        <v>2005</v>
      </c>
      <c r="J73" s="72">
        <v>2006</v>
      </c>
      <c r="K73" s="72">
        <v>2007</v>
      </c>
      <c r="L73" s="72">
        <v>2008</v>
      </c>
      <c r="M73" s="72">
        <v>2009</v>
      </c>
      <c r="N73" s="72">
        <v>2010</v>
      </c>
      <c r="O73" s="72">
        <v>2011</v>
      </c>
      <c r="P73" s="72">
        <v>2012</v>
      </c>
      <c r="Q73" s="72">
        <v>2013</v>
      </c>
      <c r="R73" s="72">
        <v>2014</v>
      </c>
      <c r="S73" s="72">
        <v>2015</v>
      </c>
      <c r="T73" s="74">
        <v>2016</v>
      </c>
      <c r="U73" s="74">
        <v>2017</v>
      </c>
      <c r="V73" s="74">
        <v>2018</v>
      </c>
      <c r="W73" s="74">
        <v>2019</v>
      </c>
      <c r="X73" s="273">
        <v>2020</v>
      </c>
      <c r="Y73" s="147">
        <v>2021</v>
      </c>
      <c r="Z73" s="360"/>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c r="BD73" s="72"/>
      <c r="BE73" s="72"/>
      <c r="BF73" s="72"/>
      <c r="BG73" s="72"/>
      <c r="BH73" s="72"/>
      <c r="BI73" s="72"/>
      <c r="BJ73" s="72"/>
      <c r="BK73" s="72"/>
      <c r="BL73" s="72"/>
      <c r="BM73" s="72"/>
      <c r="BN73" s="72"/>
      <c r="BO73" s="72"/>
      <c r="BP73" s="72"/>
      <c r="BQ73" s="72"/>
      <c r="BR73" s="72"/>
      <c r="BS73" s="72"/>
      <c r="BT73" s="72"/>
      <c r="BU73" s="72"/>
      <c r="BV73" s="72"/>
      <c r="BW73" s="72"/>
      <c r="BX73" s="72"/>
      <c r="BY73" s="72"/>
      <c r="BZ73" s="72"/>
      <c r="CA73" s="72"/>
      <c r="CB73" s="72"/>
      <c r="CC73" s="72"/>
      <c r="CD73" s="72"/>
      <c r="CE73" s="72"/>
      <c r="CF73" s="72"/>
      <c r="CG73" s="72"/>
      <c r="CH73" s="72"/>
      <c r="CI73" s="72"/>
      <c r="CJ73" s="72"/>
      <c r="CK73" s="72"/>
    </row>
    <row r="74" spans="1:89" s="42" customFormat="1" ht="12.6" customHeight="1" x14ac:dyDescent="0.2">
      <c r="A74" s="57"/>
      <c r="B74" s="401"/>
      <c r="C74" s="401"/>
      <c r="E74" s="161"/>
      <c r="F74" s="28"/>
      <c r="G74" s="34"/>
      <c r="H74" s="73"/>
      <c r="I74" s="73"/>
      <c r="J74" s="73"/>
      <c r="K74" s="73"/>
      <c r="L74" s="73"/>
      <c r="M74" s="73"/>
      <c r="N74" s="73"/>
      <c r="O74" s="73"/>
      <c r="P74" s="73"/>
      <c r="Q74" s="73"/>
      <c r="R74" s="73"/>
      <c r="S74" s="73"/>
      <c r="T74" s="75"/>
      <c r="U74" s="75"/>
      <c r="V74" s="75"/>
      <c r="W74" s="75"/>
      <c r="X74" s="274"/>
      <c r="Y74" s="312"/>
      <c r="Z74" s="361"/>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BD74" s="73"/>
      <c r="BE74" s="73"/>
      <c r="BF74" s="73"/>
      <c r="BG74" s="73"/>
      <c r="BH74" s="73"/>
      <c r="BI74" s="73"/>
      <c r="BJ74" s="73"/>
      <c r="BK74" s="73"/>
      <c r="BL74" s="73"/>
      <c r="BM74" s="73"/>
      <c r="BN74" s="73"/>
      <c r="BO74" s="73"/>
      <c r="BP74" s="73"/>
      <c r="BQ74" s="73"/>
      <c r="BR74" s="73"/>
      <c r="BS74" s="73"/>
      <c r="BT74" s="73"/>
      <c r="BU74" s="73"/>
      <c r="BV74" s="73"/>
      <c r="BW74" s="73"/>
      <c r="BX74" s="73"/>
      <c r="BY74" s="73"/>
      <c r="BZ74" s="73"/>
      <c r="CA74" s="73"/>
      <c r="CB74" s="73"/>
      <c r="CC74" s="73"/>
      <c r="CD74" s="73"/>
      <c r="CE74" s="73"/>
      <c r="CF74" s="73"/>
      <c r="CG74" s="73"/>
      <c r="CH74" s="73"/>
      <c r="CI74" s="73"/>
      <c r="CJ74" s="73"/>
      <c r="CK74" s="73"/>
    </row>
    <row r="75" spans="1:89" ht="12.6" customHeight="1" x14ac:dyDescent="0.2">
      <c r="B75" s="2"/>
      <c r="E75" s="164"/>
      <c r="G75" s="33"/>
      <c r="Y75" s="313"/>
    </row>
    <row r="76" spans="1:89" ht="12.6" customHeight="1" x14ac:dyDescent="0.2">
      <c r="B76" s="2" t="str">
        <f>VLOOKUP(45,Textbausteine_Menu[],Hilfsgrössen!$D$2,FALSE)</f>
        <v>Logistik-Services</v>
      </c>
      <c r="E76" s="162" t="s">
        <v>37</v>
      </c>
      <c r="H76" s="11"/>
      <c r="I76" s="11"/>
      <c r="J76" s="11"/>
      <c r="K76" s="11"/>
      <c r="L76" s="11"/>
      <c r="M76" s="11"/>
      <c r="N76" s="11"/>
      <c r="O76" s="11"/>
      <c r="R76" s="99"/>
      <c r="S76" s="99"/>
      <c r="T76" s="9"/>
      <c r="U76" s="9"/>
      <c r="V76" s="9"/>
      <c r="W76" s="9"/>
      <c r="X76" s="307"/>
      <c r="Y76" s="314"/>
    </row>
    <row r="77" spans="1:89" ht="12.6" customHeight="1" x14ac:dyDescent="0.2">
      <c r="B77" s="2"/>
      <c r="C77" s="48" t="str">
        <f>VLOOKUP(70,Textbausteine_102[],Hilfsgrössen!$D$2,FALSE)</f>
        <v>Briefe</v>
      </c>
      <c r="D77" s="1" t="str">
        <f>VLOOKUP(23,Textbausteine_102[],Hilfsgrössen!$D$2,FALSE)</f>
        <v>Mio. Sendungen</v>
      </c>
      <c r="E77" s="162" t="s">
        <v>38</v>
      </c>
      <c r="H77" s="108" t="s">
        <v>30</v>
      </c>
      <c r="I77" s="108" t="s">
        <v>30</v>
      </c>
      <c r="J77" s="108" t="s">
        <v>30</v>
      </c>
      <c r="K77" s="108" t="s">
        <v>30</v>
      </c>
      <c r="L77" s="108" t="s">
        <v>30</v>
      </c>
      <c r="M77" s="108" t="s">
        <v>30</v>
      </c>
      <c r="N77" s="108" t="s">
        <v>30</v>
      </c>
      <c r="O77" s="108" t="s">
        <v>30</v>
      </c>
      <c r="P77" s="108" t="s">
        <v>30</v>
      </c>
      <c r="Q77" s="108" t="s">
        <v>30</v>
      </c>
      <c r="R77" s="108" t="s">
        <v>30</v>
      </c>
      <c r="S77" s="108" t="s">
        <v>30</v>
      </c>
      <c r="T77" s="108" t="s">
        <v>30</v>
      </c>
      <c r="U77" s="9">
        <v>2227</v>
      </c>
      <c r="V77" s="9">
        <v>2118</v>
      </c>
      <c r="W77" s="9">
        <v>2008</v>
      </c>
      <c r="X77" s="307">
        <v>1873</v>
      </c>
      <c r="Y77" s="314">
        <v>1811</v>
      </c>
    </row>
    <row r="78" spans="1:89" s="8" customFormat="1" ht="12.6" customHeight="1" x14ac:dyDescent="0.2">
      <c r="A78" s="56"/>
      <c r="B78" s="1"/>
      <c r="C78" s="50" t="str">
        <f>VLOOKUP(71,Textbausteine_102[],Hilfsgrössen!$D$2,FALSE)</f>
        <v>Adressierte Briefe</v>
      </c>
      <c r="D78" s="1" t="str">
        <f>VLOOKUP(23,Textbausteine_102[],Hilfsgrössen!$D$2,FALSE)</f>
        <v>Mio. Sendungen</v>
      </c>
      <c r="E78" s="9" t="s">
        <v>39</v>
      </c>
      <c r="F78" s="9" t="s">
        <v>35</v>
      </c>
      <c r="G78" s="34"/>
      <c r="H78" s="86" t="s">
        <v>30</v>
      </c>
      <c r="I78" s="11">
        <v>2813</v>
      </c>
      <c r="J78" s="11">
        <v>2762</v>
      </c>
      <c r="K78" s="11">
        <v>2742</v>
      </c>
      <c r="L78" s="11">
        <v>2682</v>
      </c>
      <c r="M78" s="11">
        <v>2401</v>
      </c>
      <c r="N78" s="11">
        <v>2364</v>
      </c>
      <c r="O78" s="11">
        <v>2334</v>
      </c>
      <c r="P78" s="9">
        <v>2291</v>
      </c>
      <c r="Q78" s="9">
        <v>2259</v>
      </c>
      <c r="R78" s="99">
        <v>2203</v>
      </c>
      <c r="S78" s="99">
        <v>2172</v>
      </c>
      <c r="T78" s="9">
        <v>2089</v>
      </c>
      <c r="U78" s="9">
        <v>2001.9</v>
      </c>
      <c r="V78">
        <v>1903</v>
      </c>
      <c r="W78">
        <v>1811</v>
      </c>
      <c r="X78">
        <v>1710</v>
      </c>
      <c r="Y78" s="311">
        <v>1659</v>
      </c>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9"/>
      <c r="BZ78" s="9"/>
      <c r="CA78" s="9"/>
      <c r="CB78" s="9"/>
      <c r="CC78" s="9"/>
      <c r="CD78" s="9"/>
      <c r="CE78" s="9"/>
      <c r="CF78" s="9"/>
      <c r="CG78" s="9"/>
      <c r="CH78" s="9"/>
      <c r="CI78" s="9"/>
      <c r="CJ78" s="9"/>
      <c r="CK78" s="9"/>
    </row>
    <row r="79" spans="1:89" s="8" customFormat="1" ht="12.6" customHeight="1" x14ac:dyDescent="0.2">
      <c r="A79" s="56"/>
      <c r="B79" s="1"/>
      <c r="C79" s="362" t="str">
        <f>VLOOKUP(72,Textbausteine_102[],Hilfsgrössen!$D$2,FALSE)</f>
        <v>prioritäre Sendungen</v>
      </c>
      <c r="D79" s="1" t="str">
        <f>VLOOKUP(23,Textbausteine_102[],Hilfsgrössen!$D$2,FALSE)</f>
        <v>Mio. Sendungen</v>
      </c>
      <c r="E79" s="162" t="s">
        <v>40</v>
      </c>
      <c r="F79" s="9" t="s">
        <v>35</v>
      </c>
      <c r="G79" s="34"/>
      <c r="H79" s="86" t="s">
        <v>30</v>
      </c>
      <c r="I79" s="88">
        <v>751</v>
      </c>
      <c r="J79" s="88">
        <v>742</v>
      </c>
      <c r="K79" s="88">
        <v>758</v>
      </c>
      <c r="L79" s="88">
        <v>768</v>
      </c>
      <c r="M79" s="88">
        <v>627</v>
      </c>
      <c r="N79" s="88">
        <v>629</v>
      </c>
      <c r="O79" s="88">
        <v>633</v>
      </c>
      <c r="P79" s="99">
        <v>639</v>
      </c>
      <c r="Q79" s="99">
        <v>636</v>
      </c>
      <c r="R79" s="99">
        <v>622</v>
      </c>
      <c r="S79" s="99">
        <v>611</v>
      </c>
      <c r="T79" s="9">
        <v>593</v>
      </c>
      <c r="U79" s="9">
        <v>566</v>
      </c>
      <c r="V79">
        <v>530</v>
      </c>
      <c r="W79">
        <v>509</v>
      </c>
      <c r="X79">
        <v>502</v>
      </c>
      <c r="Y79" s="311">
        <v>472</v>
      </c>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9"/>
      <c r="BZ79" s="9"/>
      <c r="CA79" s="9"/>
      <c r="CB79" s="9"/>
      <c r="CC79" s="9"/>
      <c r="CD79" s="9"/>
      <c r="CE79" s="9"/>
      <c r="CF79" s="9"/>
      <c r="CG79" s="9"/>
      <c r="CH79" s="9"/>
      <c r="CI79" s="9"/>
      <c r="CJ79" s="9"/>
      <c r="CK79" s="9"/>
    </row>
    <row r="80" spans="1:89" s="8" customFormat="1" ht="12.6" customHeight="1" x14ac:dyDescent="0.2">
      <c r="A80" s="56"/>
      <c r="B80" s="1"/>
      <c r="C80" s="362" t="str">
        <f>VLOOKUP(73,Textbausteine_102[],Hilfsgrössen!$D$2,FALSE)</f>
        <v>nicht prioritäre Sendungen</v>
      </c>
      <c r="D80" s="1" t="str">
        <f>VLOOKUP(23,Textbausteine_102[],Hilfsgrössen!$D$2,FALSE)</f>
        <v>Mio. Sendungen</v>
      </c>
      <c r="E80" s="162" t="s">
        <v>40</v>
      </c>
      <c r="F80" s="9" t="s">
        <v>35</v>
      </c>
      <c r="G80" s="34"/>
      <c r="H80" s="86" t="s">
        <v>30</v>
      </c>
      <c r="I80" s="88">
        <v>2022</v>
      </c>
      <c r="J80" s="88">
        <v>1984</v>
      </c>
      <c r="K80" s="88">
        <v>1949</v>
      </c>
      <c r="L80" s="88">
        <v>1881</v>
      </c>
      <c r="M80" s="88">
        <v>1740</v>
      </c>
      <c r="N80" s="88">
        <v>1706</v>
      </c>
      <c r="O80" s="88">
        <v>1681</v>
      </c>
      <c r="P80" s="99">
        <v>1630</v>
      </c>
      <c r="Q80" s="99">
        <v>1601</v>
      </c>
      <c r="R80" s="99">
        <v>1559</v>
      </c>
      <c r="S80" s="99">
        <v>1538</v>
      </c>
      <c r="T80" s="9">
        <v>1474</v>
      </c>
      <c r="U80" s="9">
        <v>1408</v>
      </c>
      <c r="V80">
        <v>1346</v>
      </c>
      <c r="W80">
        <v>1276</v>
      </c>
      <c r="X80">
        <v>1175</v>
      </c>
      <c r="Y80" s="311">
        <v>1153</v>
      </c>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9"/>
      <c r="CG80" s="9"/>
      <c r="CH80" s="9"/>
      <c r="CI80" s="9"/>
      <c r="CJ80" s="9"/>
      <c r="CK80" s="9"/>
    </row>
    <row r="81" spans="1:89" s="8" customFormat="1" ht="12.6" customHeight="1" x14ac:dyDescent="0.2">
      <c r="A81" s="56"/>
      <c r="B81" s="1"/>
      <c r="C81" s="50" t="str">
        <f>VLOOKUP(74,Textbausteine_102[],Hilfsgrössen!$D$2,FALSE)</f>
        <v>Sendungen ohne Adresse</v>
      </c>
      <c r="D81" s="1" t="str">
        <f>VLOOKUP(23,Textbausteine_102[],Hilfsgrössen!$D$2,FALSE)</f>
        <v>Mio. Sendungen</v>
      </c>
      <c r="E81" s="162" t="s">
        <v>41</v>
      </c>
      <c r="F81" s="9" t="s">
        <v>35</v>
      </c>
      <c r="G81" s="34"/>
      <c r="H81" s="86" t="s">
        <v>30</v>
      </c>
      <c r="I81" s="88">
        <v>1211</v>
      </c>
      <c r="J81" s="88">
        <v>1159</v>
      </c>
      <c r="K81" s="88">
        <v>1216</v>
      </c>
      <c r="L81" s="88">
        <v>1203</v>
      </c>
      <c r="M81" s="88">
        <v>1232</v>
      </c>
      <c r="N81" s="99">
        <v>1300</v>
      </c>
      <c r="O81" s="99">
        <v>1257</v>
      </c>
      <c r="P81" s="99">
        <v>1902</v>
      </c>
      <c r="Q81" s="99">
        <v>1939</v>
      </c>
      <c r="R81" s="99">
        <v>1990</v>
      </c>
      <c r="S81" s="99">
        <v>1982</v>
      </c>
      <c r="T81" s="9">
        <v>1915</v>
      </c>
      <c r="U81" s="9">
        <v>1765</v>
      </c>
      <c r="V81">
        <v>1676</v>
      </c>
      <c r="W81">
        <v>1681</v>
      </c>
      <c r="X81">
        <v>1380</v>
      </c>
      <c r="Y81" s="311">
        <v>1424</v>
      </c>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9"/>
      <c r="BZ81" s="9"/>
      <c r="CA81" s="9"/>
      <c r="CB81" s="9"/>
      <c r="CC81" s="9"/>
      <c r="CD81" s="9"/>
      <c r="CE81" s="9"/>
      <c r="CF81" s="9"/>
      <c r="CG81" s="9"/>
      <c r="CH81" s="9"/>
      <c r="CI81" s="9"/>
      <c r="CJ81" s="9"/>
      <c r="CK81" s="9"/>
    </row>
    <row r="82" spans="1:89" s="8" customFormat="1" ht="12.6" customHeight="1" x14ac:dyDescent="0.2">
      <c r="A82" s="56"/>
      <c r="B82" s="1"/>
      <c r="C82" s="50" t="str">
        <f>VLOOKUP(75,Textbausteine_102[],Hilfsgrössen!$D$2,FALSE)</f>
        <v>Zeitungen</v>
      </c>
      <c r="D82" s="1" t="str">
        <f>VLOOKUP(23,Textbausteine_102[],Hilfsgrössen!$D$2,FALSE)</f>
        <v>Mio. Sendungen</v>
      </c>
      <c r="E82" s="162" t="s">
        <v>41</v>
      </c>
      <c r="F82" s="9" t="s">
        <v>35</v>
      </c>
      <c r="G82" s="34"/>
      <c r="H82" s="86" t="s">
        <v>30</v>
      </c>
      <c r="I82" s="88">
        <v>1201</v>
      </c>
      <c r="J82" s="88">
        <v>1196</v>
      </c>
      <c r="K82" s="88">
        <v>1214</v>
      </c>
      <c r="L82" s="88">
        <v>1196</v>
      </c>
      <c r="M82" s="88">
        <v>1249</v>
      </c>
      <c r="N82" s="9">
        <v>1372</v>
      </c>
      <c r="O82" s="9">
        <v>1342</v>
      </c>
      <c r="P82" s="9">
        <v>1318</v>
      </c>
      <c r="Q82" s="9">
        <v>1256</v>
      </c>
      <c r="R82" s="9">
        <v>1223</v>
      </c>
      <c r="S82" s="9">
        <v>1177</v>
      </c>
      <c r="T82" s="9">
        <v>1149</v>
      </c>
      <c r="U82" s="9">
        <v>1116</v>
      </c>
      <c r="V82">
        <v>1075</v>
      </c>
      <c r="W82">
        <v>1010</v>
      </c>
      <c r="X82">
        <v>1034</v>
      </c>
      <c r="Y82" s="311">
        <v>1022</v>
      </c>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9"/>
      <c r="BZ82" s="9"/>
      <c r="CA82" s="9"/>
      <c r="CB82" s="9"/>
      <c r="CC82" s="9"/>
      <c r="CD82" s="9"/>
      <c r="CE82" s="9"/>
      <c r="CF82" s="9"/>
      <c r="CG82" s="9"/>
      <c r="CH82" s="9"/>
      <c r="CI82" s="9"/>
      <c r="CJ82" s="9"/>
      <c r="CK82" s="9"/>
    </row>
    <row r="83" spans="1:89" s="8" customFormat="1" ht="12.6" customHeight="1" x14ac:dyDescent="0.2">
      <c r="A83" s="40"/>
      <c r="B83" s="2"/>
      <c r="C83" s="50" t="str">
        <f>VLOOKUP(76,Textbausteine_102[],Hilfsgrössen!$D$2,FALSE)</f>
        <v>Briefe Export</v>
      </c>
      <c r="D83" s="1" t="str">
        <f>VLOOKUP(23,Textbausteine_102[],Hilfsgrössen!$D$2,FALSE)</f>
        <v>Mio. Sendungen</v>
      </c>
      <c r="E83" s="9" t="s">
        <v>39</v>
      </c>
      <c r="F83" s="9" t="s">
        <v>35</v>
      </c>
      <c r="G83" s="34"/>
      <c r="H83" s="86" t="s">
        <v>30</v>
      </c>
      <c r="I83" s="9">
        <v>191.7</v>
      </c>
      <c r="J83" s="9">
        <v>199.7</v>
      </c>
      <c r="K83" s="9">
        <v>194</v>
      </c>
      <c r="L83" s="9">
        <v>184</v>
      </c>
      <c r="M83" s="9">
        <v>170</v>
      </c>
      <c r="N83" s="9">
        <v>103.7</v>
      </c>
      <c r="O83" s="9">
        <v>98.2</v>
      </c>
      <c r="P83" s="9">
        <v>82.4</v>
      </c>
      <c r="Q83" s="9">
        <v>80.7</v>
      </c>
      <c r="R83" s="9">
        <v>84.1</v>
      </c>
      <c r="S83" s="9">
        <v>83.8</v>
      </c>
      <c r="T83" s="9">
        <v>82.7</v>
      </c>
      <c r="U83" s="9">
        <v>73.8</v>
      </c>
      <c r="V83">
        <v>69.5</v>
      </c>
      <c r="W83">
        <v>64.3</v>
      </c>
      <c r="X83">
        <v>57.7</v>
      </c>
      <c r="Y83" s="311">
        <v>52.2</v>
      </c>
      <c r="AA83" s="9"/>
      <c r="AB83" s="9"/>
      <c r="AC83" s="382"/>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9"/>
      <c r="BZ83" s="9"/>
      <c r="CA83" s="9"/>
      <c r="CB83" s="9"/>
      <c r="CC83" s="9"/>
      <c r="CD83" s="9"/>
      <c r="CE83" s="9"/>
      <c r="CF83" s="9"/>
      <c r="CG83" s="9"/>
      <c r="CH83" s="9"/>
      <c r="CI83" s="9"/>
      <c r="CJ83" s="9"/>
      <c r="CK83" s="9"/>
    </row>
    <row r="84" spans="1:89" s="8" customFormat="1" ht="12.6" customHeight="1" x14ac:dyDescent="0.2">
      <c r="A84" s="56"/>
      <c r="B84" s="1"/>
      <c r="C84" s="50" t="str">
        <f>VLOOKUP(77,Textbausteine_102[],Hilfsgrössen!$D$2,FALSE)</f>
        <v>Briefe Import</v>
      </c>
      <c r="D84" s="1" t="str">
        <f>VLOOKUP(23,Textbausteine_102[],Hilfsgrössen!$D$2,FALSE)</f>
        <v>Mio. Sendungen</v>
      </c>
      <c r="E84" s="9" t="s">
        <v>42</v>
      </c>
      <c r="F84" s="9" t="s">
        <v>35</v>
      </c>
      <c r="G84" s="34"/>
      <c r="H84" s="86" t="s">
        <v>30</v>
      </c>
      <c r="I84" s="88">
        <v>220.4</v>
      </c>
      <c r="J84" s="88">
        <v>230.6</v>
      </c>
      <c r="K84" s="88">
        <v>234.6</v>
      </c>
      <c r="L84" s="88">
        <v>235.8</v>
      </c>
      <c r="M84" s="88">
        <v>220.3</v>
      </c>
      <c r="N84" s="99">
        <v>198.2</v>
      </c>
      <c r="O84" s="99">
        <v>197.5</v>
      </c>
      <c r="P84" s="99">
        <v>179.6</v>
      </c>
      <c r="Q84" s="99">
        <v>164.2</v>
      </c>
      <c r="R84" s="99">
        <v>159.4</v>
      </c>
      <c r="S84" s="99">
        <v>151.4</v>
      </c>
      <c r="T84" s="9">
        <v>150.69999999999999</v>
      </c>
      <c r="U84" s="9">
        <v>146.80000000000001</v>
      </c>
      <c r="V84">
        <v>145.6</v>
      </c>
      <c r="W84">
        <v>132.1</v>
      </c>
      <c r="X84">
        <v>105.5</v>
      </c>
      <c r="Y84" s="311">
        <v>100</v>
      </c>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9"/>
      <c r="BZ84" s="9"/>
      <c r="CA84" s="9"/>
      <c r="CB84" s="9"/>
      <c r="CC84" s="9"/>
      <c r="CD84" s="9"/>
      <c r="CE84" s="9"/>
      <c r="CF84" s="9"/>
      <c r="CG84" s="9"/>
      <c r="CH84" s="9"/>
      <c r="CI84" s="9"/>
      <c r="CJ84" s="9"/>
      <c r="CK84" s="9"/>
    </row>
    <row r="85" spans="1:89" s="8" customFormat="1" ht="12.6" customHeight="1" x14ac:dyDescent="0.2">
      <c r="A85" s="56"/>
      <c r="B85" s="1"/>
      <c r="C85" s="50" t="str">
        <f>VLOOKUP(78,Textbausteine_102[],Hilfsgrössen!$D$2,FALSE)</f>
        <v>Zeitungen Export</v>
      </c>
      <c r="D85" s="1" t="str">
        <f>VLOOKUP(23,Textbausteine_102[],Hilfsgrössen!$D$2,FALSE)</f>
        <v>Mio. Sendungen</v>
      </c>
      <c r="E85" s="162"/>
      <c r="F85" s="9" t="s">
        <v>35</v>
      </c>
      <c r="G85" s="303"/>
      <c r="H85" s="86" t="s">
        <v>30</v>
      </c>
      <c r="I85" s="108" t="s">
        <v>30</v>
      </c>
      <c r="J85" s="108" t="s">
        <v>30</v>
      </c>
      <c r="K85" s="108" t="s">
        <v>30</v>
      </c>
      <c r="L85" s="108" t="s">
        <v>30</v>
      </c>
      <c r="M85" s="108" t="s">
        <v>30</v>
      </c>
      <c r="N85" s="99">
        <v>11.8</v>
      </c>
      <c r="O85" s="99">
        <v>10.6</v>
      </c>
      <c r="P85" s="99">
        <v>9.5</v>
      </c>
      <c r="Q85" s="99">
        <v>8.5</v>
      </c>
      <c r="R85" s="99">
        <v>6.5</v>
      </c>
      <c r="S85" s="99">
        <v>6.2</v>
      </c>
      <c r="T85" s="9">
        <v>5.8</v>
      </c>
      <c r="U85" s="9">
        <v>5.4</v>
      </c>
      <c r="V85">
        <v>5.0999999999999996</v>
      </c>
      <c r="W85">
        <v>4.9000000000000004</v>
      </c>
      <c r="X85">
        <v>4.2</v>
      </c>
      <c r="Y85" s="318">
        <v>3.7</v>
      </c>
      <c r="Z85" s="335"/>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c r="CF85" s="9"/>
      <c r="CG85" s="9"/>
      <c r="CH85" s="9"/>
      <c r="CI85" s="9"/>
      <c r="CJ85" s="9"/>
      <c r="CK85" s="9"/>
    </row>
    <row r="86" spans="1:89" s="8" customFormat="1" ht="12.6" customHeight="1" x14ac:dyDescent="0.2">
      <c r="A86" s="56"/>
      <c r="B86" s="1"/>
      <c r="C86" s="50" t="str">
        <f>VLOOKUP(79,Textbausteine_102[],Hilfsgrössen!$D$2,FALSE)</f>
        <v>Zeitungen Import</v>
      </c>
      <c r="D86" s="1" t="str">
        <f>VLOOKUP(23,Textbausteine_102[],Hilfsgrössen!$D$2,FALSE)</f>
        <v>Mio. Sendungen</v>
      </c>
      <c r="E86" s="162"/>
      <c r="F86" s="9" t="s">
        <v>35</v>
      </c>
      <c r="G86" s="34"/>
      <c r="H86" s="86" t="s">
        <v>30</v>
      </c>
      <c r="I86" s="108" t="s">
        <v>30</v>
      </c>
      <c r="J86" s="108" t="s">
        <v>30</v>
      </c>
      <c r="K86" s="108" t="s">
        <v>30</v>
      </c>
      <c r="L86" s="108" t="s">
        <v>30</v>
      </c>
      <c r="M86" s="108" t="s">
        <v>30</v>
      </c>
      <c r="N86" s="99">
        <v>24.1</v>
      </c>
      <c r="O86" s="99">
        <v>25.7</v>
      </c>
      <c r="P86" s="99">
        <v>23.5</v>
      </c>
      <c r="Q86" s="99">
        <v>22.9</v>
      </c>
      <c r="R86" s="99">
        <v>21.6</v>
      </c>
      <c r="S86" s="99">
        <v>21.5</v>
      </c>
      <c r="T86" s="9">
        <v>21.7</v>
      </c>
      <c r="U86" s="9">
        <v>20.8</v>
      </c>
      <c r="V86">
        <v>20.5</v>
      </c>
      <c r="W86">
        <v>19.8</v>
      </c>
      <c r="X86">
        <v>16.5</v>
      </c>
      <c r="Y86" s="311">
        <v>15.1</v>
      </c>
      <c r="Z86" s="335"/>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9"/>
      <c r="BZ86" s="9"/>
      <c r="CA86" s="9"/>
      <c r="CB86" s="9"/>
      <c r="CC86" s="9"/>
      <c r="CD86" s="9"/>
      <c r="CE86" s="9"/>
      <c r="CF86" s="9"/>
      <c r="CG86" s="9"/>
      <c r="CH86" s="9"/>
      <c r="CI86" s="9"/>
      <c r="CJ86" s="9"/>
      <c r="CK86" s="9"/>
    </row>
    <row r="87" spans="1:89" s="8" customFormat="1" ht="12.6" customHeight="1" x14ac:dyDescent="0.2">
      <c r="A87" s="56"/>
      <c r="B87" s="1"/>
      <c r="C87" s="48" t="str">
        <f>VLOOKUP(80,Textbausteine_102[],Hilfsgrössen!$D$2,FALSE)</f>
        <v>Pakete</v>
      </c>
      <c r="D87" s="1" t="str">
        <f>VLOOKUP(23,Textbausteine_102[],Hilfsgrössen!$D$2,FALSE)</f>
        <v>Mio. Sendungen</v>
      </c>
      <c r="E87" s="366" t="s">
        <v>43</v>
      </c>
      <c r="F87" s="9" t="s">
        <v>35</v>
      </c>
      <c r="G87" s="303"/>
      <c r="H87" s="152" t="s">
        <v>30</v>
      </c>
      <c r="I87" s="199">
        <v>107.3</v>
      </c>
      <c r="J87" s="199">
        <v>106.6</v>
      </c>
      <c r="K87" s="199">
        <v>106.8</v>
      </c>
      <c r="L87" s="199">
        <v>110.1</v>
      </c>
      <c r="M87" s="199">
        <v>108.6</v>
      </c>
      <c r="N87" s="200">
        <v>113.4</v>
      </c>
      <c r="O87" s="200">
        <v>111.5</v>
      </c>
      <c r="P87" s="200">
        <v>114</v>
      </c>
      <c r="Q87" s="200">
        <v>110</v>
      </c>
      <c r="R87" s="200">
        <v>112</v>
      </c>
      <c r="S87" s="200">
        <v>115.2</v>
      </c>
      <c r="T87" s="304">
        <v>129</v>
      </c>
      <c r="U87" s="304">
        <v>131.9</v>
      </c>
      <c r="V87" s="304">
        <v>140</v>
      </c>
      <c r="W87">
        <v>149.6</v>
      </c>
      <c r="X87">
        <v>184.4</v>
      </c>
      <c r="Y87" s="318">
        <v>202.1</v>
      </c>
      <c r="Z87" s="335"/>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9"/>
      <c r="BZ87" s="9"/>
      <c r="CA87" s="9"/>
      <c r="CB87" s="9"/>
      <c r="CC87" s="9"/>
      <c r="CD87" s="9"/>
      <c r="CE87" s="9"/>
      <c r="CF87" s="9"/>
      <c r="CG87" s="9"/>
      <c r="CH87" s="9"/>
      <c r="CI87" s="9"/>
      <c r="CJ87" s="9"/>
      <c r="CK87" s="9"/>
    </row>
    <row r="88" spans="1:89" s="8" customFormat="1" ht="12.6" customHeight="1" x14ac:dyDescent="0.2">
      <c r="A88" s="56"/>
      <c r="B88" s="1"/>
      <c r="C88" s="50" t="str">
        <f>VLOOKUP(81,Textbausteine_102[],Hilfsgrössen!$D$2,FALSE)</f>
        <v>Inland Priority</v>
      </c>
      <c r="D88" s="1" t="str">
        <f>VLOOKUP(23,Textbausteine_102[],Hilfsgrössen!$D$2,FALSE)</f>
        <v>Mio. Sendungen</v>
      </c>
      <c r="E88" s="366">
        <v>1</v>
      </c>
      <c r="F88" s="9" t="s">
        <v>35</v>
      </c>
      <c r="G88" s="303"/>
      <c r="H88" s="152" t="s">
        <v>30</v>
      </c>
      <c r="I88" s="199">
        <v>27.4</v>
      </c>
      <c r="J88" s="199">
        <v>30.3</v>
      </c>
      <c r="K88" s="199">
        <v>34.6</v>
      </c>
      <c r="L88" s="199">
        <v>38</v>
      </c>
      <c r="M88" s="199">
        <v>39.799999999999997</v>
      </c>
      <c r="N88" s="200">
        <v>43.7</v>
      </c>
      <c r="O88" s="200">
        <v>45.9</v>
      </c>
      <c r="P88" s="200">
        <v>50.1</v>
      </c>
      <c r="Q88" s="200">
        <v>45.8</v>
      </c>
      <c r="R88" s="200">
        <v>49.1</v>
      </c>
      <c r="S88" s="200">
        <v>53.2</v>
      </c>
      <c r="T88" s="304">
        <v>59.4</v>
      </c>
      <c r="U88" s="304">
        <v>65.099999999999994</v>
      </c>
      <c r="V88">
        <v>70.8</v>
      </c>
      <c r="W88">
        <v>76.8</v>
      </c>
      <c r="X88">
        <v>96.1</v>
      </c>
      <c r="Y88" s="318">
        <v>108.9</v>
      </c>
      <c r="Z88" s="335"/>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9"/>
      <c r="BZ88" s="9"/>
      <c r="CA88" s="9"/>
      <c r="CB88" s="9"/>
      <c r="CC88" s="9"/>
      <c r="CD88" s="9"/>
      <c r="CE88" s="9"/>
      <c r="CF88" s="9"/>
      <c r="CG88" s="9"/>
      <c r="CH88" s="9"/>
      <c r="CI88" s="9"/>
      <c r="CJ88" s="9"/>
      <c r="CK88" s="9"/>
    </row>
    <row r="89" spans="1:89" s="8" customFormat="1" ht="12.6" customHeight="1" x14ac:dyDescent="0.2">
      <c r="A89" s="56"/>
      <c r="B89" s="1"/>
      <c r="C89" s="50" t="str">
        <f>VLOOKUP(82,Textbausteine_102[],Hilfsgrössen!$D$2,FALSE)</f>
        <v>Inland Economy</v>
      </c>
      <c r="D89" s="1" t="str">
        <f>VLOOKUP(23,Textbausteine_102[],Hilfsgrössen!$D$2,FALSE)</f>
        <v>Mio. Sendungen</v>
      </c>
      <c r="E89" s="366">
        <v>1</v>
      </c>
      <c r="F89" s="9" t="s">
        <v>35</v>
      </c>
      <c r="G89" s="34"/>
      <c r="H89" s="152" t="s">
        <v>30</v>
      </c>
      <c r="I89" s="199">
        <v>75.3</v>
      </c>
      <c r="J89" s="199">
        <v>71.400000000000006</v>
      </c>
      <c r="K89" s="199">
        <v>68.5</v>
      </c>
      <c r="L89" s="199">
        <v>66.400000000000006</v>
      </c>
      <c r="M89" s="199">
        <v>64.599999999999994</v>
      </c>
      <c r="N89" s="200">
        <v>64.599999999999994</v>
      </c>
      <c r="O89" s="200">
        <v>61</v>
      </c>
      <c r="P89" s="200">
        <v>61.1</v>
      </c>
      <c r="Q89" s="200">
        <v>57.8</v>
      </c>
      <c r="R89" s="200">
        <v>56.3</v>
      </c>
      <c r="S89" s="200">
        <v>55.3</v>
      </c>
      <c r="T89" s="304">
        <v>55.2</v>
      </c>
      <c r="U89" s="304">
        <v>56.9</v>
      </c>
      <c r="V89">
        <v>59.9</v>
      </c>
      <c r="W89" s="337">
        <v>63</v>
      </c>
      <c r="X89">
        <v>75.8</v>
      </c>
      <c r="Y89" s="364">
        <v>80</v>
      </c>
      <c r="Z89" s="335"/>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9"/>
      <c r="BZ89" s="9"/>
      <c r="CA89" s="9"/>
      <c r="CB89" s="9"/>
      <c r="CC89" s="9"/>
      <c r="CD89" s="9"/>
      <c r="CE89" s="9"/>
      <c r="CF89" s="9"/>
      <c r="CG89" s="9"/>
      <c r="CH89" s="9"/>
      <c r="CI89" s="9"/>
      <c r="CJ89" s="9"/>
      <c r="CK89" s="9"/>
    </row>
    <row r="90" spans="1:89" s="8" customFormat="1" ht="12.6" customHeight="1" x14ac:dyDescent="0.2">
      <c r="A90" s="56"/>
      <c r="B90" s="1"/>
      <c r="C90" s="50" t="str">
        <f>VLOOKUP(83,Textbausteine_102[],Hilfsgrössen!$D$2,FALSE)</f>
        <v>Export</v>
      </c>
      <c r="D90" s="1" t="str">
        <f>VLOOKUP(23,Textbausteine_102[],Hilfsgrössen!$D$2,FALSE)</f>
        <v>Mio. Sendungen</v>
      </c>
      <c r="E90" s="366">
        <v>1</v>
      </c>
      <c r="F90" s="9" t="s">
        <v>35</v>
      </c>
      <c r="G90" s="34"/>
      <c r="H90" s="152" t="s">
        <v>30</v>
      </c>
      <c r="I90" s="199">
        <v>1.4</v>
      </c>
      <c r="J90" s="199">
        <v>1.4</v>
      </c>
      <c r="K90" s="199">
        <v>0.8</v>
      </c>
      <c r="L90" s="199">
        <v>1.4</v>
      </c>
      <c r="M90" s="199">
        <v>1.1000000000000001</v>
      </c>
      <c r="N90" s="200">
        <v>1.3</v>
      </c>
      <c r="O90" s="200">
        <v>1.2</v>
      </c>
      <c r="P90" s="200">
        <v>1.4</v>
      </c>
      <c r="Q90" s="200">
        <v>1.6</v>
      </c>
      <c r="R90" s="200">
        <v>1.3</v>
      </c>
      <c r="S90" s="200">
        <v>1.1000000000000001</v>
      </c>
      <c r="T90" s="304">
        <v>1.3</v>
      </c>
      <c r="U90" s="304">
        <v>1.2</v>
      </c>
      <c r="V90">
        <v>1.3</v>
      </c>
      <c r="W90">
        <v>1.5</v>
      </c>
      <c r="X90">
        <v>2.4</v>
      </c>
      <c r="Y90" s="364">
        <v>2</v>
      </c>
      <c r="Z90" s="335"/>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row>
    <row r="91" spans="1:89" s="8" customFormat="1" ht="12.6" customHeight="1" x14ac:dyDescent="0.2">
      <c r="A91" s="56"/>
      <c r="B91" s="1"/>
      <c r="C91" s="50" t="str">
        <f>VLOOKUP(84,Textbausteine_102[],Hilfsgrössen!$D$2,FALSE)</f>
        <v>Import</v>
      </c>
      <c r="D91" s="1" t="str">
        <f>VLOOKUP(23,Textbausteine_102[],Hilfsgrössen!$D$2,FALSE)</f>
        <v>Mio. Sendungen</v>
      </c>
      <c r="E91" s="366">
        <v>3</v>
      </c>
      <c r="F91" s="9" t="s">
        <v>35</v>
      </c>
      <c r="G91" s="303"/>
      <c r="H91" s="152" t="s">
        <v>30</v>
      </c>
      <c r="I91" s="199">
        <v>3.2</v>
      </c>
      <c r="J91" s="199">
        <v>3.5</v>
      </c>
      <c r="K91" s="199">
        <v>2.9</v>
      </c>
      <c r="L91" s="199">
        <v>4.3</v>
      </c>
      <c r="M91" s="199">
        <v>3.1</v>
      </c>
      <c r="N91" s="200">
        <v>3.8</v>
      </c>
      <c r="O91" s="200">
        <v>3.4</v>
      </c>
      <c r="P91" s="200">
        <v>1.4</v>
      </c>
      <c r="Q91" s="200">
        <v>4.8</v>
      </c>
      <c r="R91" s="200">
        <v>5.0999999999999996</v>
      </c>
      <c r="S91" s="200">
        <v>5.6</v>
      </c>
      <c r="T91" s="304">
        <v>5.9</v>
      </c>
      <c r="U91" s="304">
        <v>6.2</v>
      </c>
      <c r="V91">
        <v>6.1</v>
      </c>
      <c r="W91">
        <v>6.8</v>
      </c>
      <c r="X91">
        <v>8.5</v>
      </c>
      <c r="Y91" s="318">
        <v>9.6</v>
      </c>
      <c r="Z91" s="335"/>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9"/>
      <c r="BZ91" s="9"/>
      <c r="CA91" s="9"/>
      <c r="CB91" s="9"/>
      <c r="CC91" s="9"/>
      <c r="CD91" s="9"/>
      <c r="CE91" s="9"/>
      <c r="CF91" s="9"/>
      <c r="CG91" s="9"/>
      <c r="CH91" s="9"/>
      <c r="CI91" s="9"/>
      <c r="CJ91" s="9"/>
      <c r="CK91" s="9"/>
    </row>
    <row r="92" spans="1:89" s="8" customFormat="1" ht="12.6" customHeight="1" x14ac:dyDescent="0.2">
      <c r="A92" s="56"/>
      <c r="B92" s="1"/>
      <c r="C92" s="50" t="str">
        <f>VLOOKUP(128,Textbausteine_102[],Hilfsgrössen!$D$2,FALSE)</f>
        <v>Weitere Paketprodukte</v>
      </c>
      <c r="D92" s="1" t="str">
        <f>VLOOKUP(23,Textbausteine_102[],Hilfsgrössen!$D$2,FALSE)</f>
        <v>Mio. Sendungen</v>
      </c>
      <c r="E92" s="366">
        <v>23</v>
      </c>
      <c r="F92" s="9" t="s">
        <v>35</v>
      </c>
      <c r="G92" s="303"/>
      <c r="H92" s="108" t="s">
        <v>30</v>
      </c>
      <c r="I92" s="108" t="s">
        <v>30</v>
      </c>
      <c r="J92" s="108" t="s">
        <v>30</v>
      </c>
      <c r="K92" s="108" t="s">
        <v>30</v>
      </c>
      <c r="L92" s="108" t="s">
        <v>30</v>
      </c>
      <c r="M92" s="108" t="s">
        <v>30</v>
      </c>
      <c r="N92" s="108" t="s">
        <v>30</v>
      </c>
      <c r="O92" s="108" t="s">
        <v>30</v>
      </c>
      <c r="P92" s="108" t="s">
        <v>30</v>
      </c>
      <c r="Q92" s="108" t="s">
        <v>30</v>
      </c>
      <c r="R92" s="108" t="s">
        <v>30</v>
      </c>
      <c r="S92" s="108" t="s">
        <v>30</v>
      </c>
      <c r="T92" s="304">
        <v>5.2</v>
      </c>
      <c r="U92" s="304">
        <v>2.5</v>
      </c>
      <c r="V92">
        <v>1.9</v>
      </c>
      <c r="W92">
        <v>1.5</v>
      </c>
      <c r="X92">
        <v>1.6</v>
      </c>
      <c r="Y92" s="318">
        <v>1.6</v>
      </c>
      <c r="Z92" s="335"/>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9"/>
      <c r="BZ92" s="9"/>
      <c r="CA92" s="9"/>
      <c r="CB92" s="9"/>
      <c r="CC92" s="9"/>
      <c r="CD92" s="9"/>
      <c r="CE92" s="9"/>
      <c r="CF92" s="9"/>
      <c r="CG92" s="9"/>
      <c r="CH92" s="9"/>
      <c r="CI92" s="9"/>
      <c r="CJ92" s="9"/>
      <c r="CK92" s="9"/>
    </row>
    <row r="93" spans="1:89" s="8" customFormat="1" ht="12.6" customHeight="1" x14ac:dyDescent="0.2">
      <c r="A93" s="56"/>
      <c r="B93" s="1"/>
      <c r="C93" s="50" t="str">
        <f>VLOOKUP(130,Textbausteine_102[],Hilfsgrössen!$D$2,FALSE)</f>
        <v>Kurier- und Expresssendungen</v>
      </c>
      <c r="D93" s="1" t="str">
        <f>VLOOKUP(23,Textbausteine_102[],Hilfsgrössen!$D$2,FALSE)</f>
        <v>Mio. Sendungen</v>
      </c>
      <c r="E93" s="366" t="s">
        <v>44</v>
      </c>
      <c r="F93" s="9" t="s">
        <v>35</v>
      </c>
      <c r="G93" s="303"/>
      <c r="H93" s="108" t="s">
        <v>30</v>
      </c>
      <c r="I93" s="108" t="s">
        <v>30</v>
      </c>
      <c r="J93" s="108" t="s">
        <v>30</v>
      </c>
      <c r="K93" s="108" t="s">
        <v>30</v>
      </c>
      <c r="L93" s="108" t="s">
        <v>30</v>
      </c>
      <c r="M93" s="108" t="s">
        <v>30</v>
      </c>
      <c r="N93" s="108" t="s">
        <v>30</v>
      </c>
      <c r="O93" s="108" t="s">
        <v>30</v>
      </c>
      <c r="P93" s="108" t="s">
        <v>30</v>
      </c>
      <c r="Q93" s="108" t="s">
        <v>30</v>
      </c>
      <c r="R93" s="108" t="s">
        <v>30</v>
      </c>
      <c r="S93" s="108" t="s">
        <v>30</v>
      </c>
      <c r="T93" s="108" t="s">
        <v>30</v>
      </c>
      <c r="U93" s="304">
        <v>5.8</v>
      </c>
      <c r="V93" s="304">
        <v>6.2</v>
      </c>
      <c r="W93" s="304">
        <v>6.2</v>
      </c>
      <c r="X93" s="304">
        <v>7.4</v>
      </c>
      <c r="Y93" s="364">
        <v>10.1</v>
      </c>
      <c r="Z93" s="335"/>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9"/>
      <c r="BZ93" s="9"/>
      <c r="CA93" s="9"/>
      <c r="CB93" s="9"/>
      <c r="CC93" s="9"/>
      <c r="CD93" s="9"/>
      <c r="CE93" s="9"/>
      <c r="CF93" s="9"/>
      <c r="CG93" s="9"/>
      <c r="CH93" s="9"/>
      <c r="CI93" s="9"/>
      <c r="CJ93" s="9"/>
      <c r="CK93" s="9"/>
    </row>
    <row r="94" spans="1:89" s="8" customFormat="1" ht="12.6" customHeight="1" x14ac:dyDescent="0.2">
      <c r="A94" s="56"/>
      <c r="B94" s="1"/>
      <c r="C94" s="50" t="str">
        <f>VLOOKUP(129,Textbausteine_102[],Hilfsgrössen!$D$2,FALSE)</f>
        <v>Swiss Express Privatkunden</v>
      </c>
      <c r="D94" s="1" t="str">
        <f>VLOOKUP(23,Textbausteine_102[],Hilfsgrössen!$D$2,FALSE)</f>
        <v>Mio. Sendungen</v>
      </c>
      <c r="E94" s="366">
        <v>23</v>
      </c>
      <c r="F94" s="9" t="s">
        <v>35</v>
      </c>
      <c r="G94" s="303"/>
      <c r="H94" s="108" t="s">
        <v>30</v>
      </c>
      <c r="I94" s="108" t="s">
        <v>30</v>
      </c>
      <c r="J94" s="108" t="s">
        <v>30</v>
      </c>
      <c r="K94" s="108" t="s">
        <v>30</v>
      </c>
      <c r="L94" s="108" t="s">
        <v>30</v>
      </c>
      <c r="M94" s="108" t="s">
        <v>30</v>
      </c>
      <c r="N94" s="108" t="s">
        <v>30</v>
      </c>
      <c r="O94" s="108" t="s">
        <v>30</v>
      </c>
      <c r="P94" s="108" t="s">
        <v>30</v>
      </c>
      <c r="Q94" s="108" t="s">
        <v>30</v>
      </c>
      <c r="R94" s="108" t="s">
        <v>30</v>
      </c>
      <c r="S94" s="108" t="s">
        <v>30</v>
      </c>
      <c r="T94" s="304">
        <v>0.3</v>
      </c>
      <c r="U94" s="108" t="s">
        <v>30</v>
      </c>
      <c r="V94" s="108" t="s">
        <v>30</v>
      </c>
      <c r="W94" s="108" t="s">
        <v>30</v>
      </c>
      <c r="X94" s="108" t="s">
        <v>30</v>
      </c>
      <c r="Y94" s="383" t="s">
        <v>30</v>
      </c>
      <c r="Z94" s="335"/>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c r="CF94" s="9"/>
      <c r="CG94" s="9"/>
      <c r="CH94" s="9"/>
      <c r="CI94" s="9"/>
      <c r="CJ94" s="9"/>
      <c r="CK94" s="9"/>
    </row>
    <row r="95" spans="1:89" s="8" customFormat="1" ht="12.6" customHeight="1" x14ac:dyDescent="0.2">
      <c r="A95" s="56"/>
      <c r="B95" s="1"/>
      <c r="C95" s="50" t="str">
        <f>VLOOKUP(85,Textbausteine_102[],Hilfsgrössen!$D$2,FALSE)</f>
        <v>Swiss Express Geschäftskunden</v>
      </c>
      <c r="D95" s="1" t="str">
        <f>VLOOKUP(23,Textbausteine_102[],Hilfsgrössen!$D$2,FALSE)</f>
        <v>Mio. Sendungen</v>
      </c>
      <c r="E95" s="366" t="s">
        <v>45</v>
      </c>
      <c r="F95" s="9" t="s">
        <v>35</v>
      </c>
      <c r="G95" s="303"/>
      <c r="H95" s="152" t="s">
        <v>30</v>
      </c>
      <c r="I95" s="199">
        <v>3.2</v>
      </c>
      <c r="J95" s="199">
        <v>3.2</v>
      </c>
      <c r="K95" s="199">
        <v>3</v>
      </c>
      <c r="L95" s="199">
        <v>3</v>
      </c>
      <c r="M95" s="199">
        <v>2.9</v>
      </c>
      <c r="N95" s="200">
        <v>2.4</v>
      </c>
      <c r="O95" s="200">
        <v>2.1</v>
      </c>
      <c r="P95" s="200">
        <v>2.1</v>
      </c>
      <c r="Q95" s="200">
        <v>2</v>
      </c>
      <c r="R95" s="200">
        <v>1.8</v>
      </c>
      <c r="S95" s="200">
        <v>1.8</v>
      </c>
      <c r="T95" s="304">
        <v>1.7</v>
      </c>
      <c r="U95" s="108" t="s">
        <v>30</v>
      </c>
      <c r="V95" s="108" t="s">
        <v>30</v>
      </c>
      <c r="W95" s="108" t="s">
        <v>30</v>
      </c>
      <c r="X95" s="108" t="s">
        <v>30</v>
      </c>
      <c r="Y95" s="383" t="s">
        <v>30</v>
      </c>
      <c r="Z95" s="335"/>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9"/>
      <c r="BZ95" s="9"/>
      <c r="CA95" s="9"/>
      <c r="CB95" s="9"/>
      <c r="CC95" s="9"/>
      <c r="CD95" s="9"/>
      <c r="CE95" s="9"/>
      <c r="CF95" s="9"/>
      <c r="CG95" s="9"/>
      <c r="CH95" s="9"/>
      <c r="CI95" s="9"/>
      <c r="CJ95" s="9"/>
      <c r="CK95" s="9"/>
    </row>
    <row r="96" spans="1:89" s="8" customFormat="1" ht="12.6" customHeight="1" x14ac:dyDescent="0.2">
      <c r="A96" s="56"/>
      <c r="B96" s="1"/>
      <c r="C96" s="48" t="str">
        <f>VLOOKUP(86,Textbausteine_102[],Hilfsgrössen!$D$2,FALSE)</f>
        <v>Courier Export (über TNT Swiss Post AG)</v>
      </c>
      <c r="D96" s="1" t="str">
        <f>VLOOKUP(23,Textbausteine_102[],Hilfsgrössen!$D$2,FALSE)</f>
        <v>Mio. Sendungen</v>
      </c>
      <c r="E96" s="366" t="s">
        <v>46</v>
      </c>
      <c r="F96" s="9" t="s">
        <v>35</v>
      </c>
      <c r="G96" s="34"/>
      <c r="H96" s="152" t="s">
        <v>30</v>
      </c>
      <c r="I96" s="199">
        <v>1.4</v>
      </c>
      <c r="J96" s="199">
        <v>1.6</v>
      </c>
      <c r="K96" s="199">
        <v>1.9</v>
      </c>
      <c r="L96" s="199">
        <v>1.5</v>
      </c>
      <c r="M96" s="199">
        <v>1.5</v>
      </c>
      <c r="N96" s="200">
        <v>1.5</v>
      </c>
      <c r="O96" s="200">
        <v>1.5</v>
      </c>
      <c r="P96" s="200">
        <v>1.4</v>
      </c>
      <c r="Q96" s="200">
        <v>1.4</v>
      </c>
      <c r="R96" s="200">
        <v>1.5</v>
      </c>
      <c r="S96" s="200">
        <v>1.6</v>
      </c>
      <c r="T96" s="304">
        <v>1.6</v>
      </c>
      <c r="U96" s="304">
        <v>1.5</v>
      </c>
      <c r="V96">
        <v>1.6</v>
      </c>
      <c r="W96">
        <v>2.6</v>
      </c>
      <c r="X96" s="337">
        <v>2.3079999999999998</v>
      </c>
      <c r="Y96" s="364">
        <v>1.8</v>
      </c>
      <c r="Z96" s="335"/>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9"/>
      <c r="BZ96" s="9"/>
      <c r="CA96" s="9"/>
      <c r="CB96" s="9"/>
      <c r="CC96" s="9"/>
      <c r="CD96" s="9"/>
      <c r="CE96" s="9"/>
      <c r="CF96" s="9"/>
      <c r="CG96" s="9"/>
      <c r="CH96" s="9"/>
      <c r="CI96" s="9"/>
      <c r="CJ96" s="9"/>
      <c r="CK96" s="9"/>
    </row>
    <row r="97" spans="1:89" s="8" customFormat="1" ht="12.6" customHeight="1" x14ac:dyDescent="0.2">
      <c r="A97" s="56"/>
      <c r="B97" s="1"/>
      <c r="C97" s="48"/>
      <c r="D97" s="1"/>
      <c r="E97" s="162"/>
      <c r="F97" s="9"/>
      <c r="G97" s="34"/>
      <c r="H97" s="88"/>
      <c r="I97" s="88"/>
      <c r="J97" s="88"/>
      <c r="K97" s="88"/>
      <c r="L97" s="88"/>
      <c r="M97" s="88"/>
      <c r="N97" s="99"/>
      <c r="O97" s="99"/>
      <c r="P97" s="99"/>
      <c r="Q97" s="99"/>
      <c r="R97" s="99"/>
      <c r="S97" s="99"/>
      <c r="T97" s="9"/>
      <c r="U97" s="9"/>
      <c r="V97" s="9"/>
      <c r="W97" s="9"/>
      <c r="X97" s="307"/>
      <c r="Y97" s="311"/>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row>
    <row r="98" spans="1:89" s="8" customFormat="1" ht="12.6" customHeight="1" x14ac:dyDescent="0.2">
      <c r="A98" s="56"/>
      <c r="B98" s="2" t="str">
        <f>VLOOKUP(48,Textbausteine_Menu[],Hilfsgrössen!$D$2,FALSE)</f>
        <v>Kommunikations-Services</v>
      </c>
      <c r="C98" s="48"/>
      <c r="D98" s="1"/>
      <c r="E98" s="162" t="s">
        <v>47</v>
      </c>
      <c r="F98" s="9"/>
      <c r="G98" s="34"/>
      <c r="H98" s="88"/>
      <c r="I98" s="88"/>
      <c r="J98" s="88"/>
      <c r="K98" s="88"/>
      <c r="L98" s="88"/>
      <c r="M98" s="88"/>
      <c r="N98" s="99"/>
      <c r="O98" s="99"/>
      <c r="P98" s="99"/>
      <c r="Q98" s="99"/>
      <c r="R98" s="99"/>
      <c r="S98" s="99"/>
      <c r="T98" s="9"/>
      <c r="U98" s="9"/>
      <c r="V98" s="9"/>
      <c r="W98" s="9"/>
      <c r="X98" s="307"/>
      <c r="Y98" s="314"/>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9"/>
      <c r="BZ98" s="9"/>
      <c r="CA98" s="9"/>
      <c r="CB98" s="9"/>
      <c r="CC98" s="9"/>
      <c r="CD98" s="9"/>
      <c r="CE98" s="9"/>
      <c r="CF98" s="9"/>
      <c r="CG98" s="9"/>
      <c r="CH98" s="9"/>
      <c r="CI98" s="9"/>
      <c r="CJ98" s="9"/>
      <c r="CK98" s="9"/>
    </row>
    <row r="99" spans="1:89" s="8" customFormat="1" ht="12.6" customHeight="1" x14ac:dyDescent="0.2">
      <c r="A99" s="56"/>
      <c r="B99" s="2"/>
      <c r="C99" s="48" t="str">
        <f>VLOOKUP(173,Textbausteine_102[],Hilfsgrössen!$D$2,FALSE)</f>
        <v>Aktive User E-Post</v>
      </c>
      <c r="D99" s="1" t="str">
        <f>VLOOKUP(46,Textbausteine_102[],Hilfsgrössen!$D$2,FALSE)</f>
        <v>Anzahl User</v>
      </c>
      <c r="E99" s="162"/>
      <c r="F99" s="9" t="s">
        <v>35</v>
      </c>
      <c r="G99" s="34"/>
      <c r="H99" s="108" t="s">
        <v>30</v>
      </c>
      <c r="I99" s="108" t="s">
        <v>30</v>
      </c>
      <c r="J99" s="108" t="s">
        <v>30</v>
      </c>
      <c r="K99" s="108" t="s">
        <v>30</v>
      </c>
      <c r="L99" s="108" t="s">
        <v>30</v>
      </c>
      <c r="M99" s="108" t="s">
        <v>30</v>
      </c>
      <c r="N99" s="108" t="s">
        <v>30</v>
      </c>
      <c r="O99" s="108" t="s">
        <v>30</v>
      </c>
      <c r="P99" s="108" t="s">
        <v>30</v>
      </c>
      <c r="Q99" s="108" t="s">
        <v>30</v>
      </c>
      <c r="R99" s="108" t="s">
        <v>30</v>
      </c>
      <c r="S99" s="108" t="s">
        <v>30</v>
      </c>
      <c r="T99" s="108" t="s">
        <v>30</v>
      </c>
      <c r="U99" s="108" t="s">
        <v>30</v>
      </c>
      <c r="V99" s="108" t="s">
        <v>30</v>
      </c>
      <c r="W99" s="108" t="s">
        <v>30</v>
      </c>
      <c r="X99" s="108" t="s">
        <v>30</v>
      </c>
      <c r="Y99" s="314">
        <v>38888</v>
      </c>
      <c r="Z99" s="335"/>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9"/>
      <c r="BZ99" s="9"/>
      <c r="CA99" s="9"/>
      <c r="CB99" s="9"/>
      <c r="CC99" s="9"/>
      <c r="CD99" s="9"/>
      <c r="CE99" s="9"/>
      <c r="CF99" s="9"/>
      <c r="CG99" s="9"/>
      <c r="CH99" s="9"/>
      <c r="CI99" s="9"/>
      <c r="CJ99" s="9"/>
      <c r="CK99" s="9"/>
    </row>
    <row r="100" spans="1:89" s="8" customFormat="1" ht="12.6" customHeight="1" x14ac:dyDescent="0.2">
      <c r="A100" s="56"/>
      <c r="B100" s="2"/>
      <c r="C100" s="48" t="str">
        <f>VLOOKUP(174,Textbausteine_102[],Hilfsgrössen!$D$2,FALSE)</f>
        <v>Aktive User Business KLARA</v>
      </c>
      <c r="D100" s="1" t="str">
        <f>VLOOKUP(46,Textbausteine_102[],Hilfsgrössen!$D$2,FALSE)</f>
        <v>Anzahl User</v>
      </c>
      <c r="E100" s="162"/>
      <c r="F100" s="9" t="s">
        <v>35</v>
      </c>
      <c r="G100" s="34"/>
      <c r="H100" s="108" t="s">
        <v>30</v>
      </c>
      <c r="I100" s="108" t="s">
        <v>30</v>
      </c>
      <c r="J100" s="108" t="s">
        <v>30</v>
      </c>
      <c r="K100" s="108" t="s">
        <v>30</v>
      </c>
      <c r="L100" s="108" t="s">
        <v>30</v>
      </c>
      <c r="M100" s="108" t="s">
        <v>30</v>
      </c>
      <c r="N100" s="108" t="s">
        <v>30</v>
      </c>
      <c r="O100" s="108" t="s">
        <v>30</v>
      </c>
      <c r="P100" s="108" t="s">
        <v>30</v>
      </c>
      <c r="Q100" s="108" t="s">
        <v>30</v>
      </c>
      <c r="R100" s="108" t="s">
        <v>30</v>
      </c>
      <c r="S100" s="108" t="s">
        <v>30</v>
      </c>
      <c r="T100" s="108" t="s">
        <v>30</v>
      </c>
      <c r="U100" s="108" t="s">
        <v>30</v>
      </c>
      <c r="V100" s="108" t="s">
        <v>30</v>
      </c>
      <c r="W100" s="108" t="s">
        <v>30</v>
      </c>
      <c r="X100" s="108" t="s">
        <v>30</v>
      </c>
      <c r="Y100" s="314">
        <v>36043</v>
      </c>
      <c r="Z100" s="335"/>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9"/>
      <c r="BZ100" s="9"/>
      <c r="CA100" s="9"/>
      <c r="CB100" s="9"/>
      <c r="CC100" s="9"/>
      <c r="CD100" s="9"/>
      <c r="CE100" s="9"/>
      <c r="CF100" s="9"/>
      <c r="CG100" s="9"/>
      <c r="CH100" s="9"/>
      <c r="CI100" s="9"/>
      <c r="CJ100" s="9"/>
      <c r="CK100" s="9"/>
    </row>
    <row r="101" spans="1:89" s="8" customFormat="1" ht="12.6" customHeight="1" x14ac:dyDescent="0.2">
      <c r="A101" s="56"/>
      <c r="B101" s="2"/>
      <c r="C101" s="48" t="str">
        <f>VLOOKUP(175,Textbausteine_102[],Hilfsgrössen!$D$2,FALSE)</f>
        <v>Anzahl aktiver Stammgemeinschaften EPD</v>
      </c>
      <c r="D101" s="1" t="str">
        <f>VLOOKUP(47,Textbausteine_102[],Hilfsgrössen!$D$2,FALSE)</f>
        <v xml:space="preserve">Anzahl Stammgemeinschaften </v>
      </c>
      <c r="E101" s="162"/>
      <c r="F101" s="9" t="s">
        <v>35</v>
      </c>
      <c r="G101" s="34"/>
      <c r="H101" s="108" t="s">
        <v>30</v>
      </c>
      <c r="I101" s="108" t="s">
        <v>30</v>
      </c>
      <c r="J101" s="108" t="s">
        <v>30</v>
      </c>
      <c r="K101" s="108" t="s">
        <v>30</v>
      </c>
      <c r="L101" s="108" t="s">
        <v>30</v>
      </c>
      <c r="M101" s="108" t="s">
        <v>30</v>
      </c>
      <c r="N101" s="108" t="s">
        <v>30</v>
      </c>
      <c r="O101" s="108" t="s">
        <v>30</v>
      </c>
      <c r="P101" s="108" t="s">
        <v>30</v>
      </c>
      <c r="Q101" s="108" t="s">
        <v>30</v>
      </c>
      <c r="R101" s="108" t="s">
        <v>30</v>
      </c>
      <c r="S101" s="108" t="s">
        <v>30</v>
      </c>
      <c r="T101" s="108" t="s">
        <v>30</v>
      </c>
      <c r="U101" s="108" t="s">
        <v>30</v>
      </c>
      <c r="V101" s="108" t="s">
        <v>30</v>
      </c>
      <c r="W101" s="108" t="s">
        <v>30</v>
      </c>
      <c r="X101" s="108" t="s">
        <v>30</v>
      </c>
      <c r="Y101" s="323">
        <v>5</v>
      </c>
      <c r="Z101" s="335"/>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c r="BD101" s="9"/>
      <c r="BE101" s="9"/>
      <c r="BF101" s="9"/>
      <c r="BG101" s="9"/>
      <c r="BH101" s="9"/>
      <c r="BI101" s="9"/>
      <c r="BJ101" s="9"/>
      <c r="BK101" s="9"/>
      <c r="BL101" s="9"/>
      <c r="BM101" s="9"/>
      <c r="BN101" s="9"/>
      <c r="BO101" s="9"/>
      <c r="BP101" s="9"/>
      <c r="BQ101" s="9"/>
      <c r="BR101" s="9"/>
      <c r="BS101" s="9"/>
      <c r="BT101" s="9"/>
      <c r="BU101" s="9"/>
      <c r="BV101" s="9"/>
      <c r="BW101" s="9"/>
      <c r="BX101" s="9"/>
      <c r="BY101" s="9"/>
      <c r="BZ101" s="9"/>
      <c r="CA101" s="9"/>
      <c r="CB101" s="9"/>
      <c r="CC101" s="9"/>
      <c r="CD101" s="9"/>
      <c r="CE101" s="9"/>
      <c r="CF101" s="9"/>
      <c r="CG101" s="9"/>
      <c r="CH101" s="9"/>
      <c r="CI101" s="9"/>
      <c r="CJ101" s="9"/>
      <c r="CK101" s="9"/>
    </row>
    <row r="102" spans="1:89" s="8" customFormat="1" ht="12.6" customHeight="1" x14ac:dyDescent="0.2">
      <c r="A102" s="56"/>
      <c r="B102" s="2"/>
      <c r="C102" s="48" t="str">
        <f>VLOOKUP(176,Textbausteine_102[],Hilfsgrössen!$D$2,FALSE)</f>
        <v>Anzahl Poststellen mit Möglichkeit zur EPD-Eröffnung</v>
      </c>
      <c r="D102" s="1" t="str">
        <f>VLOOKUP(48,Textbausteine_102[],Hilfsgrössen!$D$2,FALSE)</f>
        <v>Anzahl Poststellen</v>
      </c>
      <c r="E102" s="162"/>
      <c r="F102" s="9"/>
      <c r="G102" s="34"/>
      <c r="H102" s="108" t="s">
        <v>30</v>
      </c>
      <c r="I102" s="108" t="s">
        <v>30</v>
      </c>
      <c r="J102" s="108" t="s">
        <v>30</v>
      </c>
      <c r="K102" s="108" t="s">
        <v>30</v>
      </c>
      <c r="L102" s="108" t="s">
        <v>30</v>
      </c>
      <c r="M102" s="108" t="s">
        <v>30</v>
      </c>
      <c r="N102" s="108" t="s">
        <v>30</v>
      </c>
      <c r="O102" s="108" t="s">
        <v>30</v>
      </c>
      <c r="P102" s="108" t="s">
        <v>30</v>
      </c>
      <c r="Q102" s="108" t="s">
        <v>30</v>
      </c>
      <c r="R102" s="108" t="s">
        <v>30</v>
      </c>
      <c r="S102" s="108" t="s">
        <v>30</v>
      </c>
      <c r="T102" s="108" t="s">
        <v>30</v>
      </c>
      <c r="U102" s="108" t="s">
        <v>30</v>
      </c>
      <c r="V102" s="108" t="s">
        <v>30</v>
      </c>
      <c r="W102" s="108" t="s">
        <v>30</v>
      </c>
      <c r="X102" s="108" t="s">
        <v>30</v>
      </c>
      <c r="Y102" s="323">
        <v>24</v>
      </c>
      <c r="Z102" s="335"/>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c r="BD102" s="9"/>
      <c r="BE102" s="9"/>
      <c r="BF102" s="9"/>
      <c r="BG102" s="9"/>
      <c r="BH102" s="9"/>
      <c r="BI102" s="9"/>
      <c r="BJ102" s="9"/>
      <c r="BK102" s="9"/>
      <c r="BL102" s="9"/>
      <c r="BM102" s="9"/>
      <c r="BN102" s="9"/>
      <c r="BO102" s="9"/>
      <c r="BP102" s="9"/>
      <c r="BQ102" s="9"/>
      <c r="BR102" s="9"/>
      <c r="BS102" s="9"/>
      <c r="BT102" s="9"/>
      <c r="BU102" s="9"/>
      <c r="BV102" s="9"/>
      <c r="BW102" s="9"/>
      <c r="BX102" s="9"/>
      <c r="BY102" s="9"/>
      <c r="BZ102" s="9"/>
      <c r="CA102" s="9"/>
      <c r="CB102" s="9"/>
      <c r="CC102" s="9"/>
      <c r="CD102" s="9"/>
      <c r="CE102" s="9"/>
      <c r="CF102" s="9"/>
      <c r="CG102" s="9"/>
      <c r="CH102" s="9"/>
      <c r="CI102" s="9"/>
      <c r="CJ102" s="9"/>
      <c r="CK102" s="9"/>
    </row>
    <row r="103" spans="1:89" s="8" customFormat="1" ht="12.6" customHeight="1" x14ac:dyDescent="0.2">
      <c r="A103" s="56"/>
      <c r="B103" s="2"/>
      <c r="C103" s="48" t="str">
        <f>VLOOKUP(177,Textbausteine_102[],Hilfsgrössen!$D$2,FALSE)</f>
        <v>Anzahl User IncaMail</v>
      </c>
      <c r="D103" s="1" t="str">
        <f>VLOOKUP(46,Textbausteine_102[],Hilfsgrössen!$D$2,FALSE)</f>
        <v>Anzahl User</v>
      </c>
      <c r="E103" s="162"/>
      <c r="F103" s="9"/>
      <c r="G103" s="34"/>
      <c r="H103" s="108" t="s">
        <v>30</v>
      </c>
      <c r="I103" s="108" t="s">
        <v>30</v>
      </c>
      <c r="J103" s="108" t="s">
        <v>30</v>
      </c>
      <c r="K103" s="108" t="s">
        <v>30</v>
      </c>
      <c r="L103" s="108" t="s">
        <v>30</v>
      </c>
      <c r="M103" s="108" t="s">
        <v>30</v>
      </c>
      <c r="N103" s="108" t="s">
        <v>30</v>
      </c>
      <c r="O103" s="108" t="s">
        <v>30</v>
      </c>
      <c r="P103" s="108" t="s">
        <v>30</v>
      </c>
      <c r="Q103" s="108" t="s">
        <v>30</v>
      </c>
      <c r="R103" s="108" t="s">
        <v>30</v>
      </c>
      <c r="S103" s="108" t="s">
        <v>30</v>
      </c>
      <c r="T103" s="108" t="s">
        <v>30</v>
      </c>
      <c r="U103" s="108" t="s">
        <v>30</v>
      </c>
      <c r="V103" s="108" t="s">
        <v>30</v>
      </c>
      <c r="W103" s="108" t="s">
        <v>30</v>
      </c>
      <c r="X103" s="108" t="s">
        <v>30</v>
      </c>
      <c r="Y103" s="314" t="s">
        <v>48</v>
      </c>
      <c r="Z103" s="335"/>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9"/>
      <c r="BT103" s="9"/>
      <c r="BU103" s="9"/>
      <c r="BV103" s="9"/>
      <c r="BW103" s="9"/>
      <c r="BX103" s="9"/>
      <c r="BY103" s="9"/>
      <c r="BZ103" s="9"/>
      <c r="CA103" s="9"/>
      <c r="CB103" s="9"/>
      <c r="CC103" s="9"/>
      <c r="CD103" s="9"/>
      <c r="CE103" s="9"/>
      <c r="CF103" s="9"/>
      <c r="CG103" s="9"/>
      <c r="CH103" s="9"/>
      <c r="CI103" s="9"/>
      <c r="CJ103" s="9"/>
      <c r="CK103" s="9"/>
    </row>
    <row r="104" spans="1:89" s="8" customFormat="1" ht="12.6" customHeight="1" x14ac:dyDescent="0.2">
      <c r="A104" s="56"/>
      <c r="B104" s="1"/>
      <c r="D104" s="1"/>
      <c r="E104" s="164"/>
      <c r="F104" s="9"/>
      <c r="G104" s="34"/>
      <c r="H104" s="88"/>
      <c r="I104" s="88"/>
      <c r="J104" s="88"/>
      <c r="K104" s="88"/>
      <c r="L104" s="88"/>
      <c r="M104" s="88"/>
      <c r="N104" s="99"/>
      <c r="O104" s="99"/>
      <c r="P104" s="99"/>
      <c r="Q104" s="99"/>
      <c r="R104" s="99"/>
      <c r="S104" s="99"/>
      <c r="T104" s="9"/>
      <c r="U104" s="9"/>
      <c r="V104" s="9"/>
      <c r="W104" s="9"/>
      <c r="X104" s="307"/>
      <c r="Y104" s="314"/>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c r="BD104" s="9"/>
      <c r="BE104" s="9"/>
      <c r="BF104" s="9"/>
      <c r="BG104" s="9"/>
      <c r="BH104" s="9"/>
      <c r="BI104" s="9"/>
      <c r="BJ104" s="9"/>
      <c r="BK104" s="9"/>
      <c r="BL104" s="9"/>
      <c r="BM104" s="9"/>
      <c r="BN104" s="9"/>
      <c r="BO104" s="9"/>
      <c r="BP104" s="9"/>
      <c r="BQ104" s="9"/>
      <c r="BR104" s="9"/>
      <c r="BS104" s="9"/>
      <c r="BT104" s="9"/>
      <c r="BU104" s="9"/>
      <c r="BV104" s="9"/>
      <c r="BW104" s="9"/>
      <c r="BX104" s="9"/>
      <c r="BY104" s="9"/>
      <c r="BZ104" s="9"/>
      <c r="CA104" s="9"/>
      <c r="CB104" s="9"/>
      <c r="CC104" s="9"/>
      <c r="CD104" s="9"/>
      <c r="CE104" s="9"/>
      <c r="CF104" s="9"/>
      <c r="CG104" s="9"/>
      <c r="CH104" s="9"/>
      <c r="CI104" s="9"/>
      <c r="CJ104" s="9"/>
      <c r="CK104" s="9"/>
    </row>
    <row r="105" spans="1:89" s="8" customFormat="1" ht="12.6" customHeight="1" x14ac:dyDescent="0.2">
      <c r="A105" s="56"/>
      <c r="B105" s="2" t="str">
        <f>VLOOKUP(46,Textbausteine_Menu[],Hilfsgrössen!$D$2,FALSE)</f>
        <v>Swiss Post Solutions</v>
      </c>
      <c r="D105" s="1"/>
      <c r="E105" s="164"/>
      <c r="F105" s="9"/>
      <c r="G105" s="34"/>
      <c r="H105" s="88"/>
      <c r="I105" s="88"/>
      <c r="J105" s="88"/>
      <c r="K105" s="88"/>
      <c r="L105" s="88"/>
      <c r="M105" s="88"/>
      <c r="N105" s="99"/>
      <c r="O105" s="99"/>
      <c r="P105" s="99"/>
      <c r="Q105" s="99"/>
      <c r="R105" s="99"/>
      <c r="S105" s="99"/>
      <c r="T105" s="9"/>
      <c r="U105" s="9"/>
      <c r="V105" s="9"/>
      <c r="W105" s="9"/>
      <c r="X105" s="307"/>
      <c r="Y105" s="314"/>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row>
    <row r="106" spans="1:89" s="8" customFormat="1" ht="12.6" customHeight="1" x14ac:dyDescent="0.2">
      <c r="A106" s="56"/>
      <c r="B106" s="1"/>
      <c r="C106" s="48" t="str">
        <f>VLOOKUP(87,Textbausteine_102[],Hilfsgrössen!$D$2,FALSE)</f>
        <v>Bearbeitete Vorgänge</v>
      </c>
      <c r="D106" s="1" t="str">
        <f>VLOOKUP(24,Textbausteine_102[],Hilfsgrössen!$D$2,FALSE)</f>
        <v>Anzahl in Mio.</v>
      </c>
      <c r="E106" s="164" t="s">
        <v>49</v>
      </c>
      <c r="F106" s="9" t="s">
        <v>35</v>
      </c>
      <c r="G106" s="34"/>
      <c r="H106" s="227" t="s">
        <v>30</v>
      </c>
      <c r="I106" s="228" t="s">
        <v>30</v>
      </c>
      <c r="J106" s="229">
        <v>4.3</v>
      </c>
      <c r="K106" s="229">
        <v>4.3</v>
      </c>
      <c r="L106" s="229">
        <v>3.2</v>
      </c>
      <c r="M106" s="229">
        <v>3.9</v>
      </c>
      <c r="N106" s="230">
        <v>5.9</v>
      </c>
      <c r="O106" s="230">
        <v>5.2705979999999997</v>
      </c>
      <c r="P106" s="230">
        <v>5.2861380000000002</v>
      </c>
      <c r="Q106" s="230">
        <v>6.3248540000000002</v>
      </c>
      <c r="R106" s="230">
        <v>7.1</v>
      </c>
      <c r="S106" s="230">
        <v>5.9</v>
      </c>
      <c r="T106" s="220">
        <v>4.8</v>
      </c>
      <c r="U106" s="220">
        <v>5.0999999999999996</v>
      </c>
      <c r="V106" s="220">
        <v>5.6970210000000003</v>
      </c>
      <c r="W106" s="220">
        <v>5.4</v>
      </c>
      <c r="X106" s="278">
        <v>4.4266259999999997</v>
      </c>
      <c r="Y106" s="365">
        <v>4.7300000000000004</v>
      </c>
      <c r="Z106" s="335"/>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c r="BD106" s="9"/>
      <c r="BE106" s="9"/>
      <c r="BF106" s="9"/>
      <c r="BG106" s="9"/>
      <c r="BH106" s="9"/>
      <c r="BI106" s="9"/>
      <c r="BJ106" s="9"/>
      <c r="BK106" s="9"/>
      <c r="BL106" s="9"/>
      <c r="BM106" s="9"/>
      <c r="BN106" s="9"/>
      <c r="BO106" s="9"/>
      <c r="BP106" s="9"/>
      <c r="BQ106" s="9"/>
      <c r="BR106" s="9"/>
      <c r="BS106" s="9"/>
      <c r="BT106" s="9"/>
      <c r="BU106" s="9"/>
      <c r="BV106" s="9"/>
      <c r="BW106" s="9"/>
      <c r="BX106" s="9"/>
      <c r="BY106" s="9"/>
      <c r="BZ106" s="9"/>
      <c r="CA106" s="9"/>
      <c r="CB106" s="9"/>
      <c r="CC106" s="9"/>
      <c r="CD106" s="9"/>
      <c r="CE106" s="9"/>
      <c r="CF106" s="9"/>
      <c r="CG106" s="9"/>
      <c r="CH106" s="9"/>
      <c r="CI106" s="9"/>
      <c r="CJ106" s="9"/>
      <c r="CK106" s="9"/>
    </row>
    <row r="107" spans="1:89" s="8" customFormat="1" ht="12.6" customHeight="1" x14ac:dyDescent="0.2">
      <c r="A107" s="56"/>
      <c r="B107" s="1"/>
      <c r="C107" s="48" t="str">
        <f>VLOOKUP(88,Textbausteine_102[],Hilfsgrössen!$D$2,FALSE)</f>
        <v>Gescannte Seiten (Document Solutions)</v>
      </c>
      <c r="D107" s="1" t="str">
        <f>VLOOKUP(24,Textbausteine_102[],Hilfsgrössen!$D$2,FALSE)</f>
        <v>Anzahl in Mio.</v>
      </c>
      <c r="E107" s="9">
        <v>5</v>
      </c>
      <c r="F107" s="9" t="s">
        <v>35</v>
      </c>
      <c r="G107" s="34"/>
      <c r="H107" s="227" t="s">
        <v>30</v>
      </c>
      <c r="I107" s="228" t="s">
        <v>30</v>
      </c>
      <c r="J107" s="229">
        <v>15.7</v>
      </c>
      <c r="K107" s="229">
        <v>15.7</v>
      </c>
      <c r="L107" s="229">
        <v>23.7</v>
      </c>
      <c r="M107" s="229">
        <v>33</v>
      </c>
      <c r="N107" s="230">
        <v>35</v>
      </c>
      <c r="O107" s="230">
        <v>38.65</v>
      </c>
      <c r="P107" s="230">
        <v>33</v>
      </c>
      <c r="Q107" s="230">
        <v>153.834</v>
      </c>
      <c r="R107" s="230">
        <v>160</v>
      </c>
      <c r="S107" s="230">
        <v>186.9</v>
      </c>
      <c r="T107" s="220">
        <v>182.8</v>
      </c>
      <c r="U107" s="220">
        <v>201</v>
      </c>
      <c r="V107" s="220">
        <v>220.52623800000001</v>
      </c>
      <c r="W107" s="220">
        <v>178.7</v>
      </c>
      <c r="X107" s="278">
        <v>166.08444499999999</v>
      </c>
      <c r="Y107" s="314">
        <v>194.88779600000001</v>
      </c>
      <c r="Z107" s="335"/>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c r="CF107" s="9"/>
      <c r="CG107" s="9"/>
      <c r="CH107" s="9"/>
      <c r="CI107" s="9"/>
      <c r="CJ107" s="9"/>
      <c r="CK107" s="9"/>
    </row>
    <row r="108" spans="1:89" s="8" customFormat="1" ht="12.6" customHeight="1" x14ac:dyDescent="0.2">
      <c r="A108" s="56"/>
      <c r="B108" s="1"/>
      <c r="C108" s="48" t="str">
        <f>VLOOKUP(89,Textbausteine_102[],Hilfsgrössen!$D$2,FALSE)</f>
        <v>Personalisierter Karten (Cards)</v>
      </c>
      <c r="D108" s="1" t="str">
        <f>VLOOKUP(24,Textbausteine_102[],Hilfsgrössen!$D$2,FALSE)</f>
        <v>Anzahl in Mio.</v>
      </c>
      <c r="E108" s="9">
        <v>5</v>
      </c>
      <c r="F108" s="9" t="s">
        <v>35</v>
      </c>
      <c r="G108" s="303"/>
      <c r="H108" s="227" t="s">
        <v>30</v>
      </c>
      <c r="I108" s="228" t="s">
        <v>30</v>
      </c>
      <c r="J108" s="229">
        <v>256</v>
      </c>
      <c r="K108" s="229">
        <v>256</v>
      </c>
      <c r="L108" s="229">
        <v>254</v>
      </c>
      <c r="M108" s="229">
        <v>125</v>
      </c>
      <c r="N108" s="230">
        <v>165.5</v>
      </c>
      <c r="O108" s="230">
        <v>189.50945299999998</v>
      </c>
      <c r="P108" s="230">
        <v>171.5</v>
      </c>
      <c r="Q108" s="230">
        <v>140</v>
      </c>
      <c r="R108" s="230">
        <v>119.1</v>
      </c>
      <c r="S108" s="230">
        <v>153</v>
      </c>
      <c r="T108" s="231" t="s">
        <v>30</v>
      </c>
      <c r="U108" s="231" t="s">
        <v>30</v>
      </c>
      <c r="V108" s="231" t="s">
        <v>30</v>
      </c>
      <c r="W108" s="231" t="s">
        <v>30</v>
      </c>
      <c r="X108" s="279" t="s">
        <v>30</v>
      </c>
      <c r="Y108" s="314">
        <v>0</v>
      </c>
      <c r="Z108" s="335"/>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c r="BD108" s="9"/>
      <c r="BE108" s="9"/>
      <c r="BF108" s="9"/>
      <c r="BG108" s="9"/>
      <c r="BH108" s="9"/>
      <c r="BI108" s="9"/>
      <c r="BJ108" s="9"/>
      <c r="BK108" s="9"/>
      <c r="BL108" s="9"/>
      <c r="BM108" s="9"/>
      <c r="BN108" s="9"/>
      <c r="BO108" s="9"/>
      <c r="BP108" s="9"/>
      <c r="BQ108" s="9"/>
      <c r="BR108" s="9"/>
      <c r="BS108" s="9"/>
      <c r="BT108" s="9"/>
      <c r="BU108" s="9"/>
      <c r="BV108" s="9"/>
      <c r="BW108" s="9"/>
      <c r="BX108" s="9"/>
      <c r="BY108" s="9"/>
      <c r="BZ108" s="9"/>
      <c r="CA108" s="9"/>
      <c r="CB108" s="9"/>
      <c r="CC108" s="9"/>
      <c r="CD108" s="9"/>
      <c r="CE108" s="9"/>
      <c r="CF108" s="9"/>
      <c r="CG108" s="9"/>
      <c r="CH108" s="9"/>
      <c r="CI108" s="9"/>
      <c r="CJ108" s="9"/>
      <c r="CK108" s="9"/>
    </row>
    <row r="109" spans="1:89" s="8" customFormat="1" ht="12.6" customHeight="1" x14ac:dyDescent="0.2">
      <c r="A109" s="56"/>
      <c r="B109" s="1"/>
      <c r="C109" s="48" t="str">
        <f>VLOOKUP(90,Textbausteine_102[],Hilfsgrössen!$D$2,FALSE)</f>
        <v>Unpersonalisierter Karten (Cards)</v>
      </c>
      <c r="D109" s="1" t="str">
        <f>VLOOKUP(24,Textbausteine_102[],Hilfsgrössen!$D$2,FALSE)</f>
        <v>Anzahl in Mio.</v>
      </c>
      <c r="E109" s="9">
        <v>5</v>
      </c>
      <c r="F109" s="9" t="s">
        <v>35</v>
      </c>
      <c r="G109" s="34"/>
      <c r="H109" s="227" t="s">
        <v>30</v>
      </c>
      <c r="I109" s="227" t="s">
        <v>30</v>
      </c>
      <c r="J109" s="232">
        <v>21</v>
      </c>
      <c r="K109" s="232">
        <v>21</v>
      </c>
      <c r="L109" s="232">
        <v>22</v>
      </c>
      <c r="M109" s="232">
        <v>20</v>
      </c>
      <c r="N109" s="220">
        <v>20</v>
      </c>
      <c r="O109" s="220">
        <v>9</v>
      </c>
      <c r="P109" s="220">
        <v>8.3000000000000007</v>
      </c>
      <c r="Q109" s="220">
        <v>5</v>
      </c>
      <c r="R109" s="220">
        <v>1.2</v>
      </c>
      <c r="S109" s="220">
        <v>2</v>
      </c>
      <c r="T109" s="231" t="s">
        <v>30</v>
      </c>
      <c r="U109" s="231" t="s">
        <v>30</v>
      </c>
      <c r="V109" s="231" t="s">
        <v>30</v>
      </c>
      <c r="W109" s="231" t="s">
        <v>30</v>
      </c>
      <c r="X109" s="279" t="s">
        <v>30</v>
      </c>
      <c r="Y109" s="314">
        <v>0</v>
      </c>
      <c r="Z109" s="335"/>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9"/>
      <c r="BN109" s="9"/>
      <c r="BO109" s="9"/>
      <c r="BP109" s="9"/>
      <c r="BQ109" s="9"/>
      <c r="BR109" s="9"/>
      <c r="BS109" s="9"/>
      <c r="BT109" s="9"/>
      <c r="BU109" s="9"/>
      <c r="BV109" s="9"/>
      <c r="BW109" s="9"/>
      <c r="BX109" s="9"/>
      <c r="BY109" s="9"/>
      <c r="BZ109" s="9"/>
      <c r="CA109" s="9"/>
      <c r="CB109" s="9"/>
      <c r="CC109" s="9"/>
      <c r="CD109" s="9"/>
      <c r="CE109" s="9"/>
      <c r="CF109" s="9"/>
      <c r="CG109" s="9"/>
      <c r="CH109" s="9"/>
      <c r="CI109" s="9"/>
      <c r="CJ109" s="9"/>
      <c r="CK109" s="9"/>
    </row>
    <row r="110" spans="1:89" s="8" customFormat="1" ht="12.6" customHeight="1" x14ac:dyDescent="0.2">
      <c r="A110" s="257"/>
      <c r="B110" s="2"/>
      <c r="C110" s="48" t="str">
        <f>VLOOKUP(91,Textbausteine_102[],Hilfsgrössen!$D$2,FALSE)</f>
        <v>Produzierte Sendungen (Document Output)</v>
      </c>
      <c r="D110" s="1" t="str">
        <f>VLOOKUP(24,Textbausteine_102[],Hilfsgrössen!$D$2,FALSE)</f>
        <v>Anzahl in Mio.</v>
      </c>
      <c r="E110" s="9">
        <v>5</v>
      </c>
      <c r="F110" s="9" t="s">
        <v>35</v>
      </c>
      <c r="G110" s="34"/>
      <c r="H110" s="227" t="s">
        <v>30</v>
      </c>
      <c r="I110" s="227" t="s">
        <v>30</v>
      </c>
      <c r="J110" s="232">
        <v>169.2</v>
      </c>
      <c r="K110" s="232">
        <v>169.2</v>
      </c>
      <c r="L110" s="232">
        <v>204.2</v>
      </c>
      <c r="M110" s="232">
        <v>208.9</v>
      </c>
      <c r="N110" s="220">
        <v>204.2</v>
      </c>
      <c r="O110" s="220">
        <v>203.63200000000001</v>
      </c>
      <c r="P110" s="220">
        <v>204.12100000000001</v>
      </c>
      <c r="Q110" s="220">
        <v>360</v>
      </c>
      <c r="R110" s="220">
        <v>335.8</v>
      </c>
      <c r="S110" s="220">
        <v>403.1</v>
      </c>
      <c r="T110" s="220">
        <v>428.8</v>
      </c>
      <c r="U110" s="220">
        <v>463.4</v>
      </c>
      <c r="V110" s="220">
        <v>480.63600000000002</v>
      </c>
      <c r="W110" s="220">
        <v>426.1</v>
      </c>
      <c r="X110" s="278">
        <v>342.13899999999995</v>
      </c>
      <c r="Y110" s="314">
        <v>308.50000000000006</v>
      </c>
      <c r="Z110" s="335"/>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c r="BD110" s="9"/>
      <c r="BE110" s="9"/>
      <c r="BF110" s="9"/>
      <c r="BG110" s="9"/>
      <c r="BH110" s="9"/>
      <c r="BI110" s="9"/>
      <c r="BJ110" s="9"/>
      <c r="BK110" s="9"/>
      <c r="BL110" s="9"/>
      <c r="BM110" s="9"/>
      <c r="BN110" s="9"/>
      <c r="BO110" s="9"/>
      <c r="BP110" s="9"/>
      <c r="BQ110" s="9"/>
      <c r="BR110" s="9"/>
      <c r="BS110" s="9"/>
      <c r="BT110" s="9"/>
      <c r="BU110" s="9"/>
      <c r="BV110" s="9"/>
      <c r="BW110" s="9"/>
      <c r="BX110" s="9"/>
      <c r="BY110" s="9"/>
      <c r="BZ110" s="9"/>
      <c r="CA110" s="9"/>
      <c r="CB110" s="9"/>
      <c r="CC110" s="9"/>
      <c r="CD110" s="9"/>
      <c r="CE110" s="9"/>
      <c r="CF110" s="9"/>
      <c r="CG110" s="9"/>
      <c r="CH110" s="9"/>
      <c r="CI110" s="9"/>
      <c r="CJ110" s="9"/>
      <c r="CK110" s="9"/>
    </row>
    <row r="111" spans="1:89" s="8" customFormat="1" ht="12.6" customHeight="1" x14ac:dyDescent="0.2">
      <c r="A111" s="56"/>
      <c r="B111" s="1"/>
      <c r="C111" s="48" t="str">
        <f>VLOOKUP(92,Textbausteine_102[],Hilfsgrössen!$D$2,FALSE)</f>
        <v>Abgeschlossenes Auftragsvolumen</v>
      </c>
      <c r="D111" s="1" t="str">
        <f>VLOOKUP(22,Textbausteine_102[],Hilfsgrössen!$D$2,FALSE)</f>
        <v>Mio. CHF</v>
      </c>
      <c r="E111" s="9">
        <v>5</v>
      </c>
      <c r="F111" s="9" t="s">
        <v>35</v>
      </c>
      <c r="G111" s="303"/>
      <c r="H111" s="227" t="s">
        <v>30</v>
      </c>
      <c r="I111" s="233" t="s">
        <v>30</v>
      </c>
      <c r="J111" s="234">
        <v>261.7</v>
      </c>
      <c r="K111" s="234">
        <v>261.7</v>
      </c>
      <c r="L111" s="234">
        <v>568.5</v>
      </c>
      <c r="M111" s="234">
        <v>456.9</v>
      </c>
      <c r="N111" s="230">
        <v>662.4</v>
      </c>
      <c r="O111" s="230">
        <v>498.4</v>
      </c>
      <c r="P111" s="230">
        <v>503.887</v>
      </c>
      <c r="Q111" s="230">
        <v>620.9</v>
      </c>
      <c r="R111" s="230">
        <v>677.3</v>
      </c>
      <c r="S111" s="230">
        <v>667.9</v>
      </c>
      <c r="T111" s="220">
        <v>646.1</v>
      </c>
      <c r="U111" s="220">
        <v>594.79999999999995</v>
      </c>
      <c r="V111" s="220">
        <v>672.77499999999998</v>
      </c>
      <c r="W111" s="220">
        <v>755</v>
      </c>
      <c r="X111" s="278">
        <v>625.46</v>
      </c>
      <c r="Y111" s="314">
        <v>681</v>
      </c>
      <c r="Z111" s="335"/>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c r="BE111" s="9"/>
      <c r="BF111" s="9"/>
      <c r="BG111" s="9"/>
      <c r="BH111" s="9"/>
      <c r="BI111" s="9"/>
      <c r="BJ111" s="9"/>
      <c r="BK111" s="9"/>
      <c r="BL111" s="9"/>
      <c r="BM111" s="9"/>
      <c r="BN111" s="9"/>
      <c r="BO111" s="9"/>
      <c r="BP111" s="9"/>
      <c r="BQ111" s="9"/>
      <c r="BR111" s="9"/>
      <c r="BS111" s="9"/>
      <c r="BT111" s="9"/>
      <c r="BU111" s="9"/>
      <c r="BV111" s="9"/>
      <c r="BW111" s="9"/>
      <c r="BX111" s="9"/>
      <c r="BY111" s="9"/>
      <c r="BZ111" s="9"/>
      <c r="CA111" s="9"/>
      <c r="CB111" s="9"/>
      <c r="CC111" s="9"/>
      <c r="CD111" s="9"/>
      <c r="CE111" s="9"/>
      <c r="CF111" s="9"/>
      <c r="CG111" s="9"/>
      <c r="CH111" s="9"/>
      <c r="CI111" s="9"/>
      <c r="CJ111" s="9"/>
      <c r="CK111" s="9"/>
    </row>
    <row r="112" spans="1:89" s="8" customFormat="1" ht="12.6" customHeight="1" x14ac:dyDescent="0.2">
      <c r="A112" s="56"/>
      <c r="B112" s="1"/>
      <c r="C112" s="48"/>
      <c r="D112" s="1"/>
      <c r="E112" s="162"/>
      <c r="F112" s="9"/>
      <c r="G112" s="34"/>
      <c r="H112" s="107"/>
      <c r="I112" s="107"/>
      <c r="J112" s="107"/>
      <c r="K112" s="107"/>
      <c r="L112" s="107"/>
      <c r="M112" s="107"/>
      <c r="N112" s="99"/>
      <c r="O112" s="99"/>
      <c r="P112" s="99"/>
      <c r="Q112" s="99"/>
      <c r="R112" s="99"/>
      <c r="S112" s="99"/>
      <c r="T112" s="9"/>
      <c r="U112" s="9"/>
      <c r="V112" s="9"/>
      <c r="W112" s="9"/>
      <c r="X112" s="307"/>
      <c r="Y112" s="314"/>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c r="BE112" s="9"/>
      <c r="BF112" s="9"/>
      <c r="BG112" s="9"/>
      <c r="BH112" s="9"/>
      <c r="BI112" s="9"/>
      <c r="BJ112" s="9"/>
      <c r="BK112" s="9"/>
      <c r="BL112" s="9"/>
      <c r="BM112" s="9"/>
      <c r="BN112" s="9"/>
      <c r="BO112" s="9"/>
      <c r="BP112" s="9"/>
      <c r="BQ112" s="9"/>
      <c r="BR112" s="9"/>
      <c r="BS112" s="9"/>
      <c r="BT112" s="9"/>
      <c r="BU112" s="9"/>
      <c r="BV112" s="9"/>
      <c r="BW112" s="9"/>
      <c r="BX112" s="9"/>
      <c r="BY112" s="9"/>
      <c r="BZ112" s="9"/>
      <c r="CA112" s="9"/>
      <c r="CB112" s="9"/>
      <c r="CC112" s="9"/>
      <c r="CD112" s="9"/>
      <c r="CE112" s="9"/>
      <c r="CF112" s="9"/>
      <c r="CG112" s="9"/>
      <c r="CH112" s="9"/>
      <c r="CI112" s="9"/>
      <c r="CJ112" s="9"/>
      <c r="CK112" s="9"/>
    </row>
    <row r="113" spans="1:89" ht="12.6" customHeight="1" x14ac:dyDescent="0.2">
      <c r="B113" s="2" t="str">
        <f>VLOOKUP(47,Textbausteine_Menu[],Hilfsgrössen!$D$2,FALSE)</f>
        <v>PostNetz</v>
      </c>
      <c r="H113" s="11"/>
      <c r="I113" s="11"/>
      <c r="J113" s="11"/>
      <c r="K113" s="11"/>
      <c r="L113" s="11"/>
      <c r="M113" s="11"/>
      <c r="N113" s="11"/>
      <c r="O113" s="11"/>
      <c r="R113" s="99"/>
      <c r="S113" s="99"/>
      <c r="T113" s="9"/>
      <c r="U113" s="9"/>
      <c r="V113" s="9"/>
      <c r="W113" s="9"/>
      <c r="X113" s="307"/>
      <c r="Y113" s="314"/>
    </row>
    <row r="114" spans="1:89" s="8" customFormat="1" ht="12.6" customHeight="1" x14ac:dyDescent="0.2">
      <c r="A114" s="56"/>
      <c r="B114" s="1"/>
      <c r="C114" s="16" t="str">
        <f>VLOOKUP(93,Textbausteine_102[],Hilfsgrössen!$D$2,FALSE)</f>
        <v>Nettoumsatz übrige Markenartikel</v>
      </c>
      <c r="D114" s="1" t="str">
        <f>VLOOKUP(22,Textbausteine_102[],Hilfsgrössen!$D$2,FALSE)</f>
        <v>Mio. CHF</v>
      </c>
      <c r="E114" s="162" t="s">
        <v>50</v>
      </c>
      <c r="F114" s="9" t="s">
        <v>35</v>
      </c>
      <c r="G114" s="34"/>
      <c r="H114" s="86" t="s">
        <v>30</v>
      </c>
      <c r="I114" s="86" t="s">
        <v>30</v>
      </c>
      <c r="J114" s="86" t="s">
        <v>30</v>
      </c>
      <c r="K114" s="86" t="s">
        <v>30</v>
      </c>
      <c r="L114" s="86" t="s">
        <v>30</v>
      </c>
      <c r="M114" s="86" t="s">
        <v>30</v>
      </c>
      <c r="N114" s="11">
        <v>482</v>
      </c>
      <c r="O114" s="11">
        <v>495</v>
      </c>
      <c r="P114" s="9">
        <v>498</v>
      </c>
      <c r="Q114" s="9">
        <v>497</v>
      </c>
      <c r="R114" s="99">
        <v>509</v>
      </c>
      <c r="S114" s="99">
        <v>480</v>
      </c>
      <c r="T114" s="9">
        <v>473</v>
      </c>
      <c r="U114" s="9">
        <v>425</v>
      </c>
      <c r="V114" s="9">
        <v>97.1</v>
      </c>
      <c r="W114" s="9">
        <v>78.2</v>
      </c>
      <c r="X114" s="307">
        <v>55.7</v>
      </c>
      <c r="Y114" s="314">
        <v>56.3</v>
      </c>
      <c r="Z114" s="335"/>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c r="BE114" s="9"/>
      <c r="BF114" s="9"/>
      <c r="BG114" s="9"/>
      <c r="BH114" s="9"/>
      <c r="BI114" s="9"/>
      <c r="BJ114" s="9"/>
      <c r="BK114" s="9"/>
      <c r="BL114" s="9"/>
      <c r="BM114" s="9"/>
      <c r="BN114" s="9"/>
      <c r="BO114" s="9"/>
      <c r="BP114" s="9"/>
      <c r="BQ114" s="9"/>
      <c r="BR114" s="9"/>
      <c r="BS114" s="9"/>
      <c r="BT114" s="9"/>
      <c r="BU114" s="9"/>
      <c r="BV114" s="9"/>
      <c r="BW114" s="9"/>
      <c r="BX114" s="9"/>
      <c r="BY114" s="9"/>
      <c r="BZ114" s="9"/>
      <c r="CA114" s="9"/>
      <c r="CB114" s="9"/>
      <c r="CC114" s="9"/>
      <c r="CD114" s="9"/>
      <c r="CE114" s="9"/>
      <c r="CF114" s="9"/>
      <c r="CG114" s="9"/>
      <c r="CH114" s="9"/>
      <c r="CI114" s="9"/>
      <c r="CJ114" s="9"/>
      <c r="CK114" s="9"/>
    </row>
    <row r="115" spans="1:89" s="8" customFormat="1" ht="12.6" customHeight="1" x14ac:dyDescent="0.2">
      <c r="A115" s="56"/>
      <c r="B115" s="1"/>
      <c r="C115" s="4" t="str">
        <f>VLOOKUP(94,Textbausteine_102[],Hilfsgrössen!$D$2,FALSE)</f>
        <v>Annahme Einzahlungen</v>
      </c>
      <c r="D115" s="1" t="str">
        <f>VLOOKUP(24,Textbausteine_102[],Hilfsgrössen!$D$2,FALSE)</f>
        <v>Anzahl in Mio.</v>
      </c>
      <c r="E115" s="162" t="s">
        <v>51</v>
      </c>
      <c r="F115" s="9" t="s">
        <v>35</v>
      </c>
      <c r="G115" s="34"/>
      <c r="H115" s="86" t="s">
        <v>30</v>
      </c>
      <c r="I115" s="88">
        <v>230</v>
      </c>
      <c r="J115" s="88">
        <v>222</v>
      </c>
      <c r="K115" s="88">
        <v>216</v>
      </c>
      <c r="L115" s="88">
        <v>212</v>
      </c>
      <c r="M115" s="88">
        <v>207</v>
      </c>
      <c r="N115" s="88">
        <v>201</v>
      </c>
      <c r="O115" s="88">
        <v>189</v>
      </c>
      <c r="P115" s="99">
        <v>183</v>
      </c>
      <c r="Q115" s="99">
        <v>178</v>
      </c>
      <c r="R115" s="99">
        <v>171</v>
      </c>
      <c r="S115" s="99">
        <v>164</v>
      </c>
      <c r="T115" s="9">
        <v>155</v>
      </c>
      <c r="U115" s="9">
        <v>145</v>
      </c>
      <c r="V115" s="9">
        <v>137</v>
      </c>
      <c r="W115" s="9">
        <v>128</v>
      </c>
      <c r="X115" s="307">
        <v>110</v>
      </c>
      <c r="Y115" s="314">
        <v>97</v>
      </c>
      <c r="Z115" s="335"/>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9"/>
      <c r="BO115" s="9"/>
      <c r="BP115" s="9"/>
      <c r="BQ115" s="9"/>
      <c r="BR115" s="9"/>
      <c r="BS115" s="9"/>
      <c r="BT115" s="9"/>
      <c r="BU115" s="9"/>
      <c r="BV115" s="9"/>
      <c r="BW115" s="9"/>
      <c r="BX115" s="9"/>
      <c r="BY115" s="9"/>
      <c r="BZ115" s="9"/>
      <c r="CA115" s="9"/>
      <c r="CB115" s="9"/>
      <c r="CC115" s="9"/>
      <c r="CD115" s="9"/>
      <c r="CE115" s="9"/>
      <c r="CF115" s="9"/>
      <c r="CG115" s="9"/>
      <c r="CH115" s="9"/>
      <c r="CI115" s="9"/>
      <c r="CJ115" s="9"/>
      <c r="CK115" s="9"/>
    </row>
    <row r="116" spans="1:89" s="8" customFormat="1" ht="12.6" customHeight="1" x14ac:dyDescent="0.2">
      <c r="A116" s="56"/>
      <c r="B116" s="1"/>
      <c r="D116" s="1"/>
      <c r="E116" s="162"/>
      <c r="F116" s="9"/>
      <c r="G116" s="34"/>
      <c r="H116" s="88"/>
      <c r="I116" s="88"/>
      <c r="J116" s="88"/>
      <c r="K116" s="88"/>
      <c r="L116" s="88"/>
      <c r="M116" s="88"/>
      <c r="N116" s="88"/>
      <c r="O116" s="88"/>
      <c r="P116" s="99"/>
      <c r="Q116" s="99"/>
      <c r="R116" s="99"/>
      <c r="S116" s="99"/>
      <c r="T116" s="9"/>
      <c r="U116" s="9"/>
      <c r="V116" s="9"/>
      <c r="W116" s="9"/>
      <c r="X116" s="307"/>
      <c r="Y116" s="314"/>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c r="BE116" s="9"/>
      <c r="BF116" s="9"/>
      <c r="BG116" s="9"/>
      <c r="BH116" s="9"/>
      <c r="BI116" s="9"/>
      <c r="BJ116" s="9"/>
      <c r="BK116" s="9"/>
      <c r="BL116" s="9"/>
      <c r="BM116" s="9"/>
      <c r="BN116" s="9"/>
      <c r="BO116" s="9"/>
      <c r="BP116" s="9"/>
      <c r="BQ116" s="9"/>
      <c r="BR116" s="9"/>
      <c r="BS116" s="9"/>
      <c r="BT116" s="9"/>
      <c r="BU116" s="9"/>
      <c r="BV116" s="9"/>
      <c r="BW116" s="9"/>
      <c r="BX116" s="9"/>
      <c r="BY116" s="9"/>
      <c r="BZ116" s="9"/>
      <c r="CA116" s="9"/>
      <c r="CB116" s="9"/>
      <c r="CC116" s="9"/>
      <c r="CD116" s="9"/>
      <c r="CE116" s="9"/>
      <c r="CF116" s="9"/>
      <c r="CG116" s="9"/>
      <c r="CH116" s="9"/>
      <c r="CI116" s="9"/>
      <c r="CJ116" s="9"/>
      <c r="CK116" s="9"/>
    </row>
    <row r="117" spans="1:89" s="8" customFormat="1" ht="12.6" customHeight="1" x14ac:dyDescent="0.2">
      <c r="A117" s="56"/>
      <c r="B117" s="2" t="str">
        <f>VLOOKUP(49,Textbausteine_Menu[],Hilfsgrössen!$D$2,FALSE)</f>
        <v>PostFinance</v>
      </c>
      <c r="D117" s="1"/>
      <c r="E117" s="162"/>
      <c r="F117" s="9"/>
      <c r="G117" s="34"/>
      <c r="H117" s="88"/>
      <c r="I117" s="88"/>
      <c r="J117" s="88"/>
      <c r="K117" s="88"/>
      <c r="L117" s="88"/>
      <c r="M117" s="88"/>
      <c r="N117" s="99"/>
      <c r="O117" s="99"/>
      <c r="P117" s="99"/>
      <c r="Q117" s="99"/>
      <c r="R117" s="99"/>
      <c r="S117" s="99"/>
      <c r="T117" s="9"/>
      <c r="U117" s="9"/>
      <c r="V117" s="9"/>
      <c r="W117" s="9"/>
      <c r="X117" s="307"/>
      <c r="Y117" s="314"/>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c r="BE117" s="9"/>
      <c r="BF117" s="9"/>
      <c r="BG117" s="9"/>
      <c r="BH117" s="9"/>
      <c r="BI117" s="9"/>
      <c r="BJ117" s="9"/>
      <c r="BK117" s="9"/>
      <c r="BL117" s="9"/>
      <c r="BM117" s="9"/>
      <c r="BN117" s="9"/>
      <c r="BO117" s="9"/>
      <c r="BP117" s="9"/>
      <c r="BQ117" s="9"/>
      <c r="BR117" s="9"/>
      <c r="BS117" s="9"/>
      <c r="BT117" s="9"/>
      <c r="BU117" s="9"/>
      <c r="BV117" s="9"/>
      <c r="BW117" s="9"/>
      <c r="BX117" s="9"/>
      <c r="BY117" s="9"/>
      <c r="BZ117" s="9"/>
      <c r="CA117" s="9"/>
      <c r="CB117" s="9"/>
      <c r="CC117" s="9"/>
      <c r="CD117" s="9"/>
      <c r="CE117" s="9"/>
      <c r="CF117" s="9"/>
      <c r="CG117" s="9"/>
      <c r="CH117" s="9"/>
      <c r="CI117" s="9"/>
      <c r="CJ117" s="9"/>
      <c r="CK117" s="9"/>
    </row>
    <row r="118" spans="1:89" s="8" customFormat="1" ht="12.6" customHeight="1" x14ac:dyDescent="0.2">
      <c r="A118" s="56"/>
      <c r="B118" s="1"/>
      <c r="C118" s="1" t="str">
        <f>VLOOKUP(95,Textbausteine_102[],Hilfsgrössen!$D$2,FALSE)</f>
        <v>Kundenvermögensentwicklung</v>
      </c>
      <c r="D118" s="1" t="str">
        <f>VLOOKUP(22,Textbausteine_102[],Hilfsgrössen!$D$2,FALSE)</f>
        <v>Mio. CHF</v>
      </c>
      <c r="E118" s="162" t="s">
        <v>52</v>
      </c>
      <c r="F118" s="9" t="s">
        <v>35</v>
      </c>
      <c r="G118" s="34"/>
      <c r="H118" s="86" t="s">
        <v>30</v>
      </c>
      <c r="I118" s="108" t="s">
        <v>30</v>
      </c>
      <c r="J118" s="108" t="s">
        <v>30</v>
      </c>
      <c r="K118" s="108" t="s">
        <v>30</v>
      </c>
      <c r="L118" s="108" t="s">
        <v>30</v>
      </c>
      <c r="M118" s="108" t="s">
        <v>30</v>
      </c>
      <c r="N118" s="102" t="s">
        <v>30</v>
      </c>
      <c r="O118" s="9">
        <v>10835</v>
      </c>
      <c r="P118" s="9">
        <v>9681</v>
      </c>
      <c r="Q118" s="9">
        <v>5072</v>
      </c>
      <c r="R118" s="9">
        <v>3606</v>
      </c>
      <c r="S118" s="9">
        <v>-2320</v>
      </c>
      <c r="T118" s="9">
        <v>4570</v>
      </c>
      <c r="U118" s="9">
        <v>361</v>
      </c>
      <c r="V118" s="9">
        <v>-854</v>
      </c>
      <c r="W118" s="11">
        <v>246</v>
      </c>
      <c r="X118" s="280">
        <v>4019</v>
      </c>
      <c r="Y118" s="318">
        <v>-12964</v>
      </c>
      <c r="Z118" s="287"/>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c r="BE118" s="9"/>
      <c r="BF118" s="9"/>
      <c r="BG118" s="9"/>
      <c r="BH118" s="9"/>
      <c r="BI118" s="9"/>
      <c r="BJ118" s="9"/>
      <c r="BK118" s="9"/>
      <c r="BL118" s="9"/>
      <c r="BM118" s="9"/>
      <c r="BN118" s="9"/>
      <c r="BO118" s="9"/>
      <c r="BP118" s="9"/>
      <c r="BQ118" s="9"/>
      <c r="BR118" s="9"/>
      <c r="BS118" s="9"/>
      <c r="BT118" s="9"/>
      <c r="BU118" s="9"/>
      <c r="BV118" s="9"/>
      <c r="BW118" s="9"/>
      <c r="BX118" s="9"/>
      <c r="BY118" s="9"/>
      <c r="BZ118" s="9"/>
      <c r="CA118" s="9"/>
      <c r="CB118" s="9"/>
      <c r="CC118" s="9"/>
      <c r="CD118" s="9"/>
      <c r="CE118" s="9"/>
      <c r="CF118" s="9"/>
      <c r="CG118" s="9"/>
      <c r="CH118" s="9"/>
      <c r="CI118" s="9"/>
      <c r="CJ118" s="9"/>
      <c r="CK118" s="9"/>
    </row>
    <row r="119" spans="1:89" s="8" customFormat="1" ht="12.6" customHeight="1" x14ac:dyDescent="0.2">
      <c r="A119" s="257"/>
      <c r="B119" s="2"/>
      <c r="C119" s="8" t="str">
        <f>VLOOKUP(96,Textbausteine_102[],Hilfsgrössen!$D$2,FALSE)</f>
        <v>Anzahl Kundenkonten</v>
      </c>
      <c r="D119" s="1" t="str">
        <f>VLOOKUP(25,Textbausteine_102[],Hilfsgrössen!$D$2,FALSE)</f>
        <v>Anzahl in Tausend</v>
      </c>
      <c r="E119" s="162"/>
      <c r="F119" s="9" t="s">
        <v>35</v>
      </c>
      <c r="G119" s="34"/>
      <c r="H119" s="86" t="s">
        <v>30</v>
      </c>
      <c r="I119" s="9">
        <v>3008</v>
      </c>
      <c r="J119" s="9">
        <v>3154</v>
      </c>
      <c r="K119" s="9">
        <v>3335.0120000000002</v>
      </c>
      <c r="L119" s="9">
        <v>3646</v>
      </c>
      <c r="M119" s="9">
        <v>3881</v>
      </c>
      <c r="N119" s="9">
        <v>4079</v>
      </c>
      <c r="O119" s="9">
        <v>4212</v>
      </c>
      <c r="P119" s="9">
        <v>4549.2359999999999</v>
      </c>
      <c r="Q119" s="9">
        <v>4628</v>
      </c>
      <c r="R119" s="9">
        <v>4752</v>
      </c>
      <c r="S119" s="9">
        <v>4835</v>
      </c>
      <c r="T119" s="9">
        <v>4845</v>
      </c>
      <c r="U119" s="9">
        <v>4809</v>
      </c>
      <c r="V119" s="9">
        <v>4503</v>
      </c>
      <c r="W119" s="9">
        <v>4401</v>
      </c>
      <c r="X119" s="307">
        <v>4286</v>
      </c>
      <c r="Y119" s="318">
        <v>4037</v>
      </c>
      <c r="Z119" s="335"/>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row>
    <row r="120" spans="1:89" s="8" customFormat="1" ht="12.6" customHeight="1" x14ac:dyDescent="0.2">
      <c r="A120" s="56"/>
      <c r="B120" s="1"/>
      <c r="C120" s="4" t="str">
        <f>VLOOKUP(97,Textbausteine_102[],Hilfsgrössen!$D$2,FALSE)</f>
        <v>Durchschnittsbestand Kundenvermögen (Monats-Ø)</v>
      </c>
      <c r="D120" s="1" t="str">
        <f>VLOOKUP(22,Textbausteine_102[],Hilfsgrössen!$D$2,FALSE)</f>
        <v>Mio. CHF</v>
      </c>
      <c r="E120" s="162" t="s">
        <v>53</v>
      </c>
      <c r="F120" s="9" t="s">
        <v>35</v>
      </c>
      <c r="G120" s="34"/>
      <c r="H120" s="86" t="s">
        <v>30</v>
      </c>
      <c r="I120" s="108" t="s">
        <v>30</v>
      </c>
      <c r="J120" s="108" t="s">
        <v>30</v>
      </c>
      <c r="K120" s="108" t="s">
        <v>30</v>
      </c>
      <c r="L120" s="108" t="s">
        <v>30</v>
      </c>
      <c r="M120" s="108" t="s">
        <v>30</v>
      </c>
      <c r="N120" s="99">
        <v>87992.309227999998</v>
      </c>
      <c r="O120" s="99">
        <v>98827.6851844013</v>
      </c>
      <c r="P120" s="99">
        <v>108508.29627799999</v>
      </c>
      <c r="Q120" s="99">
        <v>113580</v>
      </c>
      <c r="R120" s="99">
        <v>117186</v>
      </c>
      <c r="S120" s="99">
        <v>114865.813994121</v>
      </c>
      <c r="T120" s="9">
        <v>119436</v>
      </c>
      <c r="U120" s="9">
        <v>119797</v>
      </c>
      <c r="V120" s="9">
        <v>118943</v>
      </c>
      <c r="W120" s="11">
        <v>119660</v>
      </c>
      <c r="X120" s="307">
        <v>123679</v>
      </c>
      <c r="Y120" s="318">
        <v>110715</v>
      </c>
      <c r="Z120" s="287"/>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c r="BE120" s="9"/>
      <c r="BF120" s="9"/>
      <c r="BG120" s="9"/>
      <c r="BH120" s="9"/>
      <c r="BI120" s="9"/>
      <c r="BJ120" s="9"/>
      <c r="BK120" s="9"/>
      <c r="BL120" s="9"/>
      <c r="BM120" s="9"/>
      <c r="BN120" s="9"/>
      <c r="BO120" s="9"/>
      <c r="BP120" s="9"/>
      <c r="BQ120" s="9"/>
      <c r="BR120" s="9"/>
      <c r="BS120" s="9"/>
      <c r="BT120" s="9"/>
      <c r="BU120" s="9"/>
      <c r="BV120" s="9"/>
      <c r="BW120" s="9"/>
      <c r="BX120" s="9"/>
      <c r="BY120" s="9"/>
      <c r="BZ120" s="9"/>
      <c r="CA120" s="9"/>
      <c r="CB120" s="9"/>
      <c r="CC120" s="9"/>
      <c r="CD120" s="9"/>
      <c r="CE120" s="9"/>
      <c r="CF120" s="9"/>
      <c r="CG120" s="9"/>
      <c r="CH120" s="9"/>
      <c r="CI120" s="9"/>
      <c r="CJ120" s="9"/>
      <c r="CK120" s="9"/>
    </row>
    <row r="121" spans="1:89" s="8" customFormat="1" ht="12.6" customHeight="1" x14ac:dyDescent="0.2">
      <c r="A121" s="56"/>
      <c r="B121" s="1"/>
      <c r="C121" s="4" t="str">
        <f>VLOOKUP(98,Textbausteine_102[],Hilfsgrössen!$D$2,FALSE)</f>
        <v>Durchschnittsbestand Kundengelder (Monats-Ø)</v>
      </c>
      <c r="D121" s="1" t="str">
        <f>VLOOKUP(22,Textbausteine_102[],Hilfsgrössen!$D$2,FALSE)</f>
        <v>Mio. CHF</v>
      </c>
      <c r="E121" s="162"/>
      <c r="F121" s="9" t="s">
        <v>35</v>
      </c>
      <c r="G121" s="303"/>
      <c r="H121" s="86" t="s">
        <v>30</v>
      </c>
      <c r="I121" s="108" t="s">
        <v>30</v>
      </c>
      <c r="J121" s="108" t="s">
        <v>30</v>
      </c>
      <c r="K121" s="108" t="s">
        <v>30</v>
      </c>
      <c r="L121" s="108" t="s">
        <v>30</v>
      </c>
      <c r="M121" s="108" t="s">
        <v>30</v>
      </c>
      <c r="N121" s="99">
        <v>83974.026276387507</v>
      </c>
      <c r="O121" s="99">
        <v>94642.066211651298</v>
      </c>
      <c r="P121" s="99">
        <v>103484.821056774</v>
      </c>
      <c r="Q121" s="99">
        <v>107538.19981799999</v>
      </c>
      <c r="R121" s="99">
        <v>110062</v>
      </c>
      <c r="S121" s="99">
        <v>107093.693319121</v>
      </c>
      <c r="T121" s="9">
        <v>111190</v>
      </c>
      <c r="U121" s="9">
        <v>109829</v>
      </c>
      <c r="V121" s="9">
        <v>108869</v>
      </c>
      <c r="W121" s="9">
        <v>106852</v>
      </c>
      <c r="X121" s="307">
        <v>109189</v>
      </c>
      <c r="Y121" s="318">
        <v>92495</v>
      </c>
      <c r="Z121" s="335"/>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c r="BE121" s="9"/>
      <c r="BF121" s="9"/>
      <c r="BG121" s="9"/>
      <c r="BH121" s="9"/>
      <c r="BI121" s="9"/>
      <c r="BJ121" s="9"/>
      <c r="BK121" s="9"/>
      <c r="BL121" s="9"/>
      <c r="BM121" s="9"/>
      <c r="BN121" s="9"/>
      <c r="BO121" s="9"/>
      <c r="BP121" s="9"/>
      <c r="BQ121" s="9"/>
      <c r="BR121" s="9"/>
      <c r="BS121" s="9"/>
      <c r="BT121" s="9"/>
      <c r="BU121" s="9"/>
      <c r="BV121" s="9"/>
      <c r="BW121" s="9"/>
      <c r="BX121" s="9"/>
      <c r="BY121" s="9"/>
      <c r="BZ121" s="9"/>
      <c r="CA121" s="9"/>
      <c r="CB121" s="9"/>
      <c r="CC121" s="9"/>
      <c r="CD121" s="9"/>
      <c r="CE121" s="9"/>
      <c r="CF121" s="9"/>
      <c r="CG121" s="9"/>
      <c r="CH121" s="9"/>
      <c r="CI121" s="9"/>
      <c r="CJ121" s="9"/>
      <c r="CK121" s="9"/>
    </row>
    <row r="122" spans="1:89" s="8" customFormat="1" ht="12.6" customHeight="1" x14ac:dyDescent="0.2">
      <c r="A122" s="56"/>
      <c r="B122" s="1"/>
      <c r="C122" s="8" t="str">
        <f>VLOOKUP(99,Textbausteine_102[],Hilfsgrössen!$D$2,FALSE)</f>
        <v>Anzahl Transaktionen</v>
      </c>
      <c r="D122" s="1" t="str">
        <f>VLOOKUP(24,Textbausteine_102[],Hilfsgrössen!$D$2,FALSE)</f>
        <v>Anzahl in Mio.</v>
      </c>
      <c r="E122" s="162"/>
      <c r="F122" s="9" t="s">
        <v>35</v>
      </c>
      <c r="G122" s="34"/>
      <c r="H122" s="86" t="s">
        <v>30</v>
      </c>
      <c r="I122" s="88">
        <v>801</v>
      </c>
      <c r="J122" s="88">
        <v>803</v>
      </c>
      <c r="K122" s="88">
        <v>823</v>
      </c>
      <c r="L122" s="88">
        <v>843</v>
      </c>
      <c r="M122" s="88">
        <v>865</v>
      </c>
      <c r="N122" s="99">
        <v>894</v>
      </c>
      <c r="O122" s="99">
        <v>907</v>
      </c>
      <c r="P122" s="99">
        <v>932.12372300000004</v>
      </c>
      <c r="Q122" s="99">
        <v>965</v>
      </c>
      <c r="R122" s="99">
        <v>996</v>
      </c>
      <c r="S122" s="99">
        <v>1020</v>
      </c>
      <c r="T122" s="9">
        <v>1044</v>
      </c>
      <c r="U122" s="9">
        <v>1072</v>
      </c>
      <c r="V122" s="9">
        <v>1145</v>
      </c>
      <c r="W122" s="9">
        <v>1180</v>
      </c>
      <c r="X122" s="307">
        <v>1185</v>
      </c>
      <c r="Y122" s="318">
        <v>1265</v>
      </c>
      <c r="Z122" s="335"/>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c r="BE122" s="9"/>
      <c r="BF122" s="9"/>
      <c r="BG122" s="9"/>
      <c r="BH122" s="9"/>
      <c r="BI122" s="9"/>
      <c r="BJ122" s="9"/>
      <c r="BK122" s="9"/>
      <c r="BL122" s="9"/>
      <c r="BM122" s="9"/>
      <c r="BN122" s="9"/>
      <c r="BO122" s="9"/>
      <c r="BP122" s="9"/>
      <c r="BQ122" s="9"/>
      <c r="BR122" s="9"/>
      <c r="BS122" s="9"/>
      <c r="BT122" s="9"/>
      <c r="BU122" s="9"/>
      <c r="BV122" s="9"/>
      <c r="BW122" s="9"/>
      <c r="BX122" s="9"/>
      <c r="BY122" s="9"/>
      <c r="BZ122" s="9"/>
      <c r="CA122" s="9"/>
      <c r="CB122" s="9"/>
      <c r="CC122" s="9"/>
      <c r="CD122" s="9"/>
      <c r="CE122" s="9"/>
      <c r="CF122" s="9"/>
      <c r="CG122" s="9"/>
      <c r="CH122" s="9"/>
      <c r="CI122" s="9"/>
      <c r="CJ122" s="9"/>
      <c r="CK122" s="9"/>
    </row>
    <row r="123" spans="1:89" s="8" customFormat="1" ht="12.6" customHeight="1" x14ac:dyDescent="0.2">
      <c r="A123" s="56"/>
      <c r="B123" s="1"/>
      <c r="C123" s="16" t="str">
        <f>VLOOKUP(100,Textbausteine_102[],Hilfsgrössen!$D$2,FALSE)</f>
        <v>E-Finance-Teilnehmer</v>
      </c>
      <c r="D123" s="1" t="str">
        <f>VLOOKUP(26,Textbausteine_102[],Hilfsgrössen!$D$2,FALSE)</f>
        <v>Kunden</v>
      </c>
      <c r="E123" s="162"/>
      <c r="F123" s="9" t="s">
        <v>35</v>
      </c>
      <c r="G123" s="34"/>
      <c r="H123" s="86" t="s">
        <v>30</v>
      </c>
      <c r="I123" s="88">
        <v>671728</v>
      </c>
      <c r="J123" s="88">
        <v>760585</v>
      </c>
      <c r="K123" s="88">
        <v>858587</v>
      </c>
      <c r="L123" s="88">
        <v>984592</v>
      </c>
      <c r="M123" s="88">
        <v>1101593</v>
      </c>
      <c r="N123" s="99">
        <v>1219539</v>
      </c>
      <c r="O123" s="99">
        <v>1349747</v>
      </c>
      <c r="P123" s="99">
        <v>1463325</v>
      </c>
      <c r="Q123" s="99">
        <v>1546000</v>
      </c>
      <c r="R123" s="99">
        <v>1624443</v>
      </c>
      <c r="S123" s="99">
        <v>1682956</v>
      </c>
      <c r="T123" s="9">
        <v>1742751</v>
      </c>
      <c r="U123" s="9">
        <v>1755823</v>
      </c>
      <c r="V123" s="9">
        <v>1775343</v>
      </c>
      <c r="W123" s="9">
        <v>1796571</v>
      </c>
      <c r="X123" s="307">
        <v>1860437</v>
      </c>
      <c r="Y123" s="318">
        <v>1927566</v>
      </c>
      <c r="Z123" s="335"/>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9"/>
      <c r="BT123" s="9"/>
      <c r="BU123" s="9"/>
      <c r="BV123" s="9"/>
      <c r="BW123" s="9"/>
      <c r="BX123" s="9"/>
      <c r="BY123" s="9"/>
      <c r="BZ123" s="9"/>
      <c r="CA123" s="9"/>
      <c r="CB123" s="9"/>
      <c r="CC123" s="9"/>
      <c r="CD123" s="9"/>
      <c r="CE123" s="9"/>
      <c r="CF123" s="9"/>
      <c r="CG123" s="9"/>
      <c r="CH123" s="9"/>
      <c r="CI123" s="9"/>
      <c r="CJ123" s="9"/>
      <c r="CK123" s="9"/>
    </row>
    <row r="124" spans="1:89" s="8" customFormat="1" ht="12.6" customHeight="1" x14ac:dyDescent="0.2">
      <c r="A124" s="56"/>
      <c r="C124" s="16" t="str">
        <f>VLOOKUP(101,Textbausteine_102[],Hilfsgrössen!$D$2,FALSE)</f>
        <v>Fondsvolumen (PostFinance-Fonds ohne Drittfonds)</v>
      </c>
      <c r="D124" s="1" t="str">
        <f>VLOOKUP(22,Textbausteine_102[],Hilfsgrössen!$D$2,FALSE)</f>
        <v>Mio. CHF</v>
      </c>
      <c r="E124" s="162" t="s">
        <v>54</v>
      </c>
      <c r="F124" s="9" t="s">
        <v>35</v>
      </c>
      <c r="G124" s="34"/>
      <c r="H124" s="86" t="s">
        <v>30</v>
      </c>
      <c r="I124" s="88">
        <v>1524</v>
      </c>
      <c r="J124" s="88">
        <v>1560</v>
      </c>
      <c r="K124" s="88">
        <v>1475</v>
      </c>
      <c r="L124" s="88">
        <v>1160</v>
      </c>
      <c r="M124" s="88">
        <v>1464</v>
      </c>
      <c r="N124" s="99">
        <v>1673</v>
      </c>
      <c r="O124" s="99">
        <v>1764</v>
      </c>
      <c r="P124" s="99">
        <v>2131.5705029999999</v>
      </c>
      <c r="Q124" s="99">
        <v>2352</v>
      </c>
      <c r="R124" s="99">
        <v>2701</v>
      </c>
      <c r="S124" s="99">
        <v>2972</v>
      </c>
      <c r="T124" s="9">
        <v>3428</v>
      </c>
      <c r="U124" s="9">
        <v>4243</v>
      </c>
      <c r="V124" s="9">
        <v>4212</v>
      </c>
      <c r="W124" s="9">
        <v>5424</v>
      </c>
      <c r="X124" s="307" t="s">
        <v>30</v>
      </c>
      <c r="Y124" s="314" t="s">
        <v>30</v>
      </c>
      <c r="Z124" s="335"/>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row>
    <row r="125" spans="1:89" s="8" customFormat="1" ht="12.6" customHeight="1" x14ac:dyDescent="0.2">
      <c r="A125" s="56"/>
      <c r="B125" s="1"/>
      <c r="C125" s="16" t="str">
        <f>VLOOKUP(102,Textbausteine_102[],Hilfsgrössen!$D$2,FALSE)</f>
        <v>Fondsvolumen (PostFinance-Fonds und Drittfonds)</v>
      </c>
      <c r="D125" s="1" t="str">
        <f>VLOOKUP(22,Textbausteine_102[],Hilfsgrössen!$D$2,FALSE)</f>
        <v>Mio. CHF</v>
      </c>
      <c r="E125" s="162" t="s">
        <v>55</v>
      </c>
      <c r="F125" s="9" t="s">
        <v>35</v>
      </c>
      <c r="G125" s="303"/>
      <c r="H125" s="86" t="s">
        <v>30</v>
      </c>
      <c r="I125" s="88">
        <v>1552.2</v>
      </c>
      <c r="J125" s="88">
        <v>1708</v>
      </c>
      <c r="K125" s="88">
        <v>1728.9</v>
      </c>
      <c r="L125" s="88">
        <v>1380.2</v>
      </c>
      <c r="M125" s="88">
        <v>1723</v>
      </c>
      <c r="N125" s="99">
        <v>1940</v>
      </c>
      <c r="O125" s="99">
        <v>1990</v>
      </c>
      <c r="P125" s="99">
        <v>2390.2245640000001</v>
      </c>
      <c r="Q125" s="99">
        <v>2634</v>
      </c>
      <c r="R125" s="99">
        <v>3005</v>
      </c>
      <c r="S125" s="99">
        <v>3284</v>
      </c>
      <c r="T125" s="9">
        <v>3788</v>
      </c>
      <c r="U125" s="9">
        <v>4757</v>
      </c>
      <c r="V125" s="9">
        <v>5095.8559999999998</v>
      </c>
      <c r="W125" s="9">
        <v>6071</v>
      </c>
      <c r="X125" s="307" t="s">
        <v>30</v>
      </c>
      <c r="Y125" s="314" t="s">
        <v>30</v>
      </c>
      <c r="Z125" s="335"/>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row>
    <row r="126" spans="1:89" s="8" customFormat="1" ht="12.6" customHeight="1" x14ac:dyDescent="0.2">
      <c r="A126" s="56"/>
      <c r="B126" s="1"/>
      <c r="C126" s="16" t="str">
        <f>VLOOKUP(127,Textbausteine_102[],Hilfsgrössen!$D$2,FALSE)</f>
        <v>Fondsvolumen</v>
      </c>
      <c r="D126" s="1" t="str">
        <f>VLOOKUP(22,Textbausteine_102[],Hilfsgrössen!$D$2,FALSE)</f>
        <v>Mio. CHF</v>
      </c>
      <c r="E126" s="162" t="s">
        <v>55</v>
      </c>
      <c r="F126" s="9" t="s">
        <v>35</v>
      </c>
      <c r="G126" s="303"/>
      <c r="H126" s="86" t="s">
        <v>30</v>
      </c>
      <c r="I126" s="86" t="s">
        <v>30</v>
      </c>
      <c r="J126" s="86" t="s">
        <v>30</v>
      </c>
      <c r="K126" s="86" t="s">
        <v>30</v>
      </c>
      <c r="L126" s="86" t="s">
        <v>30</v>
      </c>
      <c r="M126" s="86" t="s">
        <v>30</v>
      </c>
      <c r="N126" s="86" t="s">
        <v>30</v>
      </c>
      <c r="O126" s="86" t="s">
        <v>30</v>
      </c>
      <c r="P126" s="86" t="s">
        <v>30</v>
      </c>
      <c r="Q126" s="86" t="s">
        <v>30</v>
      </c>
      <c r="R126" s="86" t="s">
        <v>30</v>
      </c>
      <c r="S126" s="86" t="s">
        <v>30</v>
      </c>
      <c r="T126" s="86" t="s">
        <v>30</v>
      </c>
      <c r="U126" s="86" t="s">
        <v>30</v>
      </c>
      <c r="V126" s="86" t="s">
        <v>30</v>
      </c>
      <c r="W126" s="86" t="s">
        <v>30</v>
      </c>
      <c r="X126" s="307">
        <v>6571.6940000000004</v>
      </c>
      <c r="Y126" s="318">
        <v>8360</v>
      </c>
      <c r="Z126" s="335"/>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c r="BE126" s="9"/>
      <c r="BF126" s="9"/>
      <c r="BG126" s="9"/>
      <c r="BH126" s="9"/>
      <c r="BI126" s="9"/>
      <c r="BJ126" s="9"/>
      <c r="BK126" s="9"/>
      <c r="BL126" s="9"/>
      <c r="BM126" s="9"/>
      <c r="BN126" s="9"/>
      <c r="BO126" s="9"/>
      <c r="BP126" s="9"/>
      <c r="BQ126" s="9"/>
      <c r="BR126" s="9"/>
      <c r="BS126" s="9"/>
      <c r="BT126" s="9"/>
      <c r="BU126" s="9"/>
      <c r="BV126" s="9"/>
      <c r="BW126" s="9"/>
      <c r="BX126" s="9"/>
      <c r="BY126" s="9"/>
      <c r="BZ126" s="9"/>
      <c r="CA126" s="9"/>
      <c r="CB126" s="9"/>
      <c r="CC126" s="9"/>
      <c r="CD126" s="9"/>
      <c r="CE126" s="9"/>
      <c r="CF126" s="9"/>
      <c r="CG126" s="9"/>
      <c r="CH126" s="9"/>
      <c r="CI126" s="9"/>
      <c r="CJ126" s="9"/>
      <c r="CK126" s="9"/>
    </row>
    <row r="127" spans="1:89" s="8" customFormat="1" ht="12.6" customHeight="1" x14ac:dyDescent="0.2">
      <c r="A127" s="56"/>
      <c r="B127" s="1"/>
      <c r="C127" s="8" t="str">
        <f>VLOOKUP(103,Textbausteine_102[],Hilfsgrössen!$D$2,FALSE)</f>
        <v>Volumen Ausleihungen Geschäftskunden</v>
      </c>
      <c r="D127" s="1" t="str">
        <f>VLOOKUP(22,Textbausteine_102[],Hilfsgrössen!$D$2,FALSE)</f>
        <v>Mio. CHF</v>
      </c>
      <c r="E127" s="164" t="s">
        <v>32</v>
      </c>
      <c r="F127" s="9" t="s">
        <v>35</v>
      </c>
      <c r="G127" s="303"/>
      <c r="H127" s="86" t="s">
        <v>30</v>
      </c>
      <c r="I127" s="88">
        <v>2106</v>
      </c>
      <c r="J127" s="88">
        <v>2649</v>
      </c>
      <c r="K127" s="88">
        <v>3160</v>
      </c>
      <c r="L127" s="88">
        <v>4313</v>
      </c>
      <c r="M127" s="88">
        <v>5423</v>
      </c>
      <c r="N127" s="99">
        <v>6134</v>
      </c>
      <c r="O127" s="99">
        <v>6842</v>
      </c>
      <c r="P127" s="99">
        <v>6514.2359330000008</v>
      </c>
      <c r="Q127" s="99">
        <v>7271</v>
      </c>
      <c r="R127" s="99">
        <v>8165</v>
      </c>
      <c r="S127" s="99">
        <v>9063</v>
      </c>
      <c r="T127" s="9">
        <v>9894</v>
      </c>
      <c r="U127" s="9">
        <v>10185</v>
      </c>
      <c r="V127" s="9">
        <v>9880</v>
      </c>
      <c r="W127" s="9">
        <v>10123</v>
      </c>
      <c r="X127" s="307">
        <v>10498</v>
      </c>
      <c r="Y127" s="318">
        <v>10499</v>
      </c>
      <c r="Z127" s="335"/>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c r="BE127" s="9"/>
      <c r="BF127" s="9"/>
      <c r="BG127" s="9"/>
      <c r="BH127" s="9"/>
      <c r="BI127" s="9"/>
      <c r="BJ127" s="9"/>
      <c r="BK127" s="9"/>
      <c r="BL127" s="9"/>
      <c r="BM127" s="9"/>
      <c r="BN127" s="9"/>
      <c r="BO127" s="9"/>
      <c r="BP127" s="9"/>
      <c r="BQ127" s="9"/>
      <c r="BR127" s="9"/>
      <c r="BS127" s="9"/>
      <c r="BT127" s="9"/>
      <c r="BU127" s="9"/>
      <c r="BV127" s="9"/>
      <c r="BW127" s="9"/>
      <c r="BX127" s="9"/>
      <c r="BY127" s="9"/>
      <c r="BZ127" s="9"/>
      <c r="CA127" s="9"/>
      <c r="CB127" s="9"/>
      <c r="CC127" s="9"/>
      <c r="CD127" s="9"/>
      <c r="CE127" s="9"/>
      <c r="CF127" s="9"/>
      <c r="CG127" s="9"/>
      <c r="CH127" s="9"/>
      <c r="CI127" s="9"/>
      <c r="CJ127" s="9"/>
      <c r="CK127" s="9"/>
    </row>
    <row r="128" spans="1:89" s="8" customFormat="1" ht="12.6" customHeight="1" x14ac:dyDescent="0.2">
      <c r="A128" s="56"/>
      <c r="B128" s="1"/>
      <c r="C128" s="8" t="str">
        <f>VLOOKUP(104,Textbausteine_102[],Hilfsgrössen!$D$2,FALSE)</f>
        <v>Volumen Hypotheken Privatkunden</v>
      </c>
      <c r="D128" s="1" t="str">
        <f>VLOOKUP(22,Textbausteine_102[],Hilfsgrössen!$D$2,FALSE)</f>
        <v>Mio. CHF</v>
      </c>
      <c r="E128" s="164"/>
      <c r="F128" s="9" t="s">
        <v>35</v>
      </c>
      <c r="G128" s="34"/>
      <c r="H128" s="86" t="s">
        <v>30</v>
      </c>
      <c r="I128" s="88">
        <v>1440</v>
      </c>
      <c r="J128" s="88">
        <v>1819</v>
      </c>
      <c r="K128" s="88">
        <v>1943.5</v>
      </c>
      <c r="L128" s="88">
        <v>2040</v>
      </c>
      <c r="M128" s="88">
        <v>2673</v>
      </c>
      <c r="N128" s="99">
        <v>3197</v>
      </c>
      <c r="O128" s="99">
        <v>3684</v>
      </c>
      <c r="P128" s="99">
        <v>4166.7325166999999</v>
      </c>
      <c r="Q128" s="99">
        <v>4424</v>
      </c>
      <c r="R128" s="99">
        <v>4713</v>
      </c>
      <c r="S128" s="99">
        <v>5089</v>
      </c>
      <c r="T128" s="9">
        <v>5361</v>
      </c>
      <c r="U128" s="9">
        <v>5650</v>
      </c>
      <c r="V128" s="9">
        <v>5816</v>
      </c>
      <c r="W128" s="9">
        <v>5965</v>
      </c>
      <c r="X128" s="307">
        <v>6039.0159582599999</v>
      </c>
      <c r="Y128" s="319">
        <v>6261.6540848000004</v>
      </c>
      <c r="Z128" s="335"/>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c r="BE128" s="9"/>
      <c r="BF128" s="9"/>
      <c r="BG128" s="9"/>
      <c r="BH128" s="9"/>
      <c r="BI128" s="9"/>
      <c r="BJ128" s="9"/>
      <c r="BK128" s="9"/>
      <c r="BL128" s="9"/>
      <c r="BM128" s="9"/>
      <c r="BN128" s="9"/>
      <c r="BO128" s="9"/>
      <c r="BP128" s="9"/>
      <c r="BQ128" s="9"/>
      <c r="BR128" s="9"/>
      <c r="BS128" s="9"/>
      <c r="BT128" s="9"/>
      <c r="BU128" s="9"/>
      <c r="BV128" s="9"/>
      <c r="BW128" s="9"/>
      <c r="BX128" s="9"/>
      <c r="BY128" s="9"/>
      <c r="BZ128" s="9"/>
      <c r="CA128" s="9"/>
      <c r="CB128" s="9"/>
      <c r="CC128" s="9"/>
      <c r="CD128" s="9"/>
      <c r="CE128" s="9"/>
      <c r="CF128" s="9"/>
      <c r="CG128" s="9"/>
      <c r="CH128" s="9"/>
      <c r="CI128" s="9"/>
      <c r="CJ128" s="9"/>
      <c r="CK128" s="9"/>
    </row>
    <row r="129" spans="1:89" s="8" customFormat="1" ht="12.6" customHeight="1" x14ac:dyDescent="0.2">
      <c r="A129" s="56"/>
      <c r="B129" s="1"/>
      <c r="C129" s="48"/>
      <c r="D129" s="1"/>
      <c r="E129" s="164"/>
      <c r="F129" s="9"/>
      <c r="G129" s="34"/>
      <c r="H129" s="88"/>
      <c r="I129" s="88"/>
      <c r="J129" s="88"/>
      <c r="K129" s="88"/>
      <c r="L129" s="88"/>
      <c r="M129" s="88"/>
      <c r="N129" s="99"/>
      <c r="O129" s="99"/>
      <c r="P129" s="99"/>
      <c r="Q129" s="99"/>
      <c r="R129" s="99"/>
      <c r="S129" s="99"/>
      <c r="T129" s="9"/>
      <c r="U129" s="9"/>
      <c r="V129" s="9"/>
      <c r="W129" s="9"/>
      <c r="X129" s="307"/>
      <c r="Y129" s="314"/>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c r="BE129" s="9"/>
      <c r="BF129" s="9"/>
      <c r="BG129" s="9"/>
      <c r="BH129" s="9"/>
      <c r="BI129" s="9"/>
      <c r="BJ129" s="9"/>
      <c r="BK129" s="9"/>
      <c r="BL129" s="9"/>
      <c r="BM129" s="9"/>
      <c r="BN129" s="9"/>
      <c r="BO129" s="9"/>
      <c r="BP129" s="9"/>
      <c r="BQ129" s="9"/>
      <c r="BR129" s="9"/>
      <c r="BS129" s="9"/>
      <c r="BT129" s="9"/>
      <c r="BU129" s="9"/>
      <c r="BV129" s="9"/>
      <c r="BW129" s="9"/>
      <c r="BX129" s="9"/>
      <c r="BY129" s="9"/>
      <c r="BZ129" s="9"/>
      <c r="CA129" s="9"/>
      <c r="CB129" s="9"/>
      <c r="CC129" s="9"/>
      <c r="CD129" s="9"/>
      <c r="CE129" s="9"/>
      <c r="CF129" s="9"/>
      <c r="CG129" s="9"/>
      <c r="CH129" s="9"/>
      <c r="CI129" s="9"/>
      <c r="CJ129" s="9"/>
      <c r="CK129" s="9"/>
    </row>
    <row r="130" spans="1:89" s="8" customFormat="1" ht="12.6" customHeight="1" x14ac:dyDescent="0.2">
      <c r="A130" s="56"/>
      <c r="B130" s="2" t="str">
        <f>VLOOKUP(55,Textbausteine_Menu[],Hilfsgrössen!$D$2,FALSE)</f>
        <v>Mobilitäts-Services</v>
      </c>
      <c r="D130" s="1"/>
      <c r="E130" s="162" t="s">
        <v>56</v>
      </c>
      <c r="F130" s="11"/>
      <c r="G130" s="303"/>
      <c r="H130" s="88"/>
      <c r="I130" s="88"/>
      <c r="J130" s="88"/>
      <c r="K130" s="88"/>
      <c r="L130" s="88"/>
      <c r="M130" s="88"/>
      <c r="N130" s="99"/>
      <c r="O130" s="99"/>
      <c r="P130" s="99"/>
      <c r="Q130" s="99"/>
      <c r="R130" s="99"/>
      <c r="S130" s="99"/>
      <c r="T130" s="9"/>
      <c r="U130" s="9"/>
      <c r="V130" s="9"/>
      <c r="W130" s="9"/>
      <c r="X130" s="307"/>
      <c r="Y130" s="314"/>
      <c r="Z130" s="287"/>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c r="BE130" s="9"/>
      <c r="BF130" s="9"/>
      <c r="BG130" s="9"/>
      <c r="BH130" s="9"/>
      <c r="BI130" s="9"/>
      <c r="BJ130" s="9"/>
      <c r="BK130" s="9"/>
      <c r="BL130" s="9"/>
      <c r="BM130" s="9"/>
      <c r="BN130" s="9"/>
      <c r="BO130" s="9"/>
      <c r="BP130" s="9"/>
      <c r="BQ130" s="9"/>
      <c r="BR130" s="9"/>
      <c r="BS130" s="9"/>
      <c r="BT130" s="9"/>
      <c r="BU130" s="9"/>
      <c r="BV130" s="9"/>
      <c r="BW130" s="9"/>
      <c r="BX130" s="9"/>
      <c r="BY130" s="9"/>
      <c r="BZ130" s="9"/>
      <c r="CA130" s="9"/>
      <c r="CB130" s="9"/>
      <c r="CC130" s="9"/>
      <c r="CD130" s="9"/>
      <c r="CE130" s="9"/>
      <c r="CF130" s="9"/>
      <c r="CG130" s="9"/>
      <c r="CH130" s="9"/>
      <c r="CI130" s="9"/>
      <c r="CJ130" s="9"/>
      <c r="CK130" s="9"/>
    </row>
    <row r="131" spans="1:89" s="8" customFormat="1" ht="12.6" customHeight="1" x14ac:dyDescent="0.2">
      <c r="A131" s="56"/>
      <c r="B131" s="1"/>
      <c r="C131" s="1" t="str">
        <f>VLOOKUP(105,Textbausteine_102[],Hilfsgrössen!$D$2,FALSE)</f>
        <v>Anzahl Reisende (PostAuto)</v>
      </c>
      <c r="D131" s="1" t="str">
        <f>VLOOKUP(24,Textbausteine_102[],Hilfsgrössen!$D$2,FALSE)</f>
        <v>Anzahl in Mio.</v>
      </c>
      <c r="E131" s="9" t="s">
        <v>57</v>
      </c>
      <c r="F131" s="9" t="s">
        <v>35</v>
      </c>
      <c r="G131" s="303"/>
      <c r="H131" s="86" t="s">
        <v>30</v>
      </c>
      <c r="I131" s="88">
        <v>105</v>
      </c>
      <c r="J131" s="88">
        <v>106</v>
      </c>
      <c r="K131" s="88">
        <v>111</v>
      </c>
      <c r="L131" s="88">
        <v>115</v>
      </c>
      <c r="M131" s="88">
        <v>118</v>
      </c>
      <c r="N131" s="99">
        <v>121</v>
      </c>
      <c r="O131" s="99">
        <v>124</v>
      </c>
      <c r="P131" s="99">
        <v>133</v>
      </c>
      <c r="Q131" s="99">
        <v>139</v>
      </c>
      <c r="R131" s="99">
        <v>141</v>
      </c>
      <c r="S131" s="99">
        <v>145</v>
      </c>
      <c r="T131" s="9">
        <v>152</v>
      </c>
      <c r="U131" s="9">
        <v>154.6</v>
      </c>
      <c r="V131" s="9">
        <v>155.5</v>
      </c>
      <c r="W131" s="9">
        <v>167</v>
      </c>
      <c r="X131" s="307">
        <v>127</v>
      </c>
      <c r="Y131" s="314">
        <v>135</v>
      </c>
      <c r="Z131" s="335"/>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row>
    <row r="132" spans="1:89" s="8" customFormat="1" ht="12.6" customHeight="1" x14ac:dyDescent="0.2">
      <c r="A132" s="56"/>
      <c r="B132" s="1"/>
      <c r="C132" s="8" t="str">
        <f>VLOOKUP(106,Textbausteine_102[],Hilfsgrössen!$D$2,FALSE)</f>
        <v>Jahresleistung (PostAuto)</v>
      </c>
      <c r="D132" s="1" t="str">
        <f>VLOOKUP(27,Textbausteine_102[],Hilfsgrössen!$D$2,FALSE)</f>
        <v>Mio. km</v>
      </c>
      <c r="E132" s="9" t="s">
        <v>58</v>
      </c>
      <c r="F132" s="9" t="s">
        <v>35</v>
      </c>
      <c r="G132" s="34"/>
      <c r="H132" s="86" t="s">
        <v>30</v>
      </c>
      <c r="I132" s="88">
        <v>94</v>
      </c>
      <c r="J132" s="88">
        <v>91</v>
      </c>
      <c r="K132" s="88">
        <v>89</v>
      </c>
      <c r="L132" s="88">
        <v>94</v>
      </c>
      <c r="M132" s="88">
        <v>98</v>
      </c>
      <c r="N132" s="99">
        <v>103</v>
      </c>
      <c r="O132" s="99">
        <v>104</v>
      </c>
      <c r="P132" s="99">
        <v>107</v>
      </c>
      <c r="Q132" s="99">
        <v>108</v>
      </c>
      <c r="R132" s="99">
        <v>110</v>
      </c>
      <c r="S132" s="99">
        <v>113</v>
      </c>
      <c r="T132" s="9">
        <v>117</v>
      </c>
      <c r="U132" s="9">
        <v>119</v>
      </c>
      <c r="V132" s="9">
        <v>119.95769799999999</v>
      </c>
      <c r="W132" s="9">
        <v>124</v>
      </c>
      <c r="X132" s="307">
        <v>121</v>
      </c>
      <c r="Y132" s="314">
        <v>132</v>
      </c>
      <c r="Z132" s="335"/>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c r="BS132" s="9"/>
      <c r="BT132" s="9"/>
      <c r="BU132" s="9"/>
      <c r="BV132" s="9"/>
      <c r="BW132" s="9"/>
      <c r="BX132" s="9"/>
      <c r="BY132" s="9"/>
      <c r="BZ132" s="9"/>
      <c r="CA132" s="9"/>
      <c r="CB132" s="9"/>
      <c r="CC132" s="9"/>
      <c r="CD132" s="9"/>
      <c r="CE132" s="9"/>
      <c r="CF132" s="9"/>
      <c r="CG132" s="9"/>
      <c r="CH132" s="9"/>
      <c r="CI132" s="9"/>
      <c r="CJ132" s="9"/>
      <c r="CK132" s="9"/>
    </row>
    <row r="133" spans="1:89" s="8" customFormat="1" ht="12.6" customHeight="1" x14ac:dyDescent="0.2">
      <c r="A133" s="56"/>
      <c r="B133" s="1"/>
      <c r="C133" s="8" t="str">
        <f>VLOOKUP(107,Textbausteine_102[],Hilfsgrössen!$D$2,FALSE)</f>
        <v>Fahrzeuge (PostAuto)</v>
      </c>
      <c r="D133" s="1" t="str">
        <f>VLOOKUP(33,Textbausteine_102[],Hilfsgrössen!$D$2,FALSE)</f>
        <v>Anzahl pro Jahr</v>
      </c>
      <c r="E133" s="162" t="s">
        <v>59</v>
      </c>
      <c r="F133" s="9" t="s">
        <v>35</v>
      </c>
      <c r="G133" s="34"/>
      <c r="H133" s="86" t="s">
        <v>30</v>
      </c>
      <c r="I133" s="88">
        <v>2029</v>
      </c>
      <c r="J133" s="88">
        <v>1953</v>
      </c>
      <c r="K133" s="88">
        <v>1909</v>
      </c>
      <c r="L133" s="88">
        <v>1989</v>
      </c>
      <c r="M133" s="88">
        <v>2066</v>
      </c>
      <c r="N133" s="99">
        <v>2103</v>
      </c>
      <c r="O133" s="99">
        <v>2145</v>
      </c>
      <c r="P133" s="99">
        <v>2157</v>
      </c>
      <c r="Q133" s="99">
        <v>2219</v>
      </c>
      <c r="R133" s="99">
        <v>2193</v>
      </c>
      <c r="S133" s="99">
        <v>2238</v>
      </c>
      <c r="T133" s="9">
        <v>2242</v>
      </c>
      <c r="U133" s="9">
        <v>2311</v>
      </c>
      <c r="V133" s="9">
        <v>2412</v>
      </c>
      <c r="W133" s="9">
        <v>2403</v>
      </c>
      <c r="X133" s="280">
        <v>2443</v>
      </c>
      <c r="Y133" s="314">
        <v>2370</v>
      </c>
      <c r="Z133" s="335"/>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row>
    <row r="134" spans="1:89" s="8" customFormat="1" ht="12.6" customHeight="1" x14ac:dyDescent="0.2">
      <c r="A134" s="56"/>
      <c r="B134" s="1"/>
      <c r="C134" s="8" t="str">
        <f>VLOOKUP(108,Textbausteine_102[],Hilfsgrössen!$D$2,FALSE)</f>
        <v>Liniennetz (PostAuto)</v>
      </c>
      <c r="D134" s="1" t="str">
        <f>VLOOKUP(29,Textbausteine_102[],Hilfsgrössen!$D$2,FALSE)</f>
        <v>km</v>
      </c>
      <c r="E134" s="162" t="s">
        <v>60</v>
      </c>
      <c r="F134" s="9" t="s">
        <v>35</v>
      </c>
      <c r="G134" s="34"/>
      <c r="H134" s="86" t="s">
        <v>30</v>
      </c>
      <c r="I134" s="107">
        <v>10450</v>
      </c>
      <c r="J134" s="107">
        <v>9805</v>
      </c>
      <c r="K134" s="107">
        <v>9827</v>
      </c>
      <c r="L134" s="107">
        <v>10345</v>
      </c>
      <c r="M134" s="107">
        <v>10429</v>
      </c>
      <c r="N134" s="99">
        <v>11007</v>
      </c>
      <c r="O134" s="99">
        <v>11102</v>
      </c>
      <c r="P134" s="99">
        <v>11350</v>
      </c>
      <c r="Q134" s="99">
        <v>11674</v>
      </c>
      <c r="R134" s="99">
        <v>11869</v>
      </c>
      <c r="S134" s="99">
        <v>11982</v>
      </c>
      <c r="T134" s="9">
        <v>12076</v>
      </c>
      <c r="U134" s="9">
        <v>12159</v>
      </c>
      <c r="V134" s="9">
        <v>12718.924999999999</v>
      </c>
      <c r="W134" s="9">
        <v>16055</v>
      </c>
      <c r="X134" s="280">
        <v>16865</v>
      </c>
      <c r="Y134" s="314">
        <v>18026</v>
      </c>
      <c r="Z134" s="335"/>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c r="BE134" s="9"/>
      <c r="BF134" s="9"/>
      <c r="BG134" s="9"/>
      <c r="BH134" s="9"/>
      <c r="BI134" s="9"/>
      <c r="BJ134" s="9"/>
      <c r="BK134" s="9"/>
      <c r="BL134" s="9"/>
      <c r="BM134" s="9"/>
      <c r="BN134" s="9"/>
      <c r="BO134" s="9"/>
      <c r="BP134" s="9"/>
      <c r="BQ134" s="9"/>
      <c r="BR134" s="9"/>
      <c r="BS134" s="9"/>
      <c r="BT134" s="9"/>
      <c r="BU134" s="9"/>
      <c r="BV134" s="9"/>
      <c r="BW134" s="9"/>
      <c r="BX134" s="9"/>
      <c r="BY134" s="9"/>
      <c r="BZ134" s="9"/>
      <c r="CA134" s="9"/>
      <c r="CB134" s="9"/>
      <c r="CC134" s="9"/>
      <c r="CD134" s="9"/>
      <c r="CE134" s="9"/>
      <c r="CF134" s="9"/>
      <c r="CG134" s="9"/>
      <c r="CH134" s="9"/>
      <c r="CI134" s="9"/>
      <c r="CJ134" s="9"/>
      <c r="CK134" s="9"/>
    </row>
    <row r="135" spans="1:89" s="8" customFormat="1" ht="12.6" customHeight="1" x14ac:dyDescent="0.2">
      <c r="A135" s="56"/>
      <c r="B135" s="1"/>
      <c r="C135" s="8" t="s">
        <v>61</v>
      </c>
      <c r="D135" s="1" t="str">
        <f>VLOOKUP(29,Textbausteine_102[],Hilfsgrössen!$D$2,FALSE)</f>
        <v>km</v>
      </c>
      <c r="E135" s="162" t="s">
        <v>62</v>
      </c>
      <c r="F135" s="9" t="s">
        <v>35</v>
      </c>
      <c r="G135" s="34"/>
      <c r="H135" s="86" t="s">
        <v>30</v>
      </c>
      <c r="I135" s="86" t="s">
        <v>30</v>
      </c>
      <c r="J135" s="86" t="s">
        <v>30</v>
      </c>
      <c r="K135" s="86" t="s">
        <v>30</v>
      </c>
      <c r="L135" s="86" t="s">
        <v>30</v>
      </c>
      <c r="M135" s="86" t="s">
        <v>30</v>
      </c>
      <c r="N135" s="86" t="s">
        <v>30</v>
      </c>
      <c r="O135" s="86" t="s">
        <v>30</v>
      </c>
      <c r="P135" s="86" t="s">
        <v>30</v>
      </c>
      <c r="Q135" s="86" t="s">
        <v>30</v>
      </c>
      <c r="R135" s="86" t="s">
        <v>30</v>
      </c>
      <c r="S135" s="86" t="s">
        <v>30</v>
      </c>
      <c r="T135" s="86" t="s">
        <v>30</v>
      </c>
      <c r="U135" s="86" t="s">
        <v>30</v>
      </c>
      <c r="V135" s="86" t="s">
        <v>30</v>
      </c>
      <c r="W135">
        <v>8</v>
      </c>
      <c r="X135">
        <v>8</v>
      </c>
      <c r="Y135" s="314">
        <v>8</v>
      </c>
      <c r="Z135" s="335"/>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c r="BE135" s="9"/>
      <c r="BF135" s="9"/>
      <c r="BG135" s="9"/>
      <c r="BH135" s="9"/>
      <c r="BI135" s="9"/>
      <c r="BJ135" s="9"/>
      <c r="BK135" s="9"/>
      <c r="BL135" s="9"/>
      <c r="BM135" s="9"/>
      <c r="BN135" s="9"/>
      <c r="BO135" s="9"/>
      <c r="BP135" s="9"/>
      <c r="BQ135" s="9"/>
      <c r="BR135" s="9"/>
      <c r="BS135" s="9"/>
      <c r="BT135" s="9"/>
      <c r="BU135" s="9"/>
      <c r="BV135" s="9"/>
      <c r="BW135" s="9"/>
      <c r="BX135" s="9"/>
      <c r="BY135" s="9"/>
      <c r="BZ135" s="9"/>
      <c r="CA135" s="9"/>
      <c r="CB135" s="9"/>
      <c r="CC135" s="9"/>
      <c r="CD135" s="9"/>
      <c r="CE135" s="9"/>
      <c r="CF135" s="9"/>
      <c r="CG135" s="9"/>
      <c r="CH135" s="9"/>
      <c r="CI135" s="9"/>
      <c r="CJ135" s="9"/>
      <c r="CK135" s="9"/>
    </row>
    <row r="136" spans="1:89" s="8" customFormat="1" ht="12.6" customHeight="1" x14ac:dyDescent="0.2">
      <c r="A136" s="56"/>
      <c r="B136" s="1"/>
      <c r="C136" s="8" t="s">
        <v>63</v>
      </c>
      <c r="D136" s="1" t="str">
        <f>VLOOKUP(28,Textbausteine_102[],Hilfsgrössen!$D$2,FALSE)</f>
        <v>Anzahl</v>
      </c>
      <c r="E136" s="162" t="s">
        <v>62</v>
      </c>
      <c r="F136" s="9" t="s">
        <v>35</v>
      </c>
      <c r="G136" s="34"/>
      <c r="H136" s="86" t="s">
        <v>30</v>
      </c>
      <c r="I136" s="86" t="s">
        <v>30</v>
      </c>
      <c r="J136" s="86" t="s">
        <v>30</v>
      </c>
      <c r="K136" s="86" t="s">
        <v>30</v>
      </c>
      <c r="L136" s="86" t="s">
        <v>30</v>
      </c>
      <c r="M136" s="86" t="s">
        <v>30</v>
      </c>
      <c r="N136" s="86" t="s">
        <v>30</v>
      </c>
      <c r="O136" s="86" t="s">
        <v>30</v>
      </c>
      <c r="P136" s="86" t="s">
        <v>30</v>
      </c>
      <c r="Q136" s="86" t="s">
        <v>30</v>
      </c>
      <c r="R136" s="86" t="s">
        <v>30</v>
      </c>
      <c r="S136" s="86" t="s">
        <v>30</v>
      </c>
      <c r="T136" s="86" t="s">
        <v>30</v>
      </c>
      <c r="U136" s="86" t="s">
        <v>30</v>
      </c>
      <c r="V136" s="86" t="s">
        <v>30</v>
      </c>
      <c r="W136">
        <v>5400</v>
      </c>
      <c r="X136">
        <v>5400</v>
      </c>
      <c r="Y136" s="314">
        <v>5400</v>
      </c>
      <c r="Z136" s="335"/>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c r="BE136" s="9"/>
      <c r="BF136" s="9"/>
      <c r="BG136" s="9"/>
      <c r="BH136" s="9"/>
      <c r="BI136" s="9"/>
      <c r="BJ136" s="9"/>
      <c r="BK136" s="9"/>
      <c r="BL136" s="9"/>
      <c r="BM136" s="9"/>
      <c r="BN136" s="9"/>
      <c r="BO136" s="9"/>
      <c r="BP136" s="9"/>
      <c r="BQ136" s="9"/>
      <c r="BR136" s="9"/>
      <c r="BS136" s="9"/>
      <c r="BT136" s="9"/>
      <c r="BU136" s="9"/>
      <c r="BV136" s="9"/>
      <c r="BW136" s="9"/>
      <c r="BX136" s="9"/>
      <c r="BY136" s="9"/>
      <c r="BZ136" s="9"/>
      <c r="CA136" s="9"/>
      <c r="CB136" s="9"/>
      <c r="CC136" s="9"/>
      <c r="CD136" s="9"/>
      <c r="CE136" s="9"/>
      <c r="CF136" s="9"/>
      <c r="CG136" s="9"/>
      <c r="CH136" s="9"/>
      <c r="CI136" s="9"/>
      <c r="CJ136" s="9"/>
      <c r="CK136" s="9"/>
    </row>
    <row r="137" spans="1:89" s="8" customFormat="1" ht="12.6" customHeight="1" x14ac:dyDescent="0.2">
      <c r="A137" s="56"/>
      <c r="B137" s="1"/>
      <c r="C137" s="8" t="s">
        <v>64</v>
      </c>
      <c r="D137" s="1" t="str">
        <f>VLOOKUP(28,Textbausteine_102[],Hilfsgrössen!$D$2,FALSE)</f>
        <v>Anzahl</v>
      </c>
      <c r="E137" s="162" t="s">
        <v>62</v>
      </c>
      <c r="F137" s="9" t="s">
        <v>35</v>
      </c>
      <c r="G137" s="34"/>
      <c r="H137" s="86" t="s">
        <v>30</v>
      </c>
      <c r="I137" s="86" t="s">
        <v>30</v>
      </c>
      <c r="J137" s="86" t="s">
        <v>30</v>
      </c>
      <c r="K137" s="86" t="s">
        <v>30</v>
      </c>
      <c r="L137" s="86" t="s">
        <v>30</v>
      </c>
      <c r="M137" s="86" t="s">
        <v>30</v>
      </c>
      <c r="N137" s="86" t="s">
        <v>30</v>
      </c>
      <c r="O137" s="86" t="s">
        <v>30</v>
      </c>
      <c r="P137" s="86" t="s">
        <v>30</v>
      </c>
      <c r="Q137" s="86" t="s">
        <v>30</v>
      </c>
      <c r="R137" s="86" t="s">
        <v>30</v>
      </c>
      <c r="S137" s="86" t="s">
        <v>30</v>
      </c>
      <c r="T137" s="86" t="s">
        <v>30</v>
      </c>
      <c r="U137" s="86" t="s">
        <v>30</v>
      </c>
      <c r="V137" s="86" t="s">
        <v>30</v>
      </c>
      <c r="W137">
        <v>2611404</v>
      </c>
      <c r="X137">
        <v>2708923</v>
      </c>
      <c r="Y137" s="314">
        <v>2806080</v>
      </c>
      <c r="Z137" s="335"/>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c r="BE137" s="9"/>
      <c r="BF137" s="9"/>
      <c r="BG137" s="9"/>
      <c r="BH137" s="9"/>
      <c r="BI137" s="9"/>
      <c r="BJ137" s="9"/>
      <c r="BK137" s="9"/>
      <c r="BL137" s="9"/>
      <c r="BM137" s="9"/>
      <c r="BN137" s="9"/>
      <c r="BO137" s="9"/>
      <c r="BP137" s="9"/>
      <c r="BQ137" s="9"/>
      <c r="BR137" s="9"/>
      <c r="BS137" s="9"/>
      <c r="BT137" s="9"/>
      <c r="BU137" s="9"/>
      <c r="BV137" s="9"/>
      <c r="BW137" s="9"/>
      <c r="BX137" s="9"/>
      <c r="BY137" s="9"/>
      <c r="BZ137" s="9"/>
      <c r="CA137" s="9"/>
      <c r="CB137" s="9"/>
      <c r="CC137" s="9"/>
      <c r="CD137" s="9"/>
      <c r="CE137" s="9"/>
      <c r="CF137" s="9"/>
      <c r="CG137" s="9"/>
      <c r="CH137" s="9"/>
      <c r="CI137" s="9"/>
      <c r="CJ137" s="9"/>
      <c r="CK137" s="9"/>
    </row>
    <row r="138" spans="1:89" s="8" customFormat="1" ht="12.6" customHeight="1" x14ac:dyDescent="0.2">
      <c r="A138" s="56"/>
      <c r="B138" s="1"/>
      <c r="C138" s="48"/>
      <c r="D138" s="1"/>
      <c r="E138" s="162"/>
      <c r="F138" s="9"/>
      <c r="G138" s="34"/>
      <c r="H138" s="107"/>
      <c r="I138" s="107"/>
      <c r="J138" s="107"/>
      <c r="K138" s="107"/>
      <c r="L138" s="107"/>
      <c r="M138" s="107"/>
      <c r="N138" s="99"/>
      <c r="O138" s="99"/>
      <c r="P138" s="99"/>
      <c r="Q138" s="99"/>
      <c r="R138" s="99"/>
      <c r="S138" s="99"/>
      <c r="T138" s="9"/>
      <c r="U138" s="9"/>
      <c r="V138" s="9"/>
      <c r="W138" s="9"/>
      <c r="X138" s="9"/>
      <c r="Y138" s="314"/>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c r="BE138" s="9"/>
      <c r="BF138" s="9"/>
      <c r="BG138" s="9"/>
      <c r="BH138" s="9"/>
      <c r="BI138" s="9"/>
      <c r="BJ138" s="9"/>
      <c r="BK138" s="9"/>
      <c r="BL138" s="9"/>
      <c r="BM138" s="9"/>
      <c r="BN138" s="9"/>
      <c r="BO138" s="9"/>
      <c r="BP138" s="9"/>
      <c r="BQ138" s="9"/>
      <c r="BR138" s="9"/>
      <c r="BS138" s="9"/>
      <c r="BT138" s="9"/>
      <c r="BU138" s="9"/>
      <c r="BV138" s="9"/>
      <c r="BW138" s="9"/>
      <c r="BX138" s="9"/>
      <c r="BY138" s="9"/>
      <c r="BZ138" s="9"/>
      <c r="CA138" s="9"/>
      <c r="CB138" s="9"/>
      <c r="CC138" s="9"/>
      <c r="CD138" s="9"/>
      <c r="CE138" s="9"/>
      <c r="CF138" s="9"/>
      <c r="CG138" s="9"/>
      <c r="CH138" s="9"/>
      <c r="CI138" s="9"/>
      <c r="CJ138" s="9"/>
      <c r="CK138" s="9"/>
    </row>
    <row r="139" spans="1:89" s="8" customFormat="1" ht="12.6" customHeight="1" x14ac:dyDescent="0.2">
      <c r="A139" s="56"/>
      <c r="B139" s="2" t="str">
        <f>VLOOKUP(53,Textbausteine_Menu[],Hilfsgrössen!$D$2,FALSE)</f>
        <v>Immobilien</v>
      </c>
      <c r="D139" s="1"/>
      <c r="E139" s="166"/>
      <c r="F139" s="11"/>
      <c r="G139" s="303"/>
      <c r="H139" s="88"/>
      <c r="I139" s="88"/>
      <c r="J139" s="88"/>
      <c r="K139" s="88"/>
      <c r="L139" s="88"/>
      <c r="M139" s="88"/>
      <c r="N139" s="99"/>
      <c r="O139" s="99"/>
      <c r="P139" s="99"/>
      <c r="Q139" s="99"/>
      <c r="R139" s="99"/>
      <c r="S139" s="99"/>
      <c r="T139" s="9"/>
      <c r="U139" s="9"/>
      <c r="V139" s="9"/>
      <c r="W139" s="9"/>
      <c r="X139" s="307"/>
      <c r="Y139" s="314"/>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c r="BE139" s="9"/>
      <c r="BF139" s="9"/>
      <c r="BG139" s="9"/>
      <c r="BH139" s="9"/>
      <c r="BI139" s="9"/>
      <c r="BJ139" s="9"/>
      <c r="BK139" s="9"/>
      <c r="BL139" s="9"/>
      <c r="BM139" s="9"/>
      <c r="BN139" s="9"/>
      <c r="BO139" s="9"/>
      <c r="BP139" s="9"/>
      <c r="BQ139" s="9"/>
      <c r="BR139" s="9"/>
      <c r="BS139" s="9"/>
      <c r="BT139" s="9"/>
      <c r="BU139" s="9"/>
      <c r="BV139" s="9"/>
      <c r="BW139" s="9"/>
      <c r="BX139" s="9"/>
      <c r="BY139" s="9"/>
      <c r="BZ139" s="9"/>
      <c r="CA139" s="9"/>
      <c r="CB139" s="9"/>
      <c r="CC139" s="9"/>
      <c r="CD139" s="9"/>
      <c r="CE139" s="9"/>
      <c r="CF139" s="9"/>
      <c r="CG139" s="9"/>
      <c r="CH139" s="9"/>
      <c r="CI139" s="9"/>
      <c r="CJ139" s="9"/>
      <c r="CK139" s="9"/>
    </row>
    <row r="140" spans="1:89" ht="12.6" customHeight="1" x14ac:dyDescent="0.2">
      <c r="C140" s="1" t="str">
        <f>VLOOKUP(109,Textbausteine_102[],Hilfsgrössen!$D$2,FALSE)</f>
        <v>Liegenschaften</v>
      </c>
      <c r="D140" s="16" t="str">
        <f>VLOOKUP(28,Textbausteine_102[],Hilfsgrössen!$D$2,FALSE)</f>
        <v>Anzahl</v>
      </c>
      <c r="F140" s="9" t="s">
        <v>35</v>
      </c>
      <c r="H140" s="86" t="s">
        <v>30</v>
      </c>
      <c r="I140" s="109" t="s">
        <v>30</v>
      </c>
      <c r="J140" s="109" t="s">
        <v>30</v>
      </c>
      <c r="K140" s="107">
        <v>2923</v>
      </c>
      <c r="L140" s="107">
        <v>2997</v>
      </c>
      <c r="M140" s="107">
        <v>2773</v>
      </c>
      <c r="N140" s="99">
        <v>2687</v>
      </c>
      <c r="O140" s="99">
        <v>2733</v>
      </c>
      <c r="P140" s="99">
        <v>2545</v>
      </c>
      <c r="Q140" s="99">
        <v>2484</v>
      </c>
      <c r="R140" s="99">
        <v>2471</v>
      </c>
      <c r="S140" s="99">
        <v>2467</v>
      </c>
      <c r="T140" s="9">
        <v>2415</v>
      </c>
      <c r="U140" s="9">
        <v>2407</v>
      </c>
      <c r="V140" s="9">
        <v>2345</v>
      </c>
      <c r="W140" s="9">
        <v>2296</v>
      </c>
      <c r="X140" s="280">
        <v>2268</v>
      </c>
      <c r="Y140" s="314">
        <v>2229</v>
      </c>
      <c r="Z140" s="335"/>
    </row>
    <row r="141" spans="1:89" ht="12.6" customHeight="1" x14ac:dyDescent="0.2">
      <c r="C141" s="17" t="str">
        <f>VLOOKUP(110,Textbausteine_102[],Hilfsgrössen!$D$2,FALSE)</f>
        <v>eigene</v>
      </c>
      <c r="D141" s="16" t="str">
        <f>VLOOKUP(28,Textbausteine_102[],Hilfsgrössen!$D$2,FALSE)</f>
        <v>Anzahl</v>
      </c>
      <c r="F141" s="9" t="s">
        <v>35</v>
      </c>
      <c r="H141" s="86" t="s">
        <v>30</v>
      </c>
      <c r="I141" s="109" t="s">
        <v>30</v>
      </c>
      <c r="J141" s="109" t="s">
        <v>30</v>
      </c>
      <c r="K141" s="107">
        <v>1346</v>
      </c>
      <c r="L141" s="107">
        <v>1304</v>
      </c>
      <c r="M141" s="107">
        <v>1216</v>
      </c>
      <c r="N141" s="99">
        <v>1180</v>
      </c>
      <c r="O141" s="99">
        <v>1154</v>
      </c>
      <c r="P141" s="99">
        <v>1120</v>
      </c>
      <c r="Q141" s="99">
        <v>1086</v>
      </c>
      <c r="R141" s="99">
        <v>1051</v>
      </c>
      <c r="S141" s="99">
        <v>1009</v>
      </c>
      <c r="T141" s="9">
        <v>947</v>
      </c>
      <c r="U141" s="9">
        <v>901</v>
      </c>
      <c r="V141" s="9">
        <v>833</v>
      </c>
      <c r="W141" s="9">
        <v>775</v>
      </c>
      <c r="X141" s="307">
        <v>732</v>
      </c>
      <c r="Y141" s="314">
        <v>700</v>
      </c>
      <c r="Z141" s="335"/>
    </row>
    <row r="142" spans="1:89" ht="12.6" customHeight="1" x14ac:dyDescent="0.2">
      <c r="C142" s="13" t="str">
        <f>VLOOKUP(111,Textbausteine_102[],Hilfsgrössen!$D$2,FALSE)</f>
        <v>gemietete</v>
      </c>
      <c r="D142" s="16" t="str">
        <f>VLOOKUP(28,Textbausteine_102[],Hilfsgrössen!$D$2,FALSE)</f>
        <v>Anzahl</v>
      </c>
      <c r="F142" s="9" t="s">
        <v>35</v>
      </c>
      <c r="H142" s="86" t="s">
        <v>30</v>
      </c>
      <c r="I142" s="109" t="s">
        <v>30</v>
      </c>
      <c r="J142" s="109" t="s">
        <v>30</v>
      </c>
      <c r="K142" s="107">
        <v>1577</v>
      </c>
      <c r="L142" s="107">
        <v>1693</v>
      </c>
      <c r="M142" s="107">
        <v>1557</v>
      </c>
      <c r="N142" s="99">
        <v>1507</v>
      </c>
      <c r="O142" s="99">
        <v>1579</v>
      </c>
      <c r="P142" s="99">
        <v>1425</v>
      </c>
      <c r="Q142" s="99">
        <v>1398</v>
      </c>
      <c r="R142" s="99">
        <v>1420</v>
      </c>
      <c r="S142" s="99">
        <v>1458</v>
      </c>
      <c r="T142" s="9">
        <v>1468</v>
      </c>
      <c r="U142" s="9">
        <v>1506</v>
      </c>
      <c r="V142" s="9">
        <v>1512</v>
      </c>
      <c r="W142" s="9">
        <v>1521</v>
      </c>
      <c r="X142" s="280">
        <v>1535</v>
      </c>
      <c r="Y142" s="314">
        <v>1529</v>
      </c>
      <c r="Z142" s="335"/>
    </row>
    <row r="143" spans="1:89" ht="12.6" customHeight="1" x14ac:dyDescent="0.2">
      <c r="C143" s="1" t="str">
        <f>VLOOKUP(112,Textbausteine_102[],Hilfsgrössen!$D$2,FALSE)</f>
        <v>Bewirtschaftete Fläche</v>
      </c>
      <c r="D143" s="16" t="str">
        <f>VLOOKUP(30,Textbausteine_102[],Hilfsgrössen!$D$2,FALSE)</f>
        <v>Mio. m²</v>
      </c>
      <c r="F143" s="9" t="s">
        <v>35</v>
      </c>
      <c r="H143" s="152" t="s">
        <v>30</v>
      </c>
      <c r="I143" s="235" t="s">
        <v>30</v>
      </c>
      <c r="J143" s="235" t="s">
        <v>30</v>
      </c>
      <c r="K143" s="133">
        <v>2.6</v>
      </c>
      <c r="L143" s="133">
        <v>2.8</v>
      </c>
      <c r="M143" s="133">
        <v>2.6</v>
      </c>
      <c r="N143" s="200">
        <v>2.673</v>
      </c>
      <c r="O143" s="200">
        <v>2.6</v>
      </c>
      <c r="P143" s="200">
        <v>2.5539999999999998</v>
      </c>
      <c r="Q143" s="200">
        <v>2.6</v>
      </c>
      <c r="R143" s="200">
        <v>2.4</v>
      </c>
      <c r="S143" s="200">
        <v>2.5</v>
      </c>
      <c r="T143" s="304">
        <v>2.5</v>
      </c>
      <c r="U143" s="304">
        <v>2.54</v>
      </c>
      <c r="V143" s="304">
        <v>2.5099999999999998</v>
      </c>
      <c r="W143" s="304">
        <v>2.5</v>
      </c>
      <c r="X143" s="277">
        <v>2.5</v>
      </c>
      <c r="Y143" s="314">
        <v>2.5</v>
      </c>
      <c r="Z143" s="335"/>
    </row>
    <row r="144" spans="1:89" ht="12.6" customHeight="1" x14ac:dyDescent="0.2">
      <c r="C144" s="13" t="str">
        <f>VLOOKUP(113,Textbausteine_102[],Hilfsgrössen!$D$2,FALSE)</f>
        <v>angemietete Fläche</v>
      </c>
      <c r="D144" s="16" t="str">
        <f>VLOOKUP(30,Textbausteine_102[],Hilfsgrössen!$D$2,FALSE)</f>
        <v>Mio. m²</v>
      </c>
      <c r="E144" s="164"/>
      <c r="F144" s="9" t="s">
        <v>35</v>
      </c>
      <c r="H144" s="152" t="s">
        <v>30</v>
      </c>
      <c r="I144" s="235" t="s">
        <v>30</v>
      </c>
      <c r="J144" s="235" t="s">
        <v>30</v>
      </c>
      <c r="K144" s="133">
        <v>0.5</v>
      </c>
      <c r="L144" s="133">
        <v>0.7</v>
      </c>
      <c r="M144" s="133">
        <v>0.8</v>
      </c>
      <c r="N144" s="200">
        <v>0.77500000000000002</v>
      </c>
      <c r="O144" s="200">
        <v>0.8</v>
      </c>
      <c r="P144" s="200">
        <v>0.72399999999999998</v>
      </c>
      <c r="Q144" s="200">
        <v>0.8</v>
      </c>
      <c r="R144" s="200">
        <v>0.8</v>
      </c>
      <c r="S144" s="200">
        <v>0.8</v>
      </c>
      <c r="T144" s="304">
        <v>0.7</v>
      </c>
      <c r="U144" s="304">
        <v>0.71</v>
      </c>
      <c r="V144" s="304">
        <v>0.7</v>
      </c>
      <c r="W144" s="304">
        <v>0.7</v>
      </c>
      <c r="X144" s="277">
        <v>0.7</v>
      </c>
      <c r="Y144" s="314">
        <v>0.7</v>
      </c>
      <c r="Z144" s="335"/>
    </row>
    <row r="145" spans="1:89" ht="12.6" customHeight="1" x14ac:dyDescent="0.2">
      <c r="C145" s="13" t="str">
        <f>VLOOKUP(114,Textbausteine_102[],Hilfsgrössen!$D$2,FALSE)</f>
        <v>angemietete Fläche</v>
      </c>
      <c r="D145" s="1" t="str">
        <f>VLOOKUP(22,Textbausteine_102[],Hilfsgrössen!$D$2,FALSE)</f>
        <v>Mio. CHF</v>
      </c>
      <c r="E145" s="165"/>
      <c r="F145" s="9" t="s">
        <v>35</v>
      </c>
      <c r="H145" s="86" t="s">
        <v>30</v>
      </c>
      <c r="I145" s="101" t="s">
        <v>30</v>
      </c>
      <c r="J145" s="101" t="s">
        <v>30</v>
      </c>
      <c r="K145" s="99">
        <v>111</v>
      </c>
      <c r="L145" s="99">
        <v>116</v>
      </c>
      <c r="M145" s="99">
        <v>129</v>
      </c>
      <c r="N145" s="11">
        <v>138</v>
      </c>
      <c r="O145" s="11">
        <v>137</v>
      </c>
      <c r="P145" s="9">
        <v>137</v>
      </c>
      <c r="Q145" s="9">
        <v>157</v>
      </c>
      <c r="R145" s="99">
        <v>143</v>
      </c>
      <c r="S145" s="99">
        <v>152.36232099999998</v>
      </c>
      <c r="T145" s="9">
        <v>153</v>
      </c>
      <c r="U145" s="9">
        <v>147</v>
      </c>
      <c r="V145" s="9">
        <v>143</v>
      </c>
      <c r="W145" s="9">
        <v>141</v>
      </c>
      <c r="X145" s="307">
        <v>139</v>
      </c>
      <c r="Y145" s="314">
        <v>136</v>
      </c>
      <c r="Z145" s="335"/>
    </row>
    <row r="146" spans="1:89" ht="12.6" customHeight="1" x14ac:dyDescent="0.2">
      <c r="C146" s="1" t="str">
        <f>VLOOKUP(115,Textbausteine_102[],Hilfsgrössen!$D$2,FALSE)</f>
        <v>Anlagewert</v>
      </c>
      <c r="D146" s="1" t="str">
        <f>VLOOKUP(22,Textbausteine_102[],Hilfsgrössen!$D$2,FALSE)</f>
        <v>Mio. CHF</v>
      </c>
      <c r="F146" s="9" t="s">
        <v>35</v>
      </c>
      <c r="H146" s="86" t="s">
        <v>30</v>
      </c>
      <c r="I146" s="109" t="s">
        <v>30</v>
      </c>
      <c r="J146" s="109" t="s">
        <v>30</v>
      </c>
      <c r="K146" s="107">
        <v>6057</v>
      </c>
      <c r="L146" s="107">
        <v>5732</v>
      </c>
      <c r="M146" s="107">
        <v>5208</v>
      </c>
      <c r="N146" s="99">
        <v>5237</v>
      </c>
      <c r="O146" s="99">
        <v>5277</v>
      </c>
      <c r="P146" s="99">
        <v>5357</v>
      </c>
      <c r="Q146" s="99">
        <v>5496</v>
      </c>
      <c r="R146" s="99">
        <v>5594</v>
      </c>
      <c r="S146" s="99">
        <v>5500.2836930000003</v>
      </c>
      <c r="T146" s="9">
        <v>5464</v>
      </c>
      <c r="U146" s="9">
        <v>5309</v>
      </c>
      <c r="V146" s="9">
        <v>5251</v>
      </c>
      <c r="W146" s="9">
        <v>5185</v>
      </c>
      <c r="X146" s="280">
        <v>5272</v>
      </c>
      <c r="Y146" s="314">
        <v>5149</v>
      </c>
      <c r="Z146" s="335"/>
    </row>
    <row r="147" spans="1:89" ht="12.6" customHeight="1" x14ac:dyDescent="0.2">
      <c r="C147" s="1" t="str">
        <f>VLOOKUP(116,Textbausteine_102[],Hilfsgrössen!$D$2,FALSE)</f>
        <v>Mietertrag intern</v>
      </c>
      <c r="D147" s="1" t="str">
        <f>VLOOKUP(22,Textbausteine_102[],Hilfsgrössen!$D$2,FALSE)</f>
        <v>Mio. CHF</v>
      </c>
      <c r="F147" s="9" t="s">
        <v>35</v>
      </c>
      <c r="H147" s="86" t="s">
        <v>30</v>
      </c>
      <c r="I147" s="109" t="s">
        <v>30</v>
      </c>
      <c r="J147" s="109" t="s">
        <v>30</v>
      </c>
      <c r="K147" s="107">
        <v>399</v>
      </c>
      <c r="L147" s="107">
        <v>415</v>
      </c>
      <c r="M147" s="107">
        <v>402</v>
      </c>
      <c r="N147" s="99">
        <v>398</v>
      </c>
      <c r="O147" s="99">
        <v>394</v>
      </c>
      <c r="P147" s="99">
        <v>392</v>
      </c>
      <c r="Q147" s="99">
        <v>370</v>
      </c>
      <c r="R147" s="99">
        <v>371</v>
      </c>
      <c r="S147" s="99">
        <v>367.85900000000004</v>
      </c>
      <c r="T147" s="9">
        <v>358</v>
      </c>
      <c r="U147" s="9">
        <v>344</v>
      </c>
      <c r="V147" s="9">
        <v>296.2</v>
      </c>
      <c r="W147" s="9">
        <v>289</v>
      </c>
      <c r="X147" s="307">
        <v>278</v>
      </c>
      <c r="Y147" s="314">
        <v>273</v>
      </c>
      <c r="Z147" s="335"/>
    </row>
    <row r="148" spans="1:89" ht="12.6" customHeight="1" x14ac:dyDescent="0.2">
      <c r="C148" s="1" t="str">
        <f>VLOOKUP(117,Textbausteine_102[],Hilfsgrössen!$D$2,FALSE)</f>
        <v>Mietertrag extern</v>
      </c>
      <c r="D148" s="1" t="str">
        <f>VLOOKUP(22,Textbausteine_102[],Hilfsgrössen!$D$2,FALSE)</f>
        <v>Mio. CHF</v>
      </c>
      <c r="F148" s="9" t="s">
        <v>35</v>
      </c>
      <c r="H148" s="236" t="s">
        <v>30</v>
      </c>
      <c r="I148" s="237" t="s">
        <v>30</v>
      </c>
      <c r="J148" s="237" t="s">
        <v>30</v>
      </c>
      <c r="K148" s="134">
        <v>55</v>
      </c>
      <c r="L148" s="134">
        <v>59</v>
      </c>
      <c r="M148" s="134">
        <v>57</v>
      </c>
      <c r="N148" s="197">
        <v>56</v>
      </c>
      <c r="O148" s="197">
        <v>56</v>
      </c>
      <c r="P148" s="197">
        <v>63</v>
      </c>
      <c r="Q148" s="197">
        <v>64</v>
      </c>
      <c r="R148" s="197">
        <v>61</v>
      </c>
      <c r="S148" s="197">
        <v>63.567</v>
      </c>
      <c r="T148" s="198">
        <v>61</v>
      </c>
      <c r="U148" s="198">
        <v>62</v>
      </c>
      <c r="V148" s="198">
        <v>84</v>
      </c>
      <c r="W148" s="198">
        <v>86</v>
      </c>
      <c r="X148" s="275">
        <v>58</v>
      </c>
      <c r="Y148" s="314">
        <v>60</v>
      </c>
      <c r="Z148" s="335"/>
    </row>
    <row r="149" spans="1:89" ht="12.6" customHeight="1" x14ac:dyDescent="0.2">
      <c r="C149" s="1" t="str">
        <f>VLOOKUP(118,Textbausteine_102[],Hilfsgrössen!$D$2,FALSE)</f>
        <v>Investitionsvolumen</v>
      </c>
      <c r="D149" s="1" t="str">
        <f>VLOOKUP(22,Textbausteine_102[],Hilfsgrössen!$D$2,FALSE)</f>
        <v>Mio. CHF</v>
      </c>
      <c r="F149" s="9" t="s">
        <v>35</v>
      </c>
      <c r="H149" s="236" t="s">
        <v>30</v>
      </c>
      <c r="I149" s="237" t="s">
        <v>30</v>
      </c>
      <c r="J149" s="237" t="s">
        <v>30</v>
      </c>
      <c r="K149" s="134">
        <v>140</v>
      </c>
      <c r="L149" s="134">
        <v>160</v>
      </c>
      <c r="M149" s="134">
        <v>121</v>
      </c>
      <c r="N149" s="197">
        <v>167</v>
      </c>
      <c r="O149" s="197">
        <v>183</v>
      </c>
      <c r="P149" s="197">
        <v>177</v>
      </c>
      <c r="Q149" s="197">
        <v>157</v>
      </c>
      <c r="R149" s="197">
        <v>189</v>
      </c>
      <c r="S149" s="197">
        <v>101.937</v>
      </c>
      <c r="T149" s="198">
        <v>141</v>
      </c>
      <c r="U149" s="198">
        <v>127</v>
      </c>
      <c r="V149" s="198">
        <v>85.9</v>
      </c>
      <c r="W149" s="198">
        <v>144</v>
      </c>
      <c r="X149" s="275">
        <v>176</v>
      </c>
      <c r="Y149" s="314">
        <v>147</v>
      </c>
      <c r="Z149" s="335"/>
    </row>
    <row r="150" spans="1:89" ht="12.6" customHeight="1" x14ac:dyDescent="0.2">
      <c r="C150" s="1" t="str">
        <f>VLOOKUP(119,Textbausteine_102[],Hilfsgrössen!$D$2,FALSE)</f>
        <v>Unterhaltsvolumen</v>
      </c>
      <c r="D150" s="1" t="str">
        <f>VLOOKUP(22,Textbausteine_102[],Hilfsgrössen!$D$2,FALSE)</f>
        <v>Mio. CHF</v>
      </c>
      <c r="E150" s="164"/>
      <c r="F150" s="9" t="s">
        <v>35</v>
      </c>
      <c r="H150" s="236" t="s">
        <v>30</v>
      </c>
      <c r="I150" s="237" t="s">
        <v>30</v>
      </c>
      <c r="J150" s="237" t="s">
        <v>30</v>
      </c>
      <c r="K150" s="134">
        <v>47</v>
      </c>
      <c r="L150" s="134">
        <v>50</v>
      </c>
      <c r="M150" s="134">
        <v>49</v>
      </c>
      <c r="N150" s="197">
        <v>44</v>
      </c>
      <c r="O150" s="197">
        <v>48</v>
      </c>
      <c r="P150" s="197">
        <v>54</v>
      </c>
      <c r="Q150" s="197">
        <v>44</v>
      </c>
      <c r="R150" s="197">
        <v>42</v>
      </c>
      <c r="S150" s="197">
        <v>92</v>
      </c>
      <c r="T150" s="198">
        <v>57</v>
      </c>
      <c r="U150" s="198">
        <v>40</v>
      </c>
      <c r="V150" s="198">
        <v>43.4</v>
      </c>
      <c r="W150" s="198">
        <v>40</v>
      </c>
      <c r="X150" s="275">
        <v>35</v>
      </c>
      <c r="Y150" s="314">
        <v>28</v>
      </c>
      <c r="Z150" s="335"/>
    </row>
    <row r="151" spans="1:89" ht="12.6" customHeight="1" x14ac:dyDescent="0.2">
      <c r="C151" s="1" t="str">
        <f>VLOOKUP(120,Textbausteine_102[],Hilfsgrössen!$D$2,FALSE)</f>
        <v>Laufende Projekte</v>
      </c>
      <c r="D151" s="16" t="str">
        <f>VLOOKUP(28,Textbausteine_102[],Hilfsgrössen!$D$2,FALSE)</f>
        <v>Anzahl</v>
      </c>
      <c r="E151" s="165"/>
      <c r="F151" s="9" t="s">
        <v>35</v>
      </c>
      <c r="H151" s="86" t="s">
        <v>30</v>
      </c>
      <c r="I151" s="101" t="s">
        <v>30</v>
      </c>
      <c r="J151" s="101" t="s">
        <v>30</v>
      </c>
      <c r="K151" s="99" t="s">
        <v>65</v>
      </c>
      <c r="L151" s="99" t="s">
        <v>66</v>
      </c>
      <c r="M151" s="99" t="s">
        <v>66</v>
      </c>
      <c r="N151" s="11" t="s">
        <v>66</v>
      </c>
      <c r="O151" s="11" t="s">
        <v>67</v>
      </c>
      <c r="P151" s="9" t="s">
        <v>67</v>
      </c>
      <c r="Q151" s="9" t="s">
        <v>68</v>
      </c>
      <c r="R151" s="99" t="s">
        <v>69</v>
      </c>
      <c r="S151" s="99" t="s">
        <v>70</v>
      </c>
      <c r="T151" s="9" t="s">
        <v>71</v>
      </c>
      <c r="U151" s="9" t="s">
        <v>71</v>
      </c>
      <c r="V151" s="9" t="s">
        <v>72</v>
      </c>
      <c r="W151" s="9" t="s">
        <v>72</v>
      </c>
      <c r="X151" s="307" t="s">
        <v>67</v>
      </c>
      <c r="Y151" s="314" t="s">
        <v>73</v>
      </c>
      <c r="Z151" s="335"/>
    </row>
    <row r="152" spans="1:89" ht="12.6" customHeight="1" x14ac:dyDescent="0.2">
      <c r="C152" s="48"/>
      <c r="H152" s="107"/>
      <c r="I152" s="107"/>
      <c r="J152" s="107"/>
      <c r="K152" s="107"/>
      <c r="L152" s="107"/>
      <c r="M152" s="107"/>
      <c r="N152" s="99"/>
      <c r="O152" s="99"/>
      <c r="P152" s="99"/>
      <c r="Q152" s="99"/>
      <c r="R152" s="99"/>
      <c r="S152" s="99"/>
      <c r="T152" s="9"/>
      <c r="U152" s="9"/>
      <c r="V152" s="9"/>
      <c r="W152" s="9"/>
      <c r="X152" s="307"/>
      <c r="Y152" s="314"/>
    </row>
    <row r="153" spans="1:89" s="8" customFormat="1" ht="12.6" customHeight="1" x14ac:dyDescent="0.2">
      <c r="A153" s="56"/>
      <c r="B153" s="2" t="str">
        <f>VLOOKUP(54,Textbausteine_Menu[],Hilfsgrössen!$D$2,FALSE)</f>
        <v>Informationstechnologie</v>
      </c>
      <c r="D153" s="1"/>
      <c r="E153" s="166"/>
      <c r="F153" s="11"/>
      <c r="G153" s="303"/>
      <c r="H153" s="88"/>
      <c r="I153" s="88"/>
      <c r="J153" s="88"/>
      <c r="K153" s="88"/>
      <c r="L153" s="88"/>
      <c r="M153" s="88"/>
      <c r="N153" s="99"/>
      <c r="O153" s="99"/>
      <c r="P153" s="99"/>
      <c r="Q153" s="99"/>
      <c r="R153" s="99"/>
      <c r="S153" s="99"/>
      <c r="T153" s="9"/>
      <c r="U153" s="9"/>
      <c r="V153" s="9"/>
      <c r="W153" s="9"/>
      <c r="X153" s="307"/>
      <c r="Y153" s="314"/>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c r="BE153" s="9"/>
      <c r="BF153" s="9"/>
      <c r="BG153" s="9"/>
      <c r="BH153" s="9"/>
      <c r="BI153" s="9"/>
      <c r="BJ153" s="9"/>
      <c r="BK153" s="9"/>
      <c r="BL153" s="9"/>
      <c r="BM153" s="9"/>
      <c r="BN153" s="9"/>
      <c r="BO153" s="9"/>
      <c r="BP153" s="9"/>
      <c r="BQ153" s="9"/>
      <c r="BR153" s="9"/>
      <c r="BS153" s="9"/>
      <c r="BT153" s="9"/>
      <c r="BU153" s="9"/>
      <c r="BV153" s="9"/>
      <c r="BW153" s="9"/>
      <c r="BX153" s="9"/>
      <c r="BY153" s="9"/>
      <c r="BZ153" s="9"/>
      <c r="CA153" s="9"/>
      <c r="CB153" s="9"/>
      <c r="CC153" s="9"/>
      <c r="CD153" s="9"/>
      <c r="CE153" s="9"/>
      <c r="CF153" s="9"/>
      <c r="CG153" s="9"/>
      <c r="CH153" s="9"/>
      <c r="CI153" s="9"/>
      <c r="CJ153" s="9"/>
      <c r="CK153" s="9"/>
    </row>
    <row r="154" spans="1:89" ht="12.6" customHeight="1" x14ac:dyDescent="0.2">
      <c r="C154" s="48" t="str">
        <f>VLOOKUP(121,Textbausteine_102[],Hilfsgrössen!$D$2,FALSE)</f>
        <v xml:space="preserve">Kontakte User Help Desk </v>
      </c>
      <c r="D154" s="1" t="str">
        <f>VLOOKUP(31,Textbausteine_102[],Hilfsgrössen!$D$2,FALSE)</f>
        <v>Anzahl pro Monat</v>
      </c>
      <c r="F154" s="9" t="s">
        <v>35</v>
      </c>
      <c r="H154" s="86" t="s">
        <v>30</v>
      </c>
      <c r="I154" s="109" t="s">
        <v>30</v>
      </c>
      <c r="J154" s="109" t="s">
        <v>30</v>
      </c>
      <c r="K154" s="107">
        <v>25000</v>
      </c>
      <c r="L154" s="107">
        <v>24000</v>
      </c>
      <c r="M154" s="107">
        <v>24000</v>
      </c>
      <c r="N154" s="99">
        <v>21935</v>
      </c>
      <c r="O154" s="99">
        <v>20901</v>
      </c>
      <c r="P154" s="99">
        <v>19200</v>
      </c>
      <c r="Q154" s="99">
        <v>16768</v>
      </c>
      <c r="R154" s="99">
        <v>16092</v>
      </c>
      <c r="S154" s="99">
        <v>19080</v>
      </c>
      <c r="T154" s="9">
        <v>17038</v>
      </c>
      <c r="U154" s="9">
        <v>15126</v>
      </c>
      <c r="V154" s="9">
        <v>14167</v>
      </c>
      <c r="W154" s="9">
        <v>14813</v>
      </c>
      <c r="X154" s="280">
        <v>14985</v>
      </c>
      <c r="Y154" s="314">
        <v>14239</v>
      </c>
      <c r="Z154" s="335"/>
    </row>
    <row r="155" spans="1:89" ht="12.6" customHeight="1" x14ac:dyDescent="0.2">
      <c r="C155" s="48" t="str">
        <f>VLOOKUP(122,Textbausteine_102[],Hilfsgrössen!$D$2,FALSE)</f>
        <v>Betreute Geräte</v>
      </c>
      <c r="D155" s="1" t="str">
        <f>VLOOKUP(33,Textbausteine_102[],Hilfsgrössen!$D$2,FALSE)</f>
        <v>Anzahl pro Jahr</v>
      </c>
      <c r="F155" s="9" t="s">
        <v>35</v>
      </c>
      <c r="H155" s="86" t="s">
        <v>30</v>
      </c>
      <c r="I155" s="109" t="s">
        <v>30</v>
      </c>
      <c r="J155" s="109" t="s">
        <v>30</v>
      </c>
      <c r="K155" s="107">
        <v>38200</v>
      </c>
      <c r="L155" s="107">
        <v>62000</v>
      </c>
      <c r="M155" s="107">
        <v>64431</v>
      </c>
      <c r="N155" s="99">
        <v>79121</v>
      </c>
      <c r="O155" s="99">
        <v>85455</v>
      </c>
      <c r="P155" s="99">
        <v>87073</v>
      </c>
      <c r="Q155" s="99">
        <v>86884</v>
      </c>
      <c r="R155" s="99">
        <v>89075</v>
      </c>
      <c r="S155" s="99">
        <v>96891</v>
      </c>
      <c r="T155" s="9">
        <v>92492</v>
      </c>
      <c r="U155" s="9">
        <v>90231</v>
      </c>
      <c r="V155" s="9">
        <v>89772</v>
      </c>
      <c r="W155" s="9">
        <v>93544</v>
      </c>
      <c r="X155" s="280">
        <v>98257</v>
      </c>
      <c r="Y155" s="314">
        <v>97154</v>
      </c>
      <c r="Z155" s="335"/>
    </row>
    <row r="156" spans="1:89" ht="12.6" customHeight="1" x14ac:dyDescent="0.2">
      <c r="C156" s="48" t="str">
        <f>VLOOKUP(123,Textbausteine_102[],Hilfsgrössen!$D$2,FALSE)</f>
        <v>Anzahl verschiedene Anwendungen</v>
      </c>
      <c r="D156" s="1" t="str">
        <f>VLOOKUP(33,Textbausteine_102[],Hilfsgrössen!$D$2,FALSE)</f>
        <v>Anzahl pro Jahr</v>
      </c>
      <c r="E156" s="164" t="s">
        <v>74</v>
      </c>
      <c r="F156" s="9" t="s">
        <v>35</v>
      </c>
      <c r="H156" s="86" t="s">
        <v>30</v>
      </c>
      <c r="I156" s="109" t="s">
        <v>30</v>
      </c>
      <c r="J156" s="109" t="s">
        <v>30</v>
      </c>
      <c r="K156" s="107">
        <v>430</v>
      </c>
      <c r="L156" s="107">
        <v>450</v>
      </c>
      <c r="M156" s="107">
        <v>625</v>
      </c>
      <c r="N156" s="99">
        <v>654</v>
      </c>
      <c r="O156" s="99">
        <v>636</v>
      </c>
      <c r="P156" s="99">
        <v>509</v>
      </c>
      <c r="Q156" s="99">
        <v>540</v>
      </c>
      <c r="R156" s="99">
        <v>559</v>
      </c>
      <c r="S156" s="99">
        <v>569</v>
      </c>
      <c r="T156" s="9">
        <v>591</v>
      </c>
      <c r="U156" s="9">
        <v>593</v>
      </c>
      <c r="V156" s="9">
        <v>586</v>
      </c>
      <c r="W156" s="9">
        <v>442</v>
      </c>
      <c r="X156" s="307">
        <v>454</v>
      </c>
      <c r="Y156" s="314">
        <v>478</v>
      </c>
      <c r="Z156" s="335"/>
    </row>
    <row r="157" spans="1:89" ht="12.6" customHeight="1" x14ac:dyDescent="0.2">
      <c r="C157" s="8" t="str">
        <f>VLOOKUP(124,Textbausteine_102[],Hilfsgrössen!$D$2,FALSE)</f>
        <v>Datensicherungsmenge pro Jahr</v>
      </c>
      <c r="D157" s="1" t="str">
        <f>VLOOKUP(32,Textbausteine_102[],Hilfsgrössen!$D$2,FALSE)</f>
        <v>Gigabyte</v>
      </c>
      <c r="E157" s="165"/>
      <c r="F157" s="9" t="s">
        <v>35</v>
      </c>
      <c r="H157" s="86" t="s">
        <v>30</v>
      </c>
      <c r="I157" s="101" t="s">
        <v>30</v>
      </c>
      <c r="J157" s="101" t="s">
        <v>30</v>
      </c>
      <c r="K157" s="101" t="s">
        <v>30</v>
      </c>
      <c r="L157" s="101" t="s">
        <v>30</v>
      </c>
      <c r="M157" s="101" t="s">
        <v>30</v>
      </c>
      <c r="N157" s="11" t="s">
        <v>75</v>
      </c>
      <c r="O157" s="11">
        <v>1900000</v>
      </c>
      <c r="P157" s="9">
        <v>2600000</v>
      </c>
      <c r="Q157" s="9">
        <v>2700000</v>
      </c>
      <c r="R157" s="99">
        <v>2900000</v>
      </c>
      <c r="S157" s="99">
        <v>3100000</v>
      </c>
      <c r="T157" s="9">
        <v>3400000</v>
      </c>
      <c r="U157" s="9">
        <v>3500000</v>
      </c>
      <c r="V157" s="9">
        <v>3600000</v>
      </c>
      <c r="W157" s="9">
        <v>4200000</v>
      </c>
      <c r="X157" s="280">
        <v>4450000</v>
      </c>
      <c r="Y157" s="314">
        <v>4700000</v>
      </c>
      <c r="Z157" s="335"/>
    </row>
    <row r="158" spans="1:89" ht="12.6" customHeight="1" x14ac:dyDescent="0.2">
      <c r="C158" s="48" t="str">
        <f>VLOOKUP(125,Textbausteine_102[],Hilfsgrössen!$D$2,FALSE)</f>
        <v>Erstlösungsrate</v>
      </c>
      <c r="D158" s="1" t="str">
        <f>VLOOKUP(21,Textbausteine_102[],Hilfsgrössen!$D$2,FALSE)</f>
        <v>%</v>
      </c>
      <c r="F158" s="9" t="s">
        <v>35</v>
      </c>
      <c r="H158" s="86" t="s">
        <v>30</v>
      </c>
      <c r="I158" s="109" t="s">
        <v>30</v>
      </c>
      <c r="J158" s="109" t="s">
        <v>30</v>
      </c>
      <c r="K158" s="134">
        <v>67.7</v>
      </c>
      <c r="L158" s="134">
        <v>67.5</v>
      </c>
      <c r="M158" s="134">
        <v>68.599999999999994</v>
      </c>
      <c r="N158" s="197">
        <v>68.099999999999994</v>
      </c>
      <c r="O158" s="197">
        <v>69.2</v>
      </c>
      <c r="P158" s="197">
        <v>76.900000000000006</v>
      </c>
      <c r="Q158" s="197">
        <v>74</v>
      </c>
      <c r="R158" s="197">
        <v>75</v>
      </c>
      <c r="S158" s="197">
        <v>76</v>
      </c>
      <c r="T158" s="198">
        <v>74</v>
      </c>
      <c r="U158" s="198">
        <v>72</v>
      </c>
      <c r="V158" s="198">
        <v>69</v>
      </c>
      <c r="W158" s="198">
        <v>71</v>
      </c>
      <c r="X158" s="275">
        <v>75</v>
      </c>
      <c r="Y158" s="323">
        <v>71</v>
      </c>
      <c r="Z158" s="335"/>
    </row>
    <row r="159" spans="1:89" ht="12.6" customHeight="1" x14ac:dyDescent="0.2">
      <c r="C159" s="48" t="str">
        <f>VLOOKUP(126,Textbausteine_102[],Hilfsgrössen!$D$2,FALSE)</f>
        <v>Supporteinsätze</v>
      </c>
      <c r="D159" s="1" t="str">
        <f>VLOOKUP(33,Textbausteine_102[],Hilfsgrössen!$D$2,FALSE)</f>
        <v>Anzahl pro Jahr</v>
      </c>
      <c r="E159" s="162" t="s">
        <v>76</v>
      </c>
      <c r="F159" s="9" t="s">
        <v>35</v>
      </c>
      <c r="H159" s="86" t="s">
        <v>30</v>
      </c>
      <c r="I159" s="109" t="s">
        <v>30</v>
      </c>
      <c r="J159" s="109" t="s">
        <v>30</v>
      </c>
      <c r="K159" s="107">
        <v>40500</v>
      </c>
      <c r="L159" s="107">
        <v>39600</v>
      </c>
      <c r="M159" s="107">
        <v>41500</v>
      </c>
      <c r="N159" s="99">
        <v>38927</v>
      </c>
      <c r="O159" s="99">
        <v>40214</v>
      </c>
      <c r="P159" s="99">
        <v>44100</v>
      </c>
      <c r="Q159" s="99">
        <v>44440</v>
      </c>
      <c r="R159" s="99">
        <v>46990</v>
      </c>
      <c r="S159" s="99">
        <v>50792</v>
      </c>
      <c r="T159" s="9">
        <v>44229</v>
      </c>
      <c r="U159" s="9">
        <v>42292</v>
      </c>
      <c r="V159" s="9">
        <v>44788</v>
      </c>
      <c r="W159" s="9">
        <v>30007</v>
      </c>
      <c r="X159" s="280">
        <v>31134</v>
      </c>
      <c r="Y159" s="314">
        <v>34811</v>
      </c>
      <c r="Z159" s="335"/>
    </row>
    <row r="160" spans="1:89" ht="12.6" customHeight="1" x14ac:dyDescent="0.2">
      <c r="C160" s="48"/>
      <c r="H160" s="107"/>
      <c r="I160" s="107"/>
      <c r="J160" s="107"/>
      <c r="K160" s="107"/>
      <c r="L160" s="107"/>
      <c r="M160" s="107"/>
      <c r="N160" s="99"/>
      <c r="O160" s="99"/>
      <c r="P160" s="99"/>
      <c r="Q160" s="99"/>
      <c r="R160" s="99"/>
      <c r="S160" s="99"/>
      <c r="T160" s="9"/>
      <c r="U160" s="9"/>
      <c r="V160" s="9"/>
      <c r="W160" s="9"/>
      <c r="X160" s="307"/>
      <c r="Y160" s="9"/>
    </row>
    <row r="161" spans="2:26" ht="12.6" customHeight="1" x14ac:dyDescent="0.25">
      <c r="B161" s="302" t="str">
        <f>VLOOKUP(261,Textbausteine_102[],Hilfsgrössen!$D$2,FALSE)</f>
        <v>1) Ab dem Jahr 2012 besteht Swiss Post International nicht mehr als eigenständiges Segment. Die Werte wurden ab dem 1. Januar 2012 auf die Geschäftsbereiche PostMail und PostLogistics überführt. PostMail und PostLogistics wurden ab dem 1.1.2021 im Segment Logistik-Services zusammengeführt.</v>
      </c>
      <c r="C161" s="48"/>
      <c r="H161" s="107"/>
      <c r="I161" s="107"/>
      <c r="J161" s="107"/>
      <c r="K161" s="107"/>
      <c r="L161" s="107"/>
      <c r="M161" s="107"/>
      <c r="N161" s="99"/>
      <c r="O161" s="99"/>
      <c r="P161" s="99"/>
      <c r="Q161" s="99"/>
      <c r="R161" s="99"/>
      <c r="S161" s="99"/>
      <c r="T161" s="9"/>
      <c r="U161" s="9"/>
      <c r="V161" s="9"/>
      <c r="W161" s="9"/>
      <c r="X161" s="307"/>
      <c r="Y161" s="9"/>
      <c r="Z161" s="335"/>
    </row>
    <row r="162" spans="2:26" ht="12.6" customHeight="1" x14ac:dyDescent="0.25">
      <c r="B162" s="302" t="str">
        <f>VLOOKUP(262,Textbausteine_102[],Hilfsgrössen!$D$2,FALSE)</f>
        <v>2) Die Definition der Briefmenge wurde 2021 angepasst. Sie enthält neu auch die Briefmenge des grenzüberschreitenden Verkehrs und wird 2021 erstmals in dieser Form ausgewiesen. Für die Jahre 2017 bis 2020 wurden die Werte rückwirkend ermittelt.</v>
      </c>
      <c r="C162" s="48"/>
      <c r="E162" s="164"/>
      <c r="H162" s="107"/>
      <c r="I162" s="107"/>
      <c r="J162" s="107"/>
      <c r="K162" s="107"/>
      <c r="L162" s="107"/>
      <c r="M162" s="107"/>
      <c r="N162" s="99"/>
      <c r="O162" s="99"/>
      <c r="P162" s="99"/>
      <c r="Q162" s="99"/>
      <c r="R162" s="99"/>
      <c r="S162" s="99"/>
      <c r="T162" s="9"/>
      <c r="U162" s="9"/>
      <c r="V162" s="9"/>
      <c r="W162" s="9"/>
      <c r="X162" s="307"/>
      <c r="Y162" s="9"/>
      <c r="Z162" s="335"/>
    </row>
    <row r="163" spans="2:26" ht="12.6" customHeight="1" x14ac:dyDescent="0.25">
      <c r="B163" s="302" t="str">
        <f>VLOOKUP(263,Textbausteine_102[],Hilfsgrössen!$D$2,FALSE)</f>
        <v>3) Ab dem Jahr 2012 besteht Swiss Post International nicht mehr als eigenständiges Segment. Die Geschäftstätigkeiten wurden ab dem 1. Januar 2012 auf die Geschäftsbereiche PostMail und PostLogistics überführt. PostMail und PostLogistics wurden ab dem 1.1.2021 im Segment Logistik-Services zusammengeführt. Die Kenngrössen werden weiterhin erhoben.</v>
      </c>
      <c r="C163" s="13"/>
      <c r="E163" s="165"/>
      <c r="F163" s="31"/>
      <c r="H163" s="99"/>
      <c r="I163" s="99"/>
      <c r="J163" s="99"/>
      <c r="K163" s="99"/>
      <c r="L163" s="99"/>
      <c r="M163" s="99"/>
      <c r="N163" s="11"/>
      <c r="O163" s="11"/>
      <c r="R163" s="99"/>
      <c r="S163" s="99"/>
      <c r="T163" s="9"/>
      <c r="U163" s="9"/>
      <c r="V163" s="9"/>
      <c r="W163" s="9"/>
      <c r="X163" s="307"/>
      <c r="Y163" s="9"/>
      <c r="Z163" s="335"/>
    </row>
    <row r="164" spans="2:26" ht="12.6" customHeight="1" x14ac:dyDescent="0.25">
      <c r="B164" s="302" t="str">
        <f>VLOOKUP(264,Textbausteine_102[],Hilfsgrössen!$D$2,FALSE)</f>
        <v>4) Ab 2010 Swiss Express und nur noch Geschäftskunden, bis 2009 Expresssendungen (Swiss Express "Mond")</v>
      </c>
      <c r="C164" s="302"/>
      <c r="D164" s="302"/>
      <c r="E164" s="167"/>
      <c r="F164" s="30"/>
      <c r="G164" s="302"/>
      <c r="H164" s="302"/>
      <c r="I164" s="302"/>
      <c r="J164" s="302"/>
      <c r="K164" s="302"/>
      <c r="L164" s="302"/>
      <c r="M164" s="302"/>
      <c r="N164" s="302"/>
      <c r="O164" s="302"/>
      <c r="P164" s="302"/>
      <c r="Q164" s="302"/>
      <c r="R164" s="99"/>
      <c r="S164" s="99"/>
      <c r="T164" s="9"/>
      <c r="U164" s="9"/>
      <c r="V164" s="9"/>
      <c r="W164" s="9"/>
      <c r="X164" s="307"/>
      <c r="Y164" s="9"/>
      <c r="Z164" s="335"/>
    </row>
    <row r="165" spans="2:26" ht="12.6" customHeight="1" x14ac:dyDescent="0.25">
      <c r="B165" s="302" t="str">
        <f>VLOOKUP(265,Textbausteine_102[],Hilfsgrössen!$D$2,FALSE)</f>
        <v>5) Im Jahr 2007 wurden Konzerngesellschaften der Segmente PostMail (DocumentServices AG, SwissSign AG) und PostLogistics (yellowworld AG) neu dem Segment Swiss Post Solutions zugeordnet.</v>
      </c>
      <c r="C165" s="302"/>
      <c r="D165" s="302"/>
      <c r="E165" s="167"/>
      <c r="F165" s="30"/>
      <c r="G165" s="302"/>
      <c r="H165" s="302"/>
      <c r="I165" s="302"/>
      <c r="J165" s="302"/>
      <c r="K165" s="302"/>
      <c r="L165" s="302"/>
      <c r="M165" s="302"/>
      <c r="N165" s="302"/>
      <c r="O165" s="302"/>
      <c r="P165" s="302"/>
      <c r="Q165" s="302"/>
      <c r="R165" s="99"/>
      <c r="S165" s="99"/>
      <c r="T165" s="9"/>
      <c r="U165" s="9"/>
      <c r="V165" s="9"/>
      <c r="W165" s="9"/>
      <c r="X165" s="9"/>
      <c r="Y165" s="9"/>
      <c r="Z165" s="335"/>
    </row>
    <row r="166" spans="2:26" ht="12.6" customHeight="1" x14ac:dyDescent="0.25">
      <c r="B166" s="302" t="str">
        <f>VLOOKUP(266,Textbausteine_102[],Hilfsgrössen!$D$2,FALSE)</f>
        <v>6) Die Kennzahl „bearbeitete Vorgänge“ wurde bis im Jahr 2016 „geführte Telefonate“ benannt. Ab 2017 sind die geführten Telefonate Bestandteil der Kennzahl „bearbeitete Vorgänge“.</v>
      </c>
      <c r="C166" s="302"/>
      <c r="D166" s="302"/>
      <c r="E166" s="167"/>
      <c r="F166" s="30"/>
      <c r="G166" s="302"/>
      <c r="H166" s="302"/>
      <c r="I166" s="302"/>
      <c r="J166" s="302"/>
      <c r="K166" s="302"/>
      <c r="L166" s="302"/>
      <c r="M166" s="302"/>
      <c r="N166" s="302"/>
      <c r="O166" s="302"/>
      <c r="P166" s="302"/>
      <c r="Q166" s="302"/>
      <c r="R166" s="99"/>
      <c r="S166" s="99"/>
      <c r="T166" s="9"/>
      <c r="U166" s="9"/>
      <c r="V166" s="9"/>
      <c r="W166" s="9"/>
      <c r="X166" s="307"/>
      <c r="Y166" s="9"/>
      <c r="Z166" s="335"/>
    </row>
    <row r="167" spans="2:26" ht="12.6" customHeight="1" x14ac:dyDescent="0.25">
      <c r="B167" s="302" t="str">
        <f>VLOOKUP(267,Textbausteine_102[],Hilfsgrössen!$D$2,FALSE)</f>
        <v>7) PostNetz hat 2019 eine erfolgsneutrale Anpassung im Ausweis des Nettoumsatzes aus Verträgen mit Kunden aus Handelswaren und des dazugehörigen Handelswarenaufwands vorgenommen.</v>
      </c>
      <c r="C167" s="302"/>
      <c r="D167" s="302"/>
      <c r="E167" s="167"/>
      <c r="F167" s="30"/>
      <c r="G167" s="302"/>
      <c r="H167" s="302"/>
      <c r="I167" s="302"/>
      <c r="J167" s="302"/>
      <c r="K167" s="302"/>
      <c r="L167" s="302"/>
      <c r="M167" s="302"/>
      <c r="N167" s="302"/>
      <c r="O167" s="302"/>
      <c r="P167" s="302"/>
      <c r="Q167" s="302"/>
      <c r="R167" s="99"/>
      <c r="S167" s="99"/>
      <c r="T167" s="9"/>
      <c r="U167" s="9"/>
      <c r="V167" s="9"/>
      <c r="W167" s="9"/>
      <c r="X167" s="307"/>
      <c r="Y167" s="9"/>
      <c r="Z167" s="335"/>
    </row>
    <row r="168" spans="2:26" ht="12.6" customHeight="1" x14ac:dyDescent="0.25">
      <c r="B168" s="302" t="str">
        <f>VLOOKUP(268,Textbausteine_102[],Hilfsgrössen!$D$2,FALSE)</f>
        <v>8) Die Kundenvermögensentwicklung löst 2019 den Neugeldzufluss als Kennzahl ab.</v>
      </c>
      <c r="C168" s="302"/>
      <c r="D168" s="302"/>
      <c r="E168" s="167"/>
      <c r="F168" s="30"/>
      <c r="G168" s="302"/>
      <c r="H168" s="302"/>
      <c r="I168" s="302"/>
      <c r="J168" s="302"/>
      <c r="K168" s="302"/>
      <c r="L168" s="302"/>
      <c r="M168" s="302"/>
      <c r="N168" s="302"/>
      <c r="O168" s="302"/>
      <c r="P168" s="302"/>
      <c r="Q168" s="302"/>
      <c r="R168" s="99"/>
      <c r="S168" s="99"/>
      <c r="T168" s="9"/>
      <c r="U168" s="9"/>
      <c r="V168" s="9"/>
      <c r="W168" s="9"/>
      <c r="X168" s="307"/>
      <c r="Y168" s="9"/>
      <c r="Z168" s="335"/>
    </row>
    <row r="169" spans="2:26" ht="12.6" customHeight="1" x14ac:dyDescent="0.25">
      <c r="B169" s="302" t="str">
        <f>VLOOKUP(269,Textbausteine_102[],Hilfsgrössen!$D$2,FALSE)</f>
        <v>9) Der Vorjahreswert 2018 wurde angepasst.</v>
      </c>
      <c r="C169" s="13"/>
      <c r="H169" s="99"/>
      <c r="I169" s="99"/>
      <c r="J169" s="99"/>
      <c r="K169" s="99"/>
      <c r="L169" s="99"/>
      <c r="M169" s="99"/>
      <c r="N169" s="11"/>
      <c r="O169" s="11"/>
      <c r="R169" s="99"/>
      <c r="S169" s="99"/>
      <c r="T169" s="9"/>
      <c r="U169" s="9"/>
      <c r="V169" s="9"/>
      <c r="W169" s="9"/>
      <c r="X169" s="307"/>
      <c r="Y169" s="9"/>
      <c r="Z169" s="335"/>
    </row>
    <row r="170" spans="2:26" ht="12.6" customHeight="1" x14ac:dyDescent="0.25">
      <c r="B170" s="302" t="str">
        <f>VLOOKUP(270,Textbausteine_102[],Hilfsgrössen!$D$2,FALSE)</f>
        <v>10) Für das Jahr 2019 wurde erstmals eine angepasste Berechnungsbasis und Berechnungsmethodik verwendet. Ein Vergleich mit den Vorjahren ist deshalb nicht möglich.</v>
      </c>
      <c r="C170" s="13"/>
      <c r="H170" s="99"/>
      <c r="I170" s="99"/>
      <c r="J170" s="99"/>
      <c r="K170" s="99"/>
      <c r="L170" s="99"/>
      <c r="M170" s="99"/>
      <c r="N170" s="11"/>
      <c r="O170" s="11"/>
      <c r="R170" s="99"/>
      <c r="S170" s="99"/>
      <c r="T170" s="9"/>
      <c r="U170" s="9"/>
      <c r="V170" s="9"/>
      <c r="W170" s="9"/>
      <c r="X170" s="307"/>
      <c r="Y170" s="9"/>
      <c r="Z170" s="335"/>
    </row>
    <row r="171" spans="2:26" ht="12.6" customHeight="1" x14ac:dyDescent="0.25">
      <c r="B171" s="302" t="str">
        <f>VLOOKUP(271,Textbausteine_102[],Hilfsgrössen!$D$2,FALSE)</f>
        <v>11) Werte in der Schweiz</v>
      </c>
      <c r="C171" s="13"/>
      <c r="H171" s="99"/>
      <c r="I171" s="99"/>
      <c r="J171" s="99"/>
      <c r="K171" s="99"/>
      <c r="L171" s="99"/>
      <c r="M171" s="99"/>
      <c r="N171" s="11"/>
      <c r="O171" s="11"/>
      <c r="R171" s="99"/>
      <c r="S171" s="99"/>
      <c r="T171" s="9"/>
      <c r="U171" s="9"/>
      <c r="V171" s="9"/>
      <c r="W171" s="9"/>
      <c r="X171" s="307"/>
      <c r="Y171" s="9"/>
      <c r="Z171" s="335"/>
    </row>
    <row r="172" spans="2:26" ht="12.6" customHeight="1" x14ac:dyDescent="0.25">
      <c r="B172" s="302" t="str">
        <f>VLOOKUP(272,Textbausteine_102[],Hilfsgrössen!$D$2,FALSE)</f>
        <v>12) Konzern Schweiz</v>
      </c>
      <c r="C172" s="13"/>
      <c r="H172" s="99"/>
      <c r="I172" s="99"/>
      <c r="J172" s="99"/>
      <c r="K172" s="99"/>
      <c r="L172" s="99"/>
      <c r="M172" s="99"/>
      <c r="N172" s="11"/>
      <c r="O172" s="11"/>
      <c r="R172" s="99"/>
      <c r="S172" s="99"/>
      <c r="T172" s="9"/>
      <c r="U172" s="9"/>
      <c r="V172" s="9"/>
      <c r="W172" s="9"/>
      <c r="X172" s="307"/>
      <c r="Y172" s="9"/>
      <c r="Z172" s="335"/>
    </row>
    <row r="173" spans="2:26" ht="12.6" customHeight="1" x14ac:dyDescent="0.25">
      <c r="B173" s="302" t="str">
        <f>VLOOKUP(273,Textbausteine_102[],Hilfsgrössen!$D$2,FALSE)</f>
        <v>13) Neue Berechnungsgrundlage für 2007, Werte nicht vergleichbar mit Vorjahren</v>
      </c>
      <c r="C173" s="13"/>
      <c r="H173" s="99"/>
      <c r="I173" s="99"/>
      <c r="J173" s="99"/>
      <c r="K173" s="99"/>
      <c r="L173" s="99"/>
      <c r="M173" s="99"/>
      <c r="N173" s="11"/>
      <c r="O173" s="11"/>
      <c r="R173" s="99"/>
      <c r="S173" s="99"/>
      <c r="T173" s="9"/>
      <c r="U173" s="9"/>
      <c r="V173" s="9"/>
      <c r="W173" s="9"/>
      <c r="X173" s="307"/>
      <c r="Y173" s="9"/>
      <c r="Z173" s="335"/>
    </row>
    <row r="174" spans="2:26" ht="12.6" customHeight="1" x14ac:dyDescent="0.25">
      <c r="B174" s="302" t="str">
        <f>VLOOKUP(274,Textbausteine_102[],Hilfsgrössen!$D$2,FALSE)</f>
        <v>14) Im Jahr 2019 wurde ein neues Servicemodell und eine Vereinfachung des Leistungskatalogs eingeführt. Die Vergleichbarkeit mit den Vorjahreswerten ist eingeschränkt.</v>
      </c>
      <c r="C174" s="13"/>
      <c r="H174" s="99"/>
      <c r="I174" s="99"/>
      <c r="J174" s="99"/>
      <c r="K174" s="99"/>
      <c r="L174" s="99"/>
      <c r="M174" s="99"/>
      <c r="N174" s="11"/>
      <c r="O174" s="11"/>
      <c r="R174" s="99"/>
      <c r="S174" s="99"/>
      <c r="T174" s="9"/>
      <c r="U174" s="9"/>
      <c r="V174" s="9"/>
      <c r="W174" s="9"/>
      <c r="X174" s="307"/>
      <c r="Y174" s="9"/>
      <c r="Z174" s="335"/>
    </row>
    <row r="175" spans="2:26" ht="12.6" customHeight="1" x14ac:dyDescent="0.25">
      <c r="B175" s="302" t="str">
        <f>VLOOKUP(275,Textbausteine_102[],Hilfsgrössen!$D$2,FALSE)</f>
        <v>15) Im Jahr 2019 wurden die Supporteinsätze neu als vor Ort Einsätze Fieldservice-Techniker definiert. Die Vergleichbarkeit mit den Vorjahren ist eingeschränkt.</v>
      </c>
      <c r="C175" s="13"/>
      <c r="H175" s="99"/>
      <c r="I175" s="99"/>
      <c r="J175" s="99"/>
      <c r="K175" s="99"/>
      <c r="L175" s="99"/>
      <c r="M175" s="99"/>
      <c r="N175" s="11"/>
      <c r="O175" s="11"/>
      <c r="R175" s="99"/>
      <c r="S175" s="99"/>
      <c r="T175" s="9"/>
      <c r="U175" s="9"/>
      <c r="V175" s="9"/>
      <c r="W175" s="9"/>
      <c r="X175" s="307"/>
      <c r="Y175" s="9"/>
      <c r="Z175" s="335"/>
    </row>
    <row r="176" spans="2:26" ht="12.6" customHeight="1" x14ac:dyDescent="0.25">
      <c r="B176" s="302" t="str">
        <f>VLOOKUP(276,Textbausteine_102[],Hilfsgrössen!$D$2,FALSE)</f>
        <v>16) Der Vorjahreswert 2019 wurde angepasst. Bei den Lebensversicherungen wird ab 2020 das gezillmerte Deckungskapital mit dem Rückkaufwert der Lebensversicherungen ersetzt.</v>
      </c>
      <c r="C176" s="13"/>
      <c r="H176" s="99"/>
      <c r="I176" s="99"/>
      <c r="J176" s="99"/>
      <c r="K176" s="99"/>
      <c r="L176" s="99"/>
      <c r="M176" s="99"/>
      <c r="N176" s="11"/>
      <c r="O176" s="11"/>
      <c r="R176" s="99"/>
      <c r="S176" s="99"/>
      <c r="T176" s="9"/>
      <c r="U176" s="9"/>
      <c r="V176" s="9"/>
      <c r="W176" s="9"/>
      <c r="X176" s="307"/>
      <c r="Y176" s="9"/>
      <c r="Z176" s="335"/>
    </row>
    <row r="177" spans="1:89" ht="12.6" customHeight="1" x14ac:dyDescent="0.25">
      <c r="B177" s="302" t="str">
        <f>VLOOKUP(277,Textbausteine_102[],Hilfsgrössen!$D$2,FALSE)</f>
        <v>17) Ab dem Jahr 2020 werden die Fondsvolumen inkl. Drittfonds ausgewiesen.</v>
      </c>
      <c r="C177" s="13"/>
      <c r="H177" s="99"/>
      <c r="I177" s="99"/>
      <c r="J177" s="99"/>
      <c r="K177" s="99"/>
      <c r="L177" s="99"/>
      <c r="M177" s="99"/>
      <c r="N177" s="11"/>
      <c r="O177" s="11"/>
      <c r="R177" s="99"/>
      <c r="S177" s="99"/>
      <c r="T177" s="9"/>
      <c r="U177" s="9"/>
      <c r="V177" s="9"/>
      <c r="W177" s="9"/>
      <c r="X177" s="307"/>
      <c r="Y177" s="9"/>
      <c r="Z177" s="335"/>
    </row>
    <row r="178" spans="1:89" ht="12.6" customHeight="1" x14ac:dyDescent="0.25">
      <c r="B178" s="302" t="str">
        <f>VLOOKUP(278,Textbausteine_102[],Hilfsgrössen!$D$2,FALSE)</f>
        <v>18) Der Vorjahreswert 2019 wurde angepasst. Die Zählsystematik wurde von Anzahl Sendungen auf Anzahl Packstücke umgestellt. Die Werte 2019 und 2020 sind nicht mit den Vorjahreswerten vergleichbar.</v>
      </c>
      <c r="C178" s="13"/>
      <c r="H178" s="99"/>
      <c r="I178" s="99"/>
      <c r="J178" s="99"/>
      <c r="K178" s="99"/>
      <c r="L178" s="99"/>
      <c r="M178" s="99"/>
      <c r="N178" s="11"/>
      <c r="O178" s="11"/>
      <c r="R178" s="99"/>
      <c r="S178" s="99"/>
      <c r="T178" s="9"/>
      <c r="U178" s="9"/>
      <c r="V178" s="9"/>
      <c r="W178" s="9"/>
      <c r="X178" s="307"/>
      <c r="Y178" s="9"/>
      <c r="Z178" s="335"/>
    </row>
    <row r="179" spans="1:89" ht="12.6" customHeight="1" x14ac:dyDescent="0.25">
      <c r="B179" s="302" t="str">
        <f>VLOOKUP(279,Textbausteine_102[],Hilfsgrössen!$D$2,FALSE)</f>
        <v>19) Wert 2019 angepasst.</v>
      </c>
      <c r="C179" s="13"/>
      <c r="H179" s="99"/>
      <c r="I179" s="99"/>
      <c r="J179" s="99"/>
      <c r="K179" s="99"/>
      <c r="L179" s="99"/>
      <c r="M179" s="99"/>
      <c r="N179" s="11"/>
      <c r="O179" s="11"/>
      <c r="R179" s="99"/>
      <c r="S179" s="99"/>
      <c r="T179" s="9"/>
      <c r="U179" s="9"/>
      <c r="V179" s="9"/>
      <c r="W179" s="9"/>
      <c r="X179" s="307"/>
      <c r="Y179" s="9"/>
      <c r="Z179" s="335"/>
    </row>
    <row r="180" spans="1:89" ht="12.6" customHeight="1" x14ac:dyDescent="0.25">
      <c r="B180" s="302" t="str">
        <f>VLOOKUP(280,Textbausteine_102[],Hilfsgrössen!$D$2,FALSE)</f>
        <v>20) Das Segment Kommunikations-Services wurde in 2021 neu gebildet. Daher liegen keine Vorjahresvergleichswerte vor.</v>
      </c>
      <c r="C180" s="309"/>
      <c r="H180" s="99"/>
      <c r="I180" s="99"/>
      <c r="J180" s="99"/>
      <c r="K180" s="99"/>
      <c r="L180" s="99"/>
      <c r="M180" s="99"/>
      <c r="N180" s="11"/>
      <c r="O180" s="11"/>
      <c r="R180" s="99"/>
      <c r="S180" s="99"/>
      <c r="T180" s="9"/>
      <c r="U180" s="9"/>
      <c r="V180" s="9"/>
      <c r="W180" s="9"/>
      <c r="X180" s="307"/>
      <c r="Y180" s="9"/>
    </row>
    <row r="181" spans="1:89" ht="12.6" customHeight="1" x14ac:dyDescent="0.25">
      <c r="B181" s="302" t="str">
        <f>VLOOKUP(281,Textbausteine_102[],Hilfsgrössen!$D$2,FALSE)</f>
        <v>21) Das Segment Mobilitäts-Services wurde 2021 neu gebildet und die PostAuto AG, die Post Company Cars AG und die PubliBike AG in einem Geschäftsbereich zusammengefasst.</v>
      </c>
      <c r="C181" s="309"/>
      <c r="H181" s="99"/>
      <c r="I181" s="99"/>
      <c r="J181" s="99"/>
      <c r="K181" s="99"/>
      <c r="L181" s="99"/>
      <c r="M181" s="99"/>
      <c r="N181" s="11"/>
      <c r="O181" s="11"/>
      <c r="R181" s="99"/>
      <c r="S181" s="99"/>
      <c r="T181" s="9"/>
      <c r="U181" s="9"/>
      <c r="V181" s="9"/>
      <c r="W181" s="9"/>
      <c r="X181" s="307"/>
      <c r="Y181" s="9"/>
    </row>
    <row r="182" spans="1:89" ht="12.6" customHeight="1" x14ac:dyDescent="0.25">
      <c r="A182" s="363"/>
      <c r="B182" s="330" t="str">
        <f>VLOOKUP(282,Textbausteine_102[],Hilfsgrössen!$D$2,FALSE)</f>
        <v>22) Die Definition wurde ab 2021 angepasst. Die Vorjahreswerte 2020 wurden zwecks Vergleichbarkeit ebenfalls angepasst.</v>
      </c>
      <c r="C182"/>
      <c r="H182" s="99"/>
      <c r="I182" s="99"/>
      <c r="J182" s="99"/>
      <c r="K182" s="99"/>
      <c r="L182" s="99"/>
      <c r="M182" s="99"/>
      <c r="R182" s="99"/>
      <c r="S182" s="99"/>
      <c r="T182" s="9"/>
      <c r="U182" s="9"/>
      <c r="V182" s="9"/>
      <c r="W182" s="9"/>
      <c r="X182" s="9"/>
      <c r="Y182" s="9"/>
    </row>
    <row r="183" spans="1:89" ht="12.75" customHeight="1" x14ac:dyDescent="0.25">
      <c r="A183" s="363"/>
      <c r="B183" s="330" t="str">
        <f>VLOOKUP(283,Textbausteine_102[],Hilfsgrössen!$D$2,FALSE)</f>
        <v>23) Die Definition der Paketmenge wurde 2021 angepasst. Sie enthält die Anzahl Pakete In-/Ausland ohne Kurier- und Expresssendungen. Die Werte 2017 bis 2020 wurden angepasst.</v>
      </c>
      <c r="C183"/>
      <c r="H183" s="99"/>
      <c r="I183" s="99"/>
      <c r="J183" s="99"/>
      <c r="K183" s="99"/>
      <c r="L183" s="99"/>
      <c r="M183" s="99"/>
      <c r="R183" s="99"/>
      <c r="S183" s="99"/>
      <c r="T183" s="9"/>
      <c r="U183" s="9"/>
      <c r="V183" s="9"/>
      <c r="W183" s="9"/>
      <c r="X183" s="9"/>
      <c r="Y183" s="9"/>
      <c r="Z183" s="335"/>
    </row>
    <row r="184" spans="1:89" ht="12.6" customHeight="1" x14ac:dyDescent="0.25">
      <c r="A184" s="363"/>
      <c r="B184" s="330" t="str">
        <f>VLOOKUP(284,Textbausteine_102[],Hilfsgrössen!$D$2,FALSE)</f>
        <v>24) Ab 2018 inkl. SameDay-Sendungen von notime</v>
      </c>
      <c r="C184"/>
      <c r="H184" s="99"/>
      <c r="I184" s="99"/>
      <c r="J184" s="99"/>
      <c r="K184" s="99"/>
      <c r="L184" s="99"/>
      <c r="M184" s="99"/>
      <c r="R184" s="99"/>
      <c r="S184" s="99"/>
      <c r="T184" s="9"/>
      <c r="U184" s="9"/>
      <c r="V184" s="9"/>
      <c r="W184" s="9"/>
      <c r="X184" s="9"/>
      <c r="Y184" s="9"/>
      <c r="Z184" s="335"/>
    </row>
    <row r="185" spans="1:89" s="16" customFormat="1" ht="12.6" customHeight="1" x14ac:dyDescent="0.25">
      <c r="A185" s="56"/>
      <c r="B185" s="302" t="str">
        <f>VLOOKUP(285,Textbausteine_102[],Hilfsgrössen!$D$2,FALSE)</f>
        <v>25) Kategorie im 2021 hinzugefügt und für die Jahre ab 2019 nacherfasst</v>
      </c>
      <c r="C185" s="25"/>
      <c r="E185" s="164"/>
      <c r="F185" s="11"/>
      <c r="G185" s="303"/>
      <c r="H185" s="88"/>
      <c r="I185" s="88"/>
      <c r="J185" s="88"/>
      <c r="K185" s="88"/>
      <c r="L185" s="88"/>
      <c r="M185" s="88"/>
      <c r="N185" s="11"/>
      <c r="O185" s="11"/>
      <c r="P185" s="11"/>
      <c r="Q185" s="11"/>
      <c r="R185" s="88"/>
      <c r="S185" s="88"/>
      <c r="T185" s="11"/>
      <c r="U185" s="11"/>
      <c r="V185" s="11"/>
      <c r="W185" s="11"/>
      <c r="X185" s="272"/>
      <c r="Y185" s="11"/>
      <c r="Z185" s="335"/>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row>
    <row r="186" spans="1:89" ht="12.6" customHeight="1" x14ac:dyDescent="0.25">
      <c r="B186" s="302" t="str">
        <f>VLOOKUP(286,Textbausteine_102[],Hilfsgrössen!$D$2,FALSE)</f>
        <v xml:space="preserve">26) Das Segment Logistik-Services ist seit dem 1.1.2021 operativ. Die bisherigen Segmente PostMail und PostLogistics wurden in diesem neuen Segment zusammengeführt. </v>
      </c>
      <c r="C186" s="310"/>
      <c r="H186" s="99"/>
      <c r="I186" s="99"/>
      <c r="J186" s="99"/>
      <c r="K186" s="99"/>
      <c r="L186" s="99"/>
      <c r="M186" s="99"/>
      <c r="N186" s="11"/>
      <c r="O186" s="11"/>
      <c r="R186" s="99"/>
      <c r="S186" s="99"/>
      <c r="T186" s="9"/>
      <c r="U186" s="9"/>
      <c r="V186" s="9"/>
      <c r="W186" s="9"/>
      <c r="X186" s="307"/>
      <c r="Y186" s="9"/>
      <c r="Z186" s="335"/>
    </row>
    <row r="187" spans="1:89" ht="12.6" customHeight="1" x14ac:dyDescent="0.25">
      <c r="B187" s="302" t="str">
        <f>VLOOKUP(287,Textbausteine_102[],Hilfsgrössen!$D$2,FALSE)</f>
        <v>27) Die Werte 2018 bis 2020 wurden angepasst. Die Vergleichbarkeit mit den Vorjahreswerten 2017 und früher ist eingeschränkt.</v>
      </c>
      <c r="C187" s="310"/>
      <c r="H187" s="99"/>
      <c r="I187" s="99"/>
      <c r="J187" s="99"/>
      <c r="K187" s="99"/>
      <c r="L187" s="99"/>
      <c r="M187" s="99"/>
      <c r="N187" s="11"/>
      <c r="O187" s="11"/>
      <c r="R187" s="99"/>
      <c r="S187" s="99"/>
      <c r="T187" s="9"/>
      <c r="U187" s="9"/>
      <c r="V187" s="9"/>
      <c r="W187" s="9"/>
      <c r="X187" s="307"/>
      <c r="Y187" s="9"/>
      <c r="Z187" s="335"/>
    </row>
    <row r="188" spans="1:89" ht="12.6" customHeight="1" x14ac:dyDescent="0.2">
      <c r="C188" s="13"/>
      <c r="H188" s="99"/>
      <c r="I188" s="99"/>
      <c r="J188" s="99"/>
      <c r="K188" s="99"/>
      <c r="L188" s="99"/>
      <c r="M188" s="99"/>
      <c r="N188" s="11"/>
      <c r="O188" s="11"/>
      <c r="R188" s="99"/>
      <c r="S188" s="99"/>
      <c r="T188" s="9"/>
      <c r="U188" s="9"/>
      <c r="V188" s="9"/>
      <c r="W188" s="9"/>
      <c r="X188" s="307"/>
      <c r="Y188" s="9"/>
    </row>
    <row r="189" spans="1:89" s="78" customFormat="1" ht="12.6" customHeight="1" x14ac:dyDescent="0.2">
      <c r="A189" s="43" t="s">
        <v>27</v>
      </c>
      <c r="B189" s="401" t="str">
        <f>$C$11</f>
        <v>Volumen Zahlungsverkehr</v>
      </c>
      <c r="C189" s="401"/>
      <c r="D189" s="78" t="str">
        <f>VLOOKUP(32,Textbausteine_Menu[],Hilfsgrössen!$D$2,FALSE)</f>
        <v>Einheit</v>
      </c>
      <c r="E189" s="163" t="str">
        <f>VLOOKUP(33,Textbausteine_Menu[],Hilfsgrössen!$D$2,FALSE)</f>
        <v>Fussnoten</v>
      </c>
      <c r="F189" s="28" t="str">
        <f>VLOOKUP(34,Textbausteine_Menu[],Hilfsgrössen!$D$2,FALSE)</f>
        <v>GRI</v>
      </c>
      <c r="G189" s="33"/>
      <c r="H189" s="72">
        <v>2004</v>
      </c>
      <c r="I189" s="72">
        <v>2005</v>
      </c>
      <c r="J189" s="72">
        <v>2006</v>
      </c>
      <c r="K189" s="72">
        <v>2007</v>
      </c>
      <c r="L189" s="72">
        <v>2008</v>
      </c>
      <c r="M189" s="72">
        <v>2009</v>
      </c>
      <c r="N189" s="72">
        <v>2010</v>
      </c>
      <c r="O189" s="72">
        <v>2011</v>
      </c>
      <c r="P189" s="72">
        <v>2012</v>
      </c>
      <c r="Q189" s="72">
        <v>2013</v>
      </c>
      <c r="R189" s="72">
        <v>2014</v>
      </c>
      <c r="S189" s="72">
        <v>2015</v>
      </c>
      <c r="T189" s="74">
        <v>2016</v>
      </c>
      <c r="U189" s="74">
        <v>2017</v>
      </c>
      <c r="V189" s="74">
        <v>2018</v>
      </c>
      <c r="W189" s="74">
        <v>2019</v>
      </c>
      <c r="X189" s="273">
        <v>2020</v>
      </c>
      <c r="Y189" s="147">
        <v>2021</v>
      </c>
      <c r="Z189" s="360"/>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c r="BD189" s="72"/>
      <c r="BE189" s="72"/>
      <c r="BF189" s="72"/>
      <c r="BG189" s="72"/>
      <c r="BH189" s="72"/>
      <c r="BI189" s="72"/>
      <c r="BJ189" s="72"/>
      <c r="BK189" s="72"/>
      <c r="BL189" s="72"/>
      <c r="BM189" s="72"/>
      <c r="BN189" s="72"/>
      <c r="BO189" s="72"/>
      <c r="BP189" s="72"/>
      <c r="BQ189" s="72"/>
      <c r="BR189" s="72"/>
      <c r="BS189" s="72"/>
      <c r="BT189" s="72"/>
      <c r="BU189" s="72"/>
      <c r="BV189" s="72"/>
      <c r="BW189" s="72"/>
      <c r="BX189" s="72"/>
      <c r="BY189" s="72"/>
      <c r="BZ189" s="72"/>
      <c r="CA189" s="72"/>
      <c r="CB189" s="72"/>
      <c r="CC189" s="72"/>
      <c r="CD189" s="72"/>
      <c r="CE189" s="72"/>
      <c r="CF189" s="72"/>
      <c r="CG189" s="72"/>
      <c r="CH189" s="72"/>
      <c r="CI189" s="72"/>
      <c r="CJ189" s="72"/>
      <c r="CK189" s="72"/>
    </row>
    <row r="190" spans="1:89" s="42" customFormat="1" ht="12.6" customHeight="1" x14ac:dyDescent="0.2">
      <c r="A190" s="57"/>
      <c r="B190" s="401"/>
      <c r="C190" s="401"/>
      <c r="E190" s="161"/>
      <c r="F190" s="28"/>
      <c r="G190" s="34"/>
      <c r="H190" s="73"/>
      <c r="I190" s="73"/>
      <c r="J190" s="73"/>
      <c r="K190" s="73"/>
      <c r="L190" s="73"/>
      <c r="M190" s="73"/>
      <c r="N190" s="73"/>
      <c r="O190" s="73"/>
      <c r="P190" s="73"/>
      <c r="Q190" s="73"/>
      <c r="R190" s="73"/>
      <c r="S190" s="73"/>
      <c r="T190" s="75"/>
      <c r="U190" s="75"/>
      <c r="V190" s="75"/>
      <c r="W190" s="75"/>
      <c r="X190" s="274"/>
      <c r="Y190" s="312"/>
      <c r="Z190" s="361"/>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BD190" s="73"/>
      <c r="BE190" s="73"/>
      <c r="BF190" s="73"/>
      <c r="BG190" s="73"/>
      <c r="BH190" s="73"/>
      <c r="BI190" s="73"/>
      <c r="BJ190" s="73"/>
      <c r="BK190" s="73"/>
      <c r="BL190" s="73"/>
      <c r="BM190" s="73"/>
      <c r="BN190" s="73"/>
      <c r="BO190" s="73"/>
      <c r="BP190" s="73"/>
      <c r="BQ190" s="73"/>
      <c r="BR190" s="73"/>
      <c r="BS190" s="73"/>
      <c r="BT190" s="73"/>
      <c r="BU190" s="73"/>
      <c r="BV190" s="73"/>
      <c r="BW190" s="73"/>
      <c r="BX190" s="73"/>
      <c r="BY190" s="73"/>
      <c r="BZ190" s="73"/>
      <c r="CA190" s="73"/>
      <c r="CB190" s="73"/>
      <c r="CC190" s="73"/>
      <c r="CD190" s="73"/>
      <c r="CE190" s="73"/>
      <c r="CF190" s="73"/>
      <c r="CG190" s="73"/>
      <c r="CH190" s="73"/>
      <c r="CI190" s="73"/>
      <c r="CJ190" s="73"/>
      <c r="CK190" s="73"/>
    </row>
    <row r="191" spans="1:89" ht="12.6" customHeight="1" x14ac:dyDescent="0.2">
      <c r="B191" s="2"/>
      <c r="E191" s="164"/>
      <c r="G191" s="33"/>
      <c r="T191" s="75"/>
      <c r="U191" s="75"/>
      <c r="V191" s="75"/>
      <c r="W191" s="75"/>
      <c r="X191" s="274"/>
      <c r="Y191" s="312"/>
    </row>
    <row r="192" spans="1:89" ht="12.6" customHeight="1" x14ac:dyDescent="0.2">
      <c r="B192" s="2" t="str">
        <f>VLOOKUP(131,Textbausteine_102[],Hilfsgrössen!$D$2,FALSE)</f>
        <v>Einzahlungs- und Überweisungsvolumen</v>
      </c>
      <c r="E192" s="164"/>
      <c r="T192" s="75"/>
      <c r="U192" s="75"/>
      <c r="V192" s="75"/>
      <c r="W192" s="75"/>
      <c r="X192" s="274"/>
      <c r="Y192" s="312"/>
    </row>
    <row r="193" spans="2:26" ht="12.6" customHeight="1" x14ac:dyDescent="0.2">
      <c r="B193" s="2"/>
      <c r="C193" s="48" t="str">
        <f>VLOOKUP(132,Textbausteine_102[],Hilfsgrössen!$D$2,FALSE)</f>
        <v>Überweisungen E-Finance (elektronischer Kanal)</v>
      </c>
      <c r="D193" s="16" t="str">
        <f>VLOOKUP(28,Textbausteine_102[],Hilfsgrössen!$D$2,FALSE)</f>
        <v>Anzahl</v>
      </c>
      <c r="E193" s="164"/>
      <c r="F193" s="9" t="s">
        <v>35</v>
      </c>
      <c r="H193" s="109" t="s">
        <v>30</v>
      </c>
      <c r="I193" s="11">
        <v>322801822</v>
      </c>
      <c r="J193" s="109" t="s">
        <v>30</v>
      </c>
      <c r="K193" s="109" t="s">
        <v>30</v>
      </c>
      <c r="L193" s="109" t="s">
        <v>30</v>
      </c>
      <c r="M193" s="11">
        <v>360908857.30000001</v>
      </c>
      <c r="N193" s="11">
        <v>381329801</v>
      </c>
      <c r="O193" s="9">
        <v>393269485</v>
      </c>
      <c r="P193" s="9">
        <v>406937366</v>
      </c>
      <c r="Q193" s="9" t="s">
        <v>77</v>
      </c>
      <c r="R193" s="9">
        <v>424759782</v>
      </c>
      <c r="S193" s="9">
        <v>358745223</v>
      </c>
      <c r="T193" s="9">
        <v>370842877</v>
      </c>
      <c r="U193" s="9">
        <v>321690025</v>
      </c>
      <c r="V193" s="9">
        <v>271129120</v>
      </c>
      <c r="W193" s="9">
        <v>282961540</v>
      </c>
      <c r="X193" s="272">
        <v>297262406</v>
      </c>
      <c r="Y193" s="312">
        <v>326525535</v>
      </c>
      <c r="Z193" s="335"/>
    </row>
    <row r="194" spans="2:26" ht="12.6" customHeight="1" x14ac:dyDescent="0.2">
      <c r="B194" s="2"/>
      <c r="C194" s="52" t="str">
        <f>VLOOKUP(133,Textbausteine_102[],Hilfsgrössen!$D$2,FALSE)</f>
        <v>Überweisungen EFT/POS (Handel, PST, Agenturen)</v>
      </c>
      <c r="D194" s="16" t="str">
        <f>VLOOKUP(28,Textbausteine_102[],Hilfsgrössen!$D$2,FALSE)</f>
        <v>Anzahl</v>
      </c>
      <c r="E194" s="164"/>
      <c r="F194" s="9" t="s">
        <v>35</v>
      </c>
      <c r="H194" s="109" t="s">
        <v>30</v>
      </c>
      <c r="I194" s="11">
        <v>91940458</v>
      </c>
      <c r="J194" s="109" t="s">
        <v>30</v>
      </c>
      <c r="K194" s="109" t="s">
        <v>30</v>
      </c>
      <c r="L194" s="109" t="s">
        <v>30</v>
      </c>
      <c r="M194" s="11">
        <v>124161458</v>
      </c>
      <c r="N194" s="11">
        <v>135000375</v>
      </c>
      <c r="O194" s="9">
        <v>145251716</v>
      </c>
      <c r="P194" s="9">
        <v>158543228</v>
      </c>
      <c r="Q194" s="9" t="s">
        <v>78</v>
      </c>
      <c r="R194" s="9">
        <v>185943523</v>
      </c>
      <c r="S194" s="9">
        <v>200237206</v>
      </c>
      <c r="T194" s="9">
        <v>217813986</v>
      </c>
      <c r="U194" s="9">
        <v>238009954</v>
      </c>
      <c r="V194" s="9">
        <v>263402898</v>
      </c>
      <c r="W194" s="9">
        <v>278963515</v>
      </c>
      <c r="X194" s="272">
        <v>296907752</v>
      </c>
      <c r="Y194" s="312">
        <v>313462085</v>
      </c>
      <c r="Z194" s="335"/>
    </row>
    <row r="195" spans="2:26" ht="12.6" customHeight="1" x14ac:dyDescent="0.2">
      <c r="B195" s="2"/>
      <c r="C195" s="8" t="str">
        <f>VLOOKUP(134,Textbausteine_102[],Hilfsgrössen!$D$2,FALSE)</f>
        <v>Überweisungen Papier</v>
      </c>
      <c r="D195" s="16" t="str">
        <f>VLOOKUP(28,Textbausteine_102[],Hilfsgrössen!$D$2,FALSE)</f>
        <v>Anzahl</v>
      </c>
      <c r="E195" s="165"/>
      <c r="F195" s="9" t="s">
        <v>35</v>
      </c>
      <c r="H195" s="109" t="s">
        <v>30</v>
      </c>
      <c r="I195" s="99">
        <v>45460085</v>
      </c>
      <c r="J195" s="109" t="s">
        <v>30</v>
      </c>
      <c r="K195" s="109" t="s">
        <v>30</v>
      </c>
      <c r="L195" s="109" t="s">
        <v>30</v>
      </c>
      <c r="M195" s="99">
        <v>32771750</v>
      </c>
      <c r="N195" s="11">
        <v>30737657</v>
      </c>
      <c r="O195" s="11">
        <v>27994032</v>
      </c>
      <c r="P195" s="9">
        <v>25958010</v>
      </c>
      <c r="Q195" s="9" t="s">
        <v>79</v>
      </c>
      <c r="R195" s="99">
        <v>24108511</v>
      </c>
      <c r="S195" s="99">
        <v>22846118</v>
      </c>
      <c r="T195" s="99">
        <v>21477787</v>
      </c>
      <c r="U195" s="99">
        <v>20008478</v>
      </c>
      <c r="V195" s="99">
        <v>18304732</v>
      </c>
      <c r="W195" s="99">
        <v>15683753</v>
      </c>
      <c r="X195" s="272">
        <v>14032989</v>
      </c>
      <c r="Y195" s="312">
        <v>12623786</v>
      </c>
      <c r="Z195" s="335"/>
    </row>
    <row r="196" spans="2:26" ht="12.6" customHeight="1" x14ac:dyDescent="0.2">
      <c r="B196" s="2"/>
      <c r="C196" s="8" t="str">
        <f>VLOOKUP(135,Textbausteine_102[],Hilfsgrössen!$D$2,FALSE)</f>
        <v>Überweisungen Diverse</v>
      </c>
      <c r="D196" s="16" t="str">
        <f>VLOOKUP(28,Textbausteine_102[],Hilfsgrössen!$D$2,FALSE)</f>
        <v>Anzahl</v>
      </c>
      <c r="F196" s="9" t="s">
        <v>35</v>
      </c>
      <c r="H196" s="109" t="s">
        <v>30</v>
      </c>
      <c r="I196" s="99">
        <v>15555192</v>
      </c>
      <c r="J196" s="109" t="s">
        <v>30</v>
      </c>
      <c r="K196" s="109" t="s">
        <v>30</v>
      </c>
      <c r="L196" s="109" t="s">
        <v>30</v>
      </c>
      <c r="M196" s="99">
        <v>16449183</v>
      </c>
      <c r="N196" s="11">
        <v>17803281</v>
      </c>
      <c r="O196" s="11">
        <v>19133796</v>
      </c>
      <c r="P196" s="9">
        <v>21145350</v>
      </c>
      <c r="Q196" s="9" t="s">
        <v>80</v>
      </c>
      <c r="R196" s="99">
        <v>24165179</v>
      </c>
      <c r="S196" s="99">
        <v>27019428</v>
      </c>
      <c r="T196" s="99">
        <v>29525721</v>
      </c>
      <c r="U196" s="99">
        <v>33758236</v>
      </c>
      <c r="V196" s="99">
        <v>32400120</v>
      </c>
      <c r="W196" s="99">
        <v>38025901</v>
      </c>
      <c r="X196" s="272">
        <v>52880158</v>
      </c>
      <c r="Y196" s="312">
        <v>77397107</v>
      </c>
      <c r="Z196" s="335"/>
    </row>
    <row r="197" spans="2:26" ht="12.6" customHeight="1" x14ac:dyDescent="0.2">
      <c r="B197" s="2"/>
      <c r="C197" s="8" t="str">
        <f>VLOOKUP(136,Textbausteine_102[],Hilfsgrössen!$D$2,FALSE)</f>
        <v>Einzahlungen</v>
      </c>
      <c r="D197" s="16" t="str">
        <f>VLOOKUP(28,Textbausteine_102[],Hilfsgrössen!$D$2,FALSE)</f>
        <v>Anzahl</v>
      </c>
      <c r="F197" s="9" t="s">
        <v>35</v>
      </c>
      <c r="H197" s="109" t="s">
        <v>30</v>
      </c>
      <c r="I197" s="99">
        <v>230017755</v>
      </c>
      <c r="J197" s="109" t="s">
        <v>30</v>
      </c>
      <c r="K197" s="109" t="s">
        <v>30</v>
      </c>
      <c r="L197" s="109" t="s">
        <v>30</v>
      </c>
      <c r="M197" s="99">
        <v>207644168</v>
      </c>
      <c r="N197" s="11">
        <v>201589442</v>
      </c>
      <c r="O197" s="11">
        <v>189489680</v>
      </c>
      <c r="P197" s="9">
        <v>183094892</v>
      </c>
      <c r="Q197" s="9" t="s">
        <v>81</v>
      </c>
      <c r="R197" s="99">
        <v>171277961</v>
      </c>
      <c r="S197" s="99">
        <v>164396969</v>
      </c>
      <c r="T197" s="99">
        <v>154977357</v>
      </c>
      <c r="U197" s="99">
        <v>145691791</v>
      </c>
      <c r="V197" s="99">
        <v>138798122</v>
      </c>
      <c r="W197" s="99">
        <v>129354706</v>
      </c>
      <c r="X197" s="272">
        <v>110622835</v>
      </c>
      <c r="Y197" s="312">
        <v>96906612</v>
      </c>
      <c r="Z197" s="335"/>
    </row>
    <row r="198" spans="2:26" ht="12.6" customHeight="1" x14ac:dyDescent="0.2">
      <c r="B198" s="2"/>
      <c r="C198" s="1" t="str">
        <f>VLOOKUP(137,Textbausteine_102[],Hilfsgrössen!$D$2,FALSE)</f>
        <v>Summe</v>
      </c>
      <c r="D198" s="16" t="str">
        <f>VLOOKUP(28,Textbausteine_102[],Hilfsgrössen!$D$2,FALSE)</f>
        <v>Anzahl</v>
      </c>
      <c r="E198" s="164"/>
      <c r="F198" s="9" t="s">
        <v>35</v>
      </c>
      <c r="H198" s="109" t="s">
        <v>30</v>
      </c>
      <c r="I198" s="9">
        <v>705775312</v>
      </c>
      <c r="J198" s="109" t="s">
        <v>30</v>
      </c>
      <c r="K198" s="109" t="s">
        <v>30</v>
      </c>
      <c r="L198" s="109" t="s">
        <v>30</v>
      </c>
      <c r="M198" s="9">
        <v>741935416.29999995</v>
      </c>
      <c r="N198" s="9">
        <v>766460556</v>
      </c>
      <c r="O198" s="9">
        <v>775138709</v>
      </c>
      <c r="P198" s="9">
        <v>795678846</v>
      </c>
      <c r="Q198" s="9" t="s">
        <v>82</v>
      </c>
      <c r="R198" s="9">
        <v>830254956</v>
      </c>
      <c r="S198" s="9">
        <v>773244944</v>
      </c>
      <c r="T198" s="9">
        <v>794637728</v>
      </c>
      <c r="U198" s="9">
        <v>759158484</v>
      </c>
      <c r="V198" s="9">
        <v>724034992</v>
      </c>
      <c r="W198" s="9">
        <v>744989415</v>
      </c>
      <c r="X198" s="272">
        <v>771706140</v>
      </c>
      <c r="Y198" s="312">
        <f>SUM(Y193:Y197)</f>
        <v>826915125</v>
      </c>
      <c r="Z198" s="335"/>
    </row>
    <row r="199" spans="2:26" ht="12.6" customHeight="1" x14ac:dyDescent="0.2">
      <c r="B199" s="2"/>
      <c r="C199" s="48"/>
      <c r="D199" s="16"/>
      <c r="E199" s="164"/>
      <c r="H199" s="107"/>
      <c r="I199" s="11"/>
      <c r="J199" s="11"/>
      <c r="K199" s="11"/>
      <c r="L199" s="107"/>
      <c r="M199" s="11"/>
      <c r="N199" s="11"/>
      <c r="T199" s="75"/>
      <c r="U199" s="75"/>
      <c r="V199" s="75"/>
      <c r="W199" s="75"/>
      <c r="X199" s="274"/>
      <c r="Y199" s="312"/>
    </row>
    <row r="200" spans="2:26" ht="12.6" customHeight="1" x14ac:dyDescent="0.2">
      <c r="B200" s="2" t="str">
        <f>VLOOKUP(138,Textbausteine_102[],Hilfsgrössen!$D$2,FALSE)</f>
        <v>Auszahlungsvolumen</v>
      </c>
      <c r="C200" s="52"/>
      <c r="D200" s="16"/>
      <c r="E200" s="164"/>
      <c r="H200" s="11"/>
      <c r="I200" s="11"/>
      <c r="J200" s="11"/>
      <c r="K200" s="11"/>
      <c r="L200" s="11"/>
      <c r="M200" s="11"/>
      <c r="N200" s="11"/>
      <c r="T200" s="75"/>
      <c r="U200" s="75"/>
      <c r="V200" s="75"/>
      <c r="W200" s="75"/>
      <c r="X200" s="274"/>
      <c r="Y200" s="312"/>
    </row>
    <row r="201" spans="2:26" ht="12.6" customHeight="1" x14ac:dyDescent="0.2">
      <c r="B201" s="2"/>
      <c r="C201" s="8" t="str">
        <f>VLOOKUP(139,Textbausteine_102[],Hilfsgrössen!$D$2,FALSE)</f>
        <v>Bezüge am Postomat (ohne Bancomat)</v>
      </c>
      <c r="D201" s="16" t="str">
        <f>VLOOKUP(28,Textbausteine_102[],Hilfsgrössen!$D$2,FALSE)</f>
        <v>Anzahl</v>
      </c>
      <c r="E201" s="165"/>
      <c r="F201" s="9" t="s">
        <v>35</v>
      </c>
      <c r="H201" s="109" t="s">
        <v>30</v>
      </c>
      <c r="I201" s="99">
        <v>49854497</v>
      </c>
      <c r="J201" s="109" t="s">
        <v>30</v>
      </c>
      <c r="K201" s="109" t="s">
        <v>30</v>
      </c>
      <c r="L201" s="109" t="s">
        <v>30</v>
      </c>
      <c r="M201" s="99">
        <v>54496751</v>
      </c>
      <c r="N201" s="11">
        <v>56279926</v>
      </c>
      <c r="O201" s="11">
        <v>58650440</v>
      </c>
      <c r="P201" s="9">
        <v>60453795</v>
      </c>
      <c r="Q201" s="9" t="s">
        <v>83</v>
      </c>
      <c r="R201" s="99">
        <v>62148786</v>
      </c>
      <c r="S201" s="99">
        <v>60920074</v>
      </c>
      <c r="T201" s="11">
        <v>60039247</v>
      </c>
      <c r="U201" s="11">
        <v>56915120</v>
      </c>
      <c r="V201" s="11">
        <v>54880987</v>
      </c>
      <c r="W201" s="11">
        <v>49756688</v>
      </c>
      <c r="X201" s="272">
        <v>33609369</v>
      </c>
      <c r="Y201" s="312">
        <v>30701716</v>
      </c>
      <c r="Z201" s="335"/>
    </row>
    <row r="202" spans="2:26" ht="12.6" customHeight="1" x14ac:dyDescent="0.2">
      <c r="C202" s="8" t="str">
        <f>VLOOKUP(140,Textbausteine_102[],Hilfsgrössen!$D$2,FALSE)</f>
        <v>Auszahlungen in Poststellen/Agenturen</v>
      </c>
      <c r="D202" s="16" t="str">
        <f>VLOOKUP(28,Textbausteine_102[],Hilfsgrössen!$D$2,FALSE)</f>
        <v>Anzahl</v>
      </c>
      <c r="F202" s="9" t="s">
        <v>35</v>
      </c>
      <c r="H202" s="109" t="s">
        <v>30</v>
      </c>
      <c r="I202" s="99">
        <v>17181487</v>
      </c>
      <c r="J202" s="109" t="s">
        <v>30</v>
      </c>
      <c r="K202" s="109" t="s">
        <v>30</v>
      </c>
      <c r="L202" s="109" t="s">
        <v>30</v>
      </c>
      <c r="M202" s="99">
        <v>19582002</v>
      </c>
      <c r="N202" s="11">
        <v>19807049</v>
      </c>
      <c r="O202" s="11">
        <v>20189405</v>
      </c>
      <c r="P202" s="9">
        <v>20474785</v>
      </c>
      <c r="Q202" s="9" t="s">
        <v>84</v>
      </c>
      <c r="R202" s="99">
        <v>20778850</v>
      </c>
      <c r="S202" s="99">
        <v>20789393</v>
      </c>
      <c r="T202" s="11">
        <v>20323381</v>
      </c>
      <c r="U202" s="11">
        <v>19206313</v>
      </c>
      <c r="V202" s="11">
        <v>14035227</v>
      </c>
      <c r="W202" s="11">
        <v>11882248</v>
      </c>
      <c r="X202" s="272">
        <v>10026680</v>
      </c>
      <c r="Y202" s="312">
        <v>8847242</v>
      </c>
      <c r="Z202" s="335"/>
    </row>
    <row r="203" spans="2:26" ht="12.6" customHeight="1" x14ac:dyDescent="0.2">
      <c r="C203" s="8" t="str">
        <f>VLOOKUP(141,Textbausteine_102[],Hilfsgrössen!$D$2,FALSE)</f>
        <v>ASR, ASR+, AS</v>
      </c>
      <c r="D203" s="16" t="str">
        <f>VLOOKUP(28,Textbausteine_102[],Hilfsgrössen!$D$2,FALSE)</f>
        <v>Anzahl</v>
      </c>
      <c r="F203" s="9" t="s">
        <v>35</v>
      </c>
      <c r="H203" s="109" t="s">
        <v>30</v>
      </c>
      <c r="I203" s="99">
        <v>2758535</v>
      </c>
      <c r="J203" s="109" t="s">
        <v>30</v>
      </c>
      <c r="K203" s="109" t="s">
        <v>30</v>
      </c>
      <c r="L203" s="109" t="s">
        <v>30</v>
      </c>
      <c r="M203" s="99">
        <v>1507563</v>
      </c>
      <c r="N203" s="11">
        <v>1446210</v>
      </c>
      <c r="O203" s="11">
        <v>1345082</v>
      </c>
      <c r="P203" s="9">
        <v>1229361</v>
      </c>
      <c r="Q203" s="9" t="s">
        <v>85</v>
      </c>
      <c r="R203" s="99">
        <v>810380</v>
      </c>
      <c r="S203" s="99">
        <v>788918</v>
      </c>
      <c r="T203" s="11">
        <v>748768</v>
      </c>
      <c r="U203" s="11">
        <v>746482</v>
      </c>
      <c r="V203" s="11">
        <v>578458</v>
      </c>
      <c r="W203" s="11">
        <v>533353</v>
      </c>
      <c r="X203" s="272">
        <v>421405</v>
      </c>
      <c r="Y203" s="312">
        <v>361771</v>
      </c>
      <c r="Z203" s="335"/>
    </row>
    <row r="204" spans="2:26" ht="12.6" customHeight="1" x14ac:dyDescent="0.2">
      <c r="C204" s="8" t="str">
        <f>VLOOKUP(142,Textbausteine_102[],Hilfsgrössen!$D$2,FALSE)</f>
        <v>Zahlungsanweisung</v>
      </c>
      <c r="D204" s="16" t="str">
        <f>VLOOKUP(28,Textbausteine_102[],Hilfsgrössen!$D$2,FALSE)</f>
        <v>Anzahl</v>
      </c>
      <c r="F204" s="9" t="s">
        <v>35</v>
      </c>
      <c r="H204" s="109" t="s">
        <v>30</v>
      </c>
      <c r="I204" s="99">
        <v>1941018</v>
      </c>
      <c r="J204" s="109" t="s">
        <v>30</v>
      </c>
      <c r="K204" s="109" t="s">
        <v>30</v>
      </c>
      <c r="L204" s="109" t="s">
        <v>30</v>
      </c>
      <c r="M204" s="99">
        <v>1182791</v>
      </c>
      <c r="N204" s="11">
        <v>1057857</v>
      </c>
      <c r="O204" s="11">
        <v>923573</v>
      </c>
      <c r="P204" s="9">
        <v>822417</v>
      </c>
      <c r="Q204" s="9" t="s">
        <v>86</v>
      </c>
      <c r="R204" s="99">
        <v>635391</v>
      </c>
      <c r="S204" s="99">
        <v>474757</v>
      </c>
      <c r="T204" s="11">
        <v>238435</v>
      </c>
      <c r="U204" s="11">
        <v>11004</v>
      </c>
      <c r="V204" s="11">
        <v>0</v>
      </c>
      <c r="W204" s="11">
        <v>0</v>
      </c>
      <c r="X204" s="272">
        <v>0</v>
      </c>
      <c r="Y204" s="312">
        <v>0</v>
      </c>
      <c r="Z204" s="335"/>
    </row>
    <row r="205" spans="2:26" ht="12.6" customHeight="1" x14ac:dyDescent="0.2">
      <c r="C205" s="8" t="str">
        <f>VLOOKUP(143,Textbausteine_102[],Hilfsgrössen!$D$2,FALSE)</f>
        <v>Check</v>
      </c>
      <c r="D205" s="16" t="str">
        <f>VLOOKUP(28,Textbausteine_102[],Hilfsgrössen!$D$2,FALSE)</f>
        <v>Anzahl</v>
      </c>
      <c r="F205" s="9" t="s">
        <v>35</v>
      </c>
      <c r="H205" s="109" t="s">
        <v>30</v>
      </c>
      <c r="I205" s="99">
        <v>869211</v>
      </c>
      <c r="J205" s="109" t="s">
        <v>30</v>
      </c>
      <c r="K205" s="109" t="s">
        <v>30</v>
      </c>
      <c r="L205" s="109" t="s">
        <v>30</v>
      </c>
      <c r="M205" s="99">
        <v>416872</v>
      </c>
      <c r="N205" s="11">
        <v>322228</v>
      </c>
      <c r="O205" s="11">
        <v>269651</v>
      </c>
      <c r="P205" s="9">
        <v>232385</v>
      </c>
      <c r="Q205" s="9" t="s">
        <v>87</v>
      </c>
      <c r="R205" s="99">
        <v>142095</v>
      </c>
      <c r="S205" s="99">
        <v>116628</v>
      </c>
      <c r="T205" s="11">
        <v>78845</v>
      </c>
      <c r="U205" s="11">
        <v>63230</v>
      </c>
      <c r="V205" s="11">
        <v>50785</v>
      </c>
      <c r="W205" s="11" t="s">
        <v>30</v>
      </c>
      <c r="X205" s="281" t="s">
        <v>30</v>
      </c>
      <c r="Y205" s="312" t="s">
        <v>30</v>
      </c>
      <c r="Z205" s="335"/>
    </row>
    <row r="206" spans="2:26" ht="12.6" customHeight="1" x14ac:dyDescent="0.2">
      <c r="C206" s="8" t="str">
        <f>VLOOKUP(144,Textbausteine_102[],Hilfsgrössen!$D$2,FALSE)</f>
        <v>Baranweisung</v>
      </c>
      <c r="D206" s="16" t="str">
        <f>VLOOKUP(28,Textbausteine_102[],Hilfsgrössen!$D$2,FALSE)</f>
        <v>Anzahl</v>
      </c>
      <c r="F206" s="9" t="s">
        <v>35</v>
      </c>
      <c r="H206" s="109" t="s">
        <v>30</v>
      </c>
      <c r="I206" s="99">
        <v>102860</v>
      </c>
      <c r="J206" s="109" t="s">
        <v>30</v>
      </c>
      <c r="K206" s="109" t="s">
        <v>30</v>
      </c>
      <c r="L206" s="109" t="s">
        <v>30</v>
      </c>
      <c r="M206" s="99">
        <v>33531</v>
      </c>
      <c r="N206" s="11">
        <v>21686</v>
      </c>
      <c r="O206" s="11">
        <v>17929</v>
      </c>
      <c r="P206" s="9">
        <v>16430</v>
      </c>
      <c r="Q206" s="9" t="s">
        <v>88</v>
      </c>
      <c r="R206" s="101" t="s">
        <v>30</v>
      </c>
      <c r="S206" s="101" t="s">
        <v>30</v>
      </c>
      <c r="T206" s="86" t="s">
        <v>30</v>
      </c>
      <c r="U206" s="86" t="s">
        <v>30</v>
      </c>
      <c r="V206" s="86" t="s">
        <v>30</v>
      </c>
      <c r="W206" s="86" t="s">
        <v>30</v>
      </c>
      <c r="X206" s="281" t="s">
        <v>30</v>
      </c>
      <c r="Y206" s="312" t="s">
        <v>30</v>
      </c>
      <c r="Z206" s="335"/>
    </row>
    <row r="207" spans="2:26" ht="12.6" customHeight="1" x14ac:dyDescent="0.2">
      <c r="C207" s="8" t="str">
        <f>VLOOKUP(145,Textbausteine_102[],Hilfsgrössen!$D$2,FALSE)</f>
        <v>Summe</v>
      </c>
      <c r="D207" s="16" t="str">
        <f>VLOOKUP(28,Textbausteine_102[],Hilfsgrössen!$D$2,FALSE)</f>
        <v>Anzahl</v>
      </c>
      <c r="F207" s="9" t="s">
        <v>35</v>
      </c>
      <c r="H207" s="109" t="s">
        <v>30</v>
      </c>
      <c r="I207" s="99">
        <v>72709613</v>
      </c>
      <c r="J207" s="109" t="s">
        <v>30</v>
      </c>
      <c r="K207" s="109" t="s">
        <v>30</v>
      </c>
      <c r="L207" s="109" t="s">
        <v>30</v>
      </c>
      <c r="M207" s="99">
        <v>77221519</v>
      </c>
      <c r="N207" s="11">
        <v>78934956</v>
      </c>
      <c r="O207" s="11">
        <v>81396080</v>
      </c>
      <c r="P207" s="9">
        <v>83229173</v>
      </c>
      <c r="Q207" s="9" t="s">
        <v>89</v>
      </c>
      <c r="R207" s="99">
        <v>84515502</v>
      </c>
      <c r="S207" s="99">
        <v>83089770</v>
      </c>
      <c r="T207" s="11">
        <v>81428676</v>
      </c>
      <c r="U207" s="11">
        <v>76942149</v>
      </c>
      <c r="V207" s="11">
        <v>69545457</v>
      </c>
      <c r="W207" s="11">
        <v>62172289</v>
      </c>
      <c r="X207" s="272">
        <v>44057454</v>
      </c>
      <c r="Y207" s="312">
        <v>39910729</v>
      </c>
      <c r="Z207" s="335"/>
    </row>
    <row r="208" spans="2:26" ht="12.6" customHeight="1" x14ac:dyDescent="0.2">
      <c r="C208" s="13"/>
      <c r="H208" s="99"/>
      <c r="I208" s="1"/>
      <c r="J208" s="99"/>
      <c r="K208" s="99"/>
      <c r="L208" s="99"/>
      <c r="M208" s="99"/>
      <c r="N208" s="11"/>
      <c r="O208" s="11"/>
      <c r="R208" s="99"/>
      <c r="S208" s="99"/>
      <c r="T208" s="9"/>
      <c r="U208" s="9"/>
      <c r="V208" s="9"/>
      <c r="W208" s="9"/>
      <c r="X208" s="307"/>
      <c r="Y208" s="9"/>
    </row>
    <row r="209" spans="1:89" ht="12.6" customHeight="1" x14ac:dyDescent="0.2">
      <c r="C209" s="13"/>
      <c r="H209" s="99"/>
      <c r="I209" s="99"/>
      <c r="J209" s="99"/>
      <c r="K209" s="99"/>
      <c r="L209" s="99"/>
      <c r="M209" s="99"/>
      <c r="N209" s="11"/>
      <c r="O209" s="11"/>
      <c r="R209" s="99"/>
      <c r="S209" s="99"/>
      <c r="T209" s="9"/>
      <c r="U209" s="9"/>
      <c r="V209" s="9"/>
      <c r="W209" s="9"/>
      <c r="X209" s="307"/>
      <c r="Y209" s="9"/>
    </row>
    <row r="210" spans="1:89" s="78" customFormat="1" ht="12.6" customHeight="1" x14ac:dyDescent="0.2">
      <c r="A210" s="43" t="s">
        <v>27</v>
      </c>
      <c r="B210" s="401" t="str">
        <f>$C$12</f>
        <v>Personalbestand</v>
      </c>
      <c r="C210" s="401" t="str">
        <f>VLOOKUP(36,Textbausteine_Menu[],Hilfsgrössen!$D$2,FALSE)</f>
        <v>Konzern</v>
      </c>
      <c r="D210" s="78" t="str">
        <f>VLOOKUP(32,Textbausteine_Menu[],Hilfsgrössen!$D$2,FALSE)</f>
        <v>Einheit</v>
      </c>
      <c r="E210" s="161" t="str">
        <f>VLOOKUP(33,Textbausteine_Menu[],Hilfsgrössen!$D$2,FALSE)</f>
        <v>Fussnoten</v>
      </c>
      <c r="F210" s="28" t="str">
        <f>VLOOKUP(34,Textbausteine_Menu[],Hilfsgrössen!$D$2,FALSE)</f>
        <v>GRI</v>
      </c>
      <c r="G210" s="34"/>
      <c r="H210" s="72">
        <v>2004</v>
      </c>
      <c r="I210" s="72">
        <v>2005</v>
      </c>
      <c r="J210" s="72">
        <v>2006</v>
      </c>
      <c r="K210" s="72">
        <v>2007</v>
      </c>
      <c r="L210" s="72">
        <v>2008</v>
      </c>
      <c r="M210" s="72">
        <v>2009</v>
      </c>
      <c r="N210" s="72">
        <v>2010</v>
      </c>
      <c r="O210" s="72">
        <v>2011</v>
      </c>
      <c r="P210" s="72">
        <v>2012</v>
      </c>
      <c r="Q210" s="72">
        <v>2013</v>
      </c>
      <c r="R210" s="72">
        <v>2014</v>
      </c>
      <c r="S210" s="72">
        <v>2015</v>
      </c>
      <c r="T210" s="74">
        <v>2016</v>
      </c>
      <c r="U210" s="74">
        <v>2017</v>
      </c>
      <c r="V210" s="74">
        <v>2018</v>
      </c>
      <c r="W210" s="74">
        <v>2019</v>
      </c>
      <c r="X210" s="273">
        <v>2020</v>
      </c>
      <c r="Y210" s="147">
        <v>2021</v>
      </c>
      <c r="Z210" s="360"/>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row>
    <row r="211" spans="1:89" s="42" customFormat="1" ht="12.6" customHeight="1" x14ac:dyDescent="0.2">
      <c r="A211" s="57"/>
      <c r="B211" s="401" t="str">
        <f>VLOOKUP(36,Textbausteine_Menu[],Hilfsgrössen!$D$2,FALSE)</f>
        <v>Konzern</v>
      </c>
      <c r="C211" s="401" t="str">
        <f>VLOOKUP(36,Textbausteine_Menu[],Hilfsgrössen!$D$2,FALSE)</f>
        <v>Konzern</v>
      </c>
      <c r="E211" s="162"/>
      <c r="F211" s="9"/>
      <c r="G211" s="34"/>
      <c r="H211" s="73"/>
      <c r="I211" s="73"/>
      <c r="J211" s="73"/>
      <c r="K211" s="73"/>
      <c r="L211" s="73"/>
      <c r="M211" s="73"/>
      <c r="N211" s="73"/>
      <c r="O211" s="73"/>
      <c r="P211" s="73"/>
      <c r="Q211" s="73"/>
      <c r="R211" s="73"/>
      <c r="S211" s="73"/>
      <c r="T211" s="75"/>
      <c r="U211" s="75"/>
      <c r="V211" s="75"/>
      <c r="W211" s="75"/>
      <c r="X211" s="274"/>
      <c r="Y211" s="312"/>
      <c r="Z211" s="361"/>
      <c r="AA211" s="73"/>
      <c r="AB211" s="73"/>
      <c r="AC211" s="73"/>
      <c r="AD211" s="73"/>
      <c r="AE211" s="73"/>
      <c r="AF211" s="73"/>
      <c r="AG211" s="73"/>
      <c r="AH211" s="73"/>
      <c r="AI211" s="73"/>
      <c r="AJ211" s="73"/>
      <c r="AK211" s="73"/>
      <c r="AL211" s="73"/>
      <c r="AM211" s="73"/>
      <c r="AN211" s="73"/>
      <c r="AO211" s="73"/>
      <c r="AP211" s="73"/>
      <c r="AQ211" s="73"/>
      <c r="AR211" s="73"/>
      <c r="AS211" s="73"/>
      <c r="AT211" s="73"/>
      <c r="AU211" s="73"/>
      <c r="AV211" s="73"/>
      <c r="AW211" s="73"/>
      <c r="AX211" s="73"/>
      <c r="AY211" s="73"/>
      <c r="AZ211" s="73"/>
      <c r="BA211" s="73"/>
      <c r="BB211" s="73"/>
      <c r="BC211" s="73"/>
      <c r="BD211" s="73"/>
      <c r="BE211" s="73"/>
      <c r="BF211" s="73"/>
      <c r="BG211" s="73"/>
      <c r="BH211" s="73"/>
      <c r="BI211" s="73"/>
      <c r="BJ211" s="73"/>
      <c r="BK211" s="73"/>
      <c r="BL211" s="73"/>
      <c r="BM211" s="73"/>
      <c r="BN211" s="73"/>
      <c r="BO211" s="73"/>
      <c r="BP211" s="73"/>
      <c r="BQ211" s="73"/>
      <c r="BR211" s="73"/>
      <c r="BS211" s="73"/>
      <c r="BT211" s="73"/>
      <c r="BU211" s="73"/>
      <c r="BV211" s="73"/>
      <c r="BW211" s="73"/>
      <c r="BX211" s="73"/>
      <c r="BY211" s="73"/>
      <c r="BZ211" s="73"/>
      <c r="CA211" s="73"/>
      <c r="CB211" s="73"/>
      <c r="CC211" s="73"/>
      <c r="CD211" s="73"/>
      <c r="CE211" s="73"/>
      <c r="CF211" s="73"/>
      <c r="CG211" s="73"/>
      <c r="CH211" s="73"/>
      <c r="CI211" s="73"/>
      <c r="CJ211" s="73"/>
      <c r="CK211" s="73"/>
    </row>
    <row r="212" spans="1:89" ht="12.6" customHeight="1" x14ac:dyDescent="0.2">
      <c r="B212" s="2"/>
      <c r="Y212" s="313"/>
    </row>
    <row r="213" spans="1:89" ht="12.6" customHeight="1" x14ac:dyDescent="0.2">
      <c r="B213" s="2" t="str">
        <f>VLOOKUP(36,Textbausteine_Menu[],Hilfsgrössen!$D$2,FALSE)</f>
        <v>Konzern</v>
      </c>
      <c r="C213" s="2"/>
      <c r="T213" s="9"/>
      <c r="U213" s="9"/>
      <c r="V213" s="9"/>
      <c r="W213" s="9"/>
      <c r="X213" s="307"/>
      <c r="Y213" s="314"/>
    </row>
    <row r="214" spans="1:89" ht="12.6" customHeight="1" x14ac:dyDescent="0.2">
      <c r="C214" s="48" t="str">
        <f>VLOOKUP(151,Textbausteine_102[],Hilfsgrössen!$D$2,FALSE)</f>
        <v>Personalbestand</v>
      </c>
      <c r="D214" s="16" t="str">
        <f>VLOOKUP(34,Textbausteine_102[],Hilfsgrössen!$D$2,FALSE)</f>
        <v>Personaleinheiten</v>
      </c>
      <c r="E214" s="162" t="s">
        <v>90</v>
      </c>
      <c r="F214" s="9" t="s">
        <v>91</v>
      </c>
      <c r="H214" s="11">
        <v>42284</v>
      </c>
      <c r="I214" s="11">
        <v>41073</v>
      </c>
      <c r="J214" s="11">
        <v>42178</v>
      </c>
      <c r="K214" s="11">
        <v>43447</v>
      </c>
      <c r="L214" s="11">
        <v>44178</v>
      </c>
      <c r="M214" s="11">
        <v>44803</v>
      </c>
      <c r="N214" s="11">
        <v>45129</v>
      </c>
      <c r="O214" s="11">
        <v>44348</v>
      </c>
      <c r="P214" s="9">
        <v>44605</v>
      </c>
      <c r="Q214" s="9">
        <v>44105</v>
      </c>
      <c r="R214" s="99">
        <v>44681</v>
      </c>
      <c r="S214" s="99">
        <v>44131</v>
      </c>
      <c r="T214" s="9">
        <v>43485</v>
      </c>
      <c r="U214" s="9">
        <v>42316</v>
      </c>
      <c r="V214" s="9">
        <v>39932</v>
      </c>
      <c r="W214" s="9">
        <v>39670</v>
      </c>
      <c r="X214" s="9">
        <v>39089</v>
      </c>
      <c r="Y214" s="314">
        <v>40144</v>
      </c>
      <c r="Z214" s="335"/>
    </row>
    <row r="215" spans="1:89" ht="12.6" customHeight="1" x14ac:dyDescent="0.2">
      <c r="C215" s="50" t="str">
        <f>VLOOKUP(154,Textbausteine_102[],Hilfsgrössen!$D$2,FALSE)</f>
        <v>Ausland</v>
      </c>
      <c r="D215" s="16" t="str">
        <f>VLOOKUP(34,Textbausteine_102[],Hilfsgrössen!$D$2,FALSE)</f>
        <v>Personaleinheiten</v>
      </c>
      <c r="E215" s="162" t="s">
        <v>90</v>
      </c>
      <c r="F215" s="9" t="s">
        <v>91</v>
      </c>
      <c r="H215" s="11">
        <v>1158</v>
      </c>
      <c r="I215" s="11">
        <v>1347</v>
      </c>
      <c r="J215" s="11">
        <v>3379</v>
      </c>
      <c r="K215" s="11">
        <v>5513</v>
      </c>
      <c r="L215" s="11">
        <v>6276</v>
      </c>
      <c r="M215" s="11">
        <v>6986</v>
      </c>
      <c r="N215" s="11">
        <v>7255</v>
      </c>
      <c r="O215" s="11">
        <v>6645</v>
      </c>
      <c r="P215" s="9">
        <v>6621</v>
      </c>
      <c r="Q215" s="9">
        <v>6779</v>
      </c>
      <c r="R215" s="99">
        <v>7627</v>
      </c>
      <c r="S215" s="99">
        <v>7449</v>
      </c>
      <c r="T215" s="9">
        <v>7195</v>
      </c>
      <c r="U215" s="9">
        <v>6971</v>
      </c>
      <c r="V215" s="9">
        <v>6123</v>
      </c>
      <c r="W215" s="9">
        <v>6272</v>
      </c>
      <c r="X215" s="9">
        <v>5788</v>
      </c>
      <c r="Y215" s="314">
        <v>6613</v>
      </c>
      <c r="Z215" s="335"/>
    </row>
    <row r="216" spans="1:89" ht="12.6" customHeight="1" x14ac:dyDescent="0.2">
      <c r="C216" s="13" t="str">
        <f>VLOOKUP(155,Textbausteine_102[],Hilfsgrössen!$D$2,FALSE)</f>
        <v>Anteil Ausland</v>
      </c>
      <c r="D216" s="16" t="str">
        <f>VLOOKUP(21,Textbausteine_102[],Hilfsgrössen!$D$2,FALSE)</f>
        <v>%</v>
      </c>
      <c r="E216" s="162" t="s">
        <v>90</v>
      </c>
      <c r="F216" s="9" t="s">
        <v>91</v>
      </c>
      <c r="H216" s="232">
        <v>2.7</v>
      </c>
      <c r="I216" s="232">
        <v>3.3</v>
      </c>
      <c r="J216" s="232">
        <v>8</v>
      </c>
      <c r="K216" s="11">
        <v>12.7</v>
      </c>
      <c r="L216" s="11">
        <v>14.2</v>
      </c>
      <c r="M216" s="11">
        <v>15.6</v>
      </c>
      <c r="N216" s="11">
        <v>16.100000000000001</v>
      </c>
      <c r="O216" s="11">
        <v>15</v>
      </c>
      <c r="P216" s="9">
        <v>14.8</v>
      </c>
      <c r="Q216" s="9">
        <v>15.4</v>
      </c>
      <c r="R216" s="99">
        <v>17.100000000000001</v>
      </c>
      <c r="S216" s="99">
        <v>16.879673691366399</v>
      </c>
      <c r="T216" s="9">
        <v>16.5</v>
      </c>
      <c r="U216" s="9">
        <v>16.5</v>
      </c>
      <c r="V216" s="9">
        <v>15.3</v>
      </c>
      <c r="W216" s="9">
        <v>15.8</v>
      </c>
      <c r="X216" s="9">
        <v>14.8</v>
      </c>
      <c r="Y216" s="314">
        <v>16.5</v>
      </c>
      <c r="Z216" s="335"/>
    </row>
    <row r="217" spans="1:89" s="8" customFormat="1" ht="12.6" customHeight="1" x14ac:dyDescent="0.2">
      <c r="A217" s="56"/>
      <c r="B217" s="1"/>
      <c r="C217" s="1"/>
      <c r="D217" s="1"/>
      <c r="E217" s="162"/>
      <c r="F217" s="9"/>
      <c r="G217" s="34"/>
      <c r="H217" s="11"/>
      <c r="I217" s="11"/>
      <c r="J217" s="11"/>
      <c r="K217" s="11"/>
      <c r="L217" s="11"/>
      <c r="M217" s="11"/>
      <c r="N217" s="11"/>
      <c r="O217" s="11"/>
      <c r="P217" s="9"/>
      <c r="Q217" s="9"/>
      <c r="R217" s="99"/>
      <c r="S217" s="99"/>
      <c r="T217" s="9"/>
      <c r="U217" s="9"/>
      <c r="V217" s="9"/>
      <c r="W217" s="9"/>
      <c r="X217" s="307"/>
      <c r="Y217" s="314"/>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c r="CF217" s="9"/>
      <c r="CG217" s="9"/>
      <c r="CH217" s="9"/>
      <c r="CI217" s="9"/>
      <c r="CJ217" s="9"/>
      <c r="CK217" s="9"/>
    </row>
    <row r="218" spans="1:89" s="8" customFormat="1" ht="12.6" customHeight="1" x14ac:dyDescent="0.2">
      <c r="A218" s="56"/>
      <c r="B218" s="1"/>
      <c r="C218" s="48" t="str">
        <f>VLOOKUP(151,Textbausteine_102[],Hilfsgrössen!$D$2,FALSE)</f>
        <v>Personalbestand</v>
      </c>
      <c r="D218" s="16" t="str">
        <f>VLOOKUP(35,Textbausteine_102[],Hilfsgrössen!$D$2,FALSE)</f>
        <v>Personen</v>
      </c>
      <c r="E218" s="162" t="s">
        <v>92</v>
      </c>
      <c r="F218" s="9" t="s">
        <v>91</v>
      </c>
      <c r="G218" s="34"/>
      <c r="H218" s="108" t="s">
        <v>30</v>
      </c>
      <c r="I218" s="108" t="s">
        <v>30</v>
      </c>
      <c r="J218" s="108" t="s">
        <v>30</v>
      </c>
      <c r="K218" s="108" t="s">
        <v>30</v>
      </c>
      <c r="L218" s="108" t="s">
        <v>30</v>
      </c>
      <c r="M218" s="88">
        <v>62090</v>
      </c>
      <c r="N218" s="88">
        <v>61428</v>
      </c>
      <c r="O218" s="88">
        <v>59612</v>
      </c>
      <c r="P218" s="99">
        <v>62058</v>
      </c>
      <c r="Q218" s="99">
        <v>61593</v>
      </c>
      <c r="R218" s="99">
        <v>62983</v>
      </c>
      <c r="S218" s="99">
        <v>62341</v>
      </c>
      <c r="T218" s="9">
        <v>61265</v>
      </c>
      <c r="U218" s="9">
        <v>59369</v>
      </c>
      <c r="V218" s="9">
        <v>58180</v>
      </c>
      <c r="W218" s="9">
        <v>55915</v>
      </c>
      <c r="X218" s="307">
        <v>54364</v>
      </c>
      <c r="Y218" s="314">
        <v>54518</v>
      </c>
      <c r="Z218" s="335"/>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c r="BE218" s="9"/>
      <c r="BF218" s="9"/>
      <c r="BG218" s="9"/>
      <c r="BH218" s="9"/>
      <c r="BI218" s="9"/>
      <c r="BJ218" s="9"/>
      <c r="BK218" s="9"/>
      <c r="BL218" s="9"/>
      <c r="BM218" s="9"/>
      <c r="BN218" s="9"/>
      <c r="BO218" s="9"/>
      <c r="BP218" s="9"/>
      <c r="BQ218" s="9"/>
      <c r="BR218" s="9"/>
      <c r="BS218" s="9"/>
      <c r="BT218" s="9"/>
      <c r="BU218" s="9"/>
      <c r="BV218" s="9"/>
      <c r="BW218" s="9"/>
      <c r="BX218" s="9"/>
      <c r="BY218" s="9"/>
      <c r="BZ218" s="9"/>
      <c r="CA218" s="9"/>
      <c r="CB218" s="9"/>
      <c r="CC218" s="9"/>
      <c r="CD218" s="9"/>
      <c r="CE218" s="9"/>
      <c r="CF218" s="9"/>
      <c r="CG218" s="9"/>
      <c r="CH218" s="9"/>
      <c r="CI218" s="9"/>
      <c r="CJ218" s="9"/>
      <c r="CK218" s="9"/>
    </row>
    <row r="219" spans="1:89" s="8" customFormat="1" ht="12.6" customHeight="1" x14ac:dyDescent="0.2">
      <c r="A219" s="56"/>
      <c r="B219" s="1"/>
      <c r="C219" s="50" t="str">
        <f>VLOOKUP(154,Textbausteine_102[],Hilfsgrössen!$D$2,FALSE)</f>
        <v>Ausland</v>
      </c>
      <c r="D219" s="16" t="str">
        <f>VLOOKUP(35,Textbausteine_102[],Hilfsgrössen!$D$2,FALSE)</f>
        <v>Personen</v>
      </c>
      <c r="E219" s="162" t="s">
        <v>92</v>
      </c>
      <c r="F219" s="9" t="s">
        <v>91</v>
      </c>
      <c r="G219" s="34"/>
      <c r="H219" s="108" t="s">
        <v>30</v>
      </c>
      <c r="I219" s="108" t="s">
        <v>30</v>
      </c>
      <c r="J219" s="108" t="s">
        <v>30</v>
      </c>
      <c r="K219" s="108" t="s">
        <v>30</v>
      </c>
      <c r="L219" s="108" t="s">
        <v>30</v>
      </c>
      <c r="M219" s="88">
        <v>8841</v>
      </c>
      <c r="N219" s="88">
        <v>7760</v>
      </c>
      <c r="O219" s="88">
        <v>7054</v>
      </c>
      <c r="P219" s="99">
        <v>7100</v>
      </c>
      <c r="Q219" s="99">
        <v>7182</v>
      </c>
      <c r="R219" s="99">
        <v>8008</v>
      </c>
      <c r="S219" s="99">
        <v>7921</v>
      </c>
      <c r="T219" s="9">
        <v>7720</v>
      </c>
      <c r="U219" s="9">
        <v>7467</v>
      </c>
      <c r="V219" s="9">
        <v>7897</v>
      </c>
      <c r="W219" s="9">
        <v>6816</v>
      </c>
      <c r="X219" s="307">
        <v>6368</v>
      </c>
      <c r="Y219" s="314">
        <v>7140</v>
      </c>
      <c r="Z219" s="335"/>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c r="BE219" s="9"/>
      <c r="BF219" s="9"/>
      <c r="BG219" s="9"/>
      <c r="BH219" s="9"/>
      <c r="BI219" s="9"/>
      <c r="BJ219" s="9"/>
      <c r="BK219" s="9"/>
      <c r="BL219" s="9"/>
      <c r="BM219" s="9"/>
      <c r="BN219" s="9"/>
      <c r="BO219" s="9"/>
      <c r="BP219" s="9"/>
      <c r="BQ219" s="9"/>
      <c r="BR219" s="9"/>
      <c r="BS219" s="9"/>
      <c r="BT219" s="9"/>
      <c r="BU219" s="9"/>
      <c r="BV219" s="9"/>
      <c r="BW219" s="9"/>
      <c r="BX219" s="9"/>
      <c r="BY219" s="9"/>
      <c r="BZ219" s="9"/>
      <c r="CA219" s="9"/>
      <c r="CB219" s="9"/>
      <c r="CC219" s="9"/>
      <c r="CD219" s="9"/>
      <c r="CE219" s="9"/>
      <c r="CF219" s="9"/>
      <c r="CG219" s="9"/>
      <c r="CH219" s="9"/>
      <c r="CI219" s="9"/>
      <c r="CJ219" s="9"/>
      <c r="CK219" s="9"/>
    </row>
    <row r="220" spans="1:89" s="8" customFormat="1" ht="12.6" customHeight="1" x14ac:dyDescent="0.2">
      <c r="A220" s="56"/>
      <c r="B220" s="1"/>
      <c r="C220" s="13" t="str">
        <f>VLOOKUP(155,Textbausteine_102[],Hilfsgrössen!$D$2,FALSE)</f>
        <v>Anteil Ausland</v>
      </c>
      <c r="D220" s="16" t="str">
        <f>VLOOKUP(21,Textbausteine_102[],Hilfsgrössen!$D$2,FALSE)</f>
        <v>%</v>
      </c>
      <c r="E220" s="162" t="s">
        <v>92</v>
      </c>
      <c r="F220" s="9" t="s">
        <v>91</v>
      </c>
      <c r="G220" s="34"/>
      <c r="H220" s="108" t="s">
        <v>30</v>
      </c>
      <c r="I220" s="108" t="s">
        <v>30</v>
      </c>
      <c r="J220" s="108" t="s">
        <v>30</v>
      </c>
      <c r="K220" s="108" t="s">
        <v>30</v>
      </c>
      <c r="L220" s="108" t="s">
        <v>30</v>
      </c>
      <c r="M220" s="88">
        <v>14.239007891770012</v>
      </c>
      <c r="N220" s="99">
        <v>12.63267565279677</v>
      </c>
      <c r="O220" s="99">
        <v>11.833187948735153</v>
      </c>
      <c r="P220" s="99">
        <v>11.440910116342776</v>
      </c>
      <c r="Q220" s="99">
        <v>11.660415956358678</v>
      </c>
      <c r="R220" s="99">
        <v>12.7</v>
      </c>
      <c r="S220" s="99">
        <v>12.705923870326099</v>
      </c>
      <c r="T220" s="9">
        <v>12.6</v>
      </c>
      <c r="U220" s="9">
        <v>12.6</v>
      </c>
      <c r="V220" s="9">
        <v>13.6</v>
      </c>
      <c r="W220" s="9">
        <v>12.2</v>
      </c>
      <c r="X220" s="307">
        <v>11.7</v>
      </c>
      <c r="Y220" s="314">
        <v>13.1</v>
      </c>
      <c r="Z220" s="335"/>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c r="BE220" s="9"/>
      <c r="BF220" s="9"/>
      <c r="BG220" s="9"/>
      <c r="BH220" s="9"/>
      <c r="BI220" s="9"/>
      <c r="BJ220" s="9"/>
      <c r="BK220" s="9"/>
      <c r="BL220" s="9"/>
      <c r="BM220" s="9"/>
      <c r="BN220" s="9"/>
      <c r="BO220" s="9"/>
      <c r="BP220" s="9"/>
      <c r="BQ220" s="9"/>
      <c r="BR220" s="9"/>
      <c r="BS220" s="9"/>
      <c r="BT220" s="9"/>
      <c r="BU220" s="9"/>
      <c r="BV220" s="9"/>
      <c r="BW220" s="9"/>
      <c r="BX220" s="9"/>
      <c r="BY220" s="9"/>
      <c r="BZ220" s="9"/>
      <c r="CA220" s="9"/>
      <c r="CB220" s="9"/>
      <c r="CC220" s="9"/>
      <c r="CD220" s="9"/>
      <c r="CE220" s="9"/>
      <c r="CF220" s="9"/>
      <c r="CG220" s="9"/>
      <c r="CH220" s="9"/>
      <c r="CI220" s="9"/>
      <c r="CJ220" s="9"/>
      <c r="CK220" s="9"/>
    </row>
    <row r="221" spans="1:89" s="8" customFormat="1" ht="12.6" customHeight="1" x14ac:dyDescent="0.2">
      <c r="A221" s="56"/>
      <c r="B221" s="1"/>
      <c r="C221" s="1"/>
      <c r="D221" s="1"/>
      <c r="E221" s="162"/>
      <c r="F221" s="9"/>
      <c r="G221" s="34"/>
      <c r="H221" s="88"/>
      <c r="I221" s="88"/>
      <c r="J221" s="88"/>
      <c r="K221" s="88"/>
      <c r="L221" s="88"/>
      <c r="M221" s="88"/>
      <c r="N221" s="9"/>
      <c r="O221" s="9"/>
      <c r="P221" s="9"/>
      <c r="Q221" s="9"/>
      <c r="R221" s="9"/>
      <c r="S221" s="9"/>
      <c r="T221" s="9"/>
      <c r="U221" s="9"/>
      <c r="V221" s="9"/>
      <c r="W221" s="9"/>
      <c r="X221" s="307"/>
      <c r="Y221" s="314"/>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c r="BE221" s="9"/>
      <c r="BF221" s="9"/>
      <c r="BG221" s="9"/>
      <c r="BH221" s="9"/>
      <c r="BI221" s="9"/>
      <c r="BJ221" s="9"/>
      <c r="BK221" s="9"/>
      <c r="BL221" s="9"/>
      <c r="BM221" s="9"/>
      <c r="BN221" s="9"/>
      <c r="BO221" s="9"/>
      <c r="BP221" s="9"/>
      <c r="BQ221" s="9"/>
      <c r="BR221" s="9"/>
      <c r="BS221" s="9"/>
      <c r="BT221" s="9"/>
      <c r="BU221" s="9"/>
      <c r="BV221" s="9"/>
      <c r="BW221" s="9"/>
      <c r="BX221" s="9"/>
      <c r="BY221" s="9"/>
      <c r="BZ221" s="9"/>
      <c r="CA221" s="9"/>
      <c r="CB221" s="9"/>
      <c r="CC221" s="9"/>
      <c r="CD221" s="9"/>
      <c r="CE221" s="9"/>
      <c r="CF221" s="9"/>
      <c r="CG221" s="9"/>
      <c r="CH221" s="9"/>
      <c r="CI221" s="9"/>
      <c r="CJ221" s="9"/>
      <c r="CK221" s="9"/>
    </row>
    <row r="222" spans="1:89" s="8" customFormat="1" ht="12.6" customHeight="1" x14ac:dyDescent="0.2">
      <c r="A222" s="40"/>
      <c r="B222" s="2" t="str">
        <f>VLOOKUP(44,Textbausteine_Menu[],Hilfsgrössen!$D$2,FALSE)</f>
        <v>Segmente</v>
      </c>
      <c r="D222" s="1"/>
      <c r="E222" s="162"/>
      <c r="F222" s="9"/>
      <c r="G222" s="34"/>
      <c r="N222" s="9"/>
      <c r="O222" s="9"/>
      <c r="P222" s="9"/>
      <c r="Q222" s="9"/>
      <c r="R222" s="9"/>
      <c r="S222" s="9"/>
      <c r="T222" s="9"/>
      <c r="U222" s="9"/>
      <c r="V222" s="9"/>
      <c r="W222" s="9"/>
      <c r="X222" s="307"/>
      <c r="Y222" s="314"/>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c r="BE222" s="9"/>
      <c r="BF222" s="9"/>
      <c r="BG222" s="9"/>
      <c r="BH222" s="9"/>
      <c r="BI222" s="9"/>
      <c r="BJ222" s="9"/>
      <c r="BK222" s="9"/>
      <c r="BL222" s="9"/>
      <c r="BM222" s="9"/>
      <c r="BN222" s="9"/>
      <c r="BO222" s="9"/>
      <c r="BP222" s="9"/>
      <c r="BQ222" s="9"/>
      <c r="BR222" s="9"/>
      <c r="BS222" s="9"/>
      <c r="BT222" s="9"/>
      <c r="BU222" s="9"/>
      <c r="BV222" s="9"/>
      <c r="BW222" s="9"/>
      <c r="BX222" s="9"/>
      <c r="BY222" s="9"/>
      <c r="BZ222" s="9"/>
      <c r="CA222" s="9"/>
      <c r="CB222" s="9"/>
      <c r="CC222" s="9"/>
      <c r="CD222" s="9"/>
      <c r="CE222" s="9"/>
      <c r="CF222" s="9"/>
      <c r="CG222" s="9"/>
      <c r="CH222" s="9"/>
      <c r="CI222" s="9"/>
      <c r="CJ222" s="9"/>
      <c r="CK222" s="9"/>
    </row>
    <row r="223" spans="1:89" s="8" customFormat="1" ht="12.6" customHeight="1" x14ac:dyDescent="0.2">
      <c r="A223" s="56"/>
      <c r="B223" s="1"/>
      <c r="C223" s="48" t="str">
        <f>VLOOKUP(151,Textbausteine_102[],Hilfsgrössen!$D$2,FALSE)</f>
        <v>Personalbestand</v>
      </c>
      <c r="D223" s="1"/>
      <c r="E223" s="162"/>
      <c r="F223" s="9"/>
      <c r="G223" s="34"/>
      <c r="H223" s="108"/>
      <c r="I223" s="108"/>
      <c r="J223" s="108"/>
      <c r="K223" s="108"/>
      <c r="L223" s="108"/>
      <c r="M223" s="88"/>
      <c r="N223" s="99"/>
      <c r="O223" s="99"/>
      <c r="P223" s="99"/>
      <c r="Q223" s="99"/>
      <c r="R223" s="99"/>
      <c r="S223" s="99"/>
      <c r="T223" s="9"/>
      <c r="U223" s="9"/>
      <c r="V223" s="9"/>
      <c r="W223" s="9"/>
      <c r="X223" s="307"/>
      <c r="Y223" s="314"/>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c r="BE223" s="9"/>
      <c r="BF223" s="9"/>
      <c r="BG223" s="9"/>
      <c r="BH223" s="9"/>
      <c r="BI223" s="9"/>
      <c r="BJ223" s="9"/>
      <c r="BK223" s="9"/>
      <c r="BL223" s="9"/>
      <c r="BM223" s="9"/>
      <c r="BN223" s="9"/>
      <c r="BO223" s="9"/>
      <c r="BP223" s="9"/>
      <c r="BQ223" s="9"/>
      <c r="BR223" s="9"/>
      <c r="BS223" s="9"/>
      <c r="BT223" s="9"/>
      <c r="BU223" s="9"/>
      <c r="BV223" s="9"/>
      <c r="BW223" s="9"/>
      <c r="BX223" s="9"/>
      <c r="BY223" s="9"/>
      <c r="BZ223" s="9"/>
      <c r="CA223" s="9"/>
      <c r="CB223" s="9"/>
      <c r="CC223" s="9"/>
      <c r="CD223" s="9"/>
      <c r="CE223" s="9"/>
      <c r="CF223" s="9"/>
      <c r="CG223" s="9"/>
      <c r="CH223" s="9"/>
      <c r="CI223" s="9"/>
      <c r="CJ223" s="9"/>
      <c r="CK223" s="9"/>
    </row>
    <row r="224" spans="1:89" s="8" customFormat="1" ht="12.6" customHeight="1" x14ac:dyDescent="0.2">
      <c r="A224" s="56"/>
      <c r="B224" s="1"/>
      <c r="C224" s="13" t="str">
        <f>VLOOKUP(45,Textbausteine_Menu[],Hilfsgrössen!$D$2,FALSE)</f>
        <v>Logistik-Services</v>
      </c>
      <c r="D224" s="16" t="str">
        <f>VLOOKUP(34,Textbausteine_102[],Hilfsgrössen!$D$2,FALSE)</f>
        <v>Personaleinheiten</v>
      </c>
      <c r="E224" s="366" t="s">
        <v>93</v>
      </c>
      <c r="F224" s="11" t="s">
        <v>91</v>
      </c>
      <c r="G224" s="303"/>
      <c r="H224" s="108" t="s">
        <v>30</v>
      </c>
      <c r="I224" s="108" t="s">
        <v>30</v>
      </c>
      <c r="J224" s="108" t="s">
        <v>30</v>
      </c>
      <c r="K224" s="108" t="s">
        <v>30</v>
      </c>
      <c r="L224" s="108" t="s">
        <v>30</v>
      </c>
      <c r="M224" s="108" t="s">
        <v>30</v>
      </c>
      <c r="N224" s="108" t="s">
        <v>30</v>
      </c>
      <c r="O224" s="108" t="s">
        <v>30</v>
      </c>
      <c r="P224" s="108" t="s">
        <v>30</v>
      </c>
      <c r="Q224" s="108" t="s">
        <v>30</v>
      </c>
      <c r="R224" s="108" t="s">
        <v>30</v>
      </c>
      <c r="S224" s="108" t="s">
        <v>30</v>
      </c>
      <c r="T224" s="108" t="s">
        <v>30</v>
      </c>
      <c r="U224" s="108" t="s">
        <v>30</v>
      </c>
      <c r="V224" s="108" t="s">
        <v>30</v>
      </c>
      <c r="W224" s="108" t="s">
        <v>30</v>
      </c>
      <c r="X224" s="108">
        <v>19667</v>
      </c>
      <c r="Y224" s="314">
        <v>20291</v>
      </c>
      <c r="Z224" s="335"/>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c r="BE224" s="9"/>
      <c r="BF224" s="9"/>
      <c r="BG224" s="9"/>
      <c r="BH224" s="9"/>
      <c r="BI224" s="9"/>
      <c r="BJ224" s="9"/>
      <c r="BK224" s="9"/>
      <c r="BL224" s="9"/>
      <c r="BM224" s="9"/>
      <c r="BN224" s="9"/>
      <c r="BO224" s="9"/>
      <c r="BP224" s="9"/>
      <c r="BQ224" s="9"/>
      <c r="BR224" s="9"/>
      <c r="BS224" s="9"/>
      <c r="BT224" s="9"/>
      <c r="BU224" s="9"/>
      <c r="BV224" s="9"/>
      <c r="BW224" s="9"/>
      <c r="BX224" s="9"/>
      <c r="BY224" s="9"/>
      <c r="BZ224" s="9"/>
      <c r="CA224" s="9"/>
      <c r="CB224" s="9"/>
      <c r="CC224" s="9"/>
      <c r="CD224" s="9"/>
      <c r="CE224" s="9"/>
      <c r="CF224" s="9"/>
      <c r="CG224" s="9"/>
      <c r="CH224" s="9"/>
      <c r="CI224" s="9"/>
      <c r="CJ224" s="9"/>
      <c r="CK224" s="9"/>
    </row>
    <row r="225" spans="1:89" s="8" customFormat="1" ht="12.6" customHeight="1" x14ac:dyDescent="0.2">
      <c r="A225" s="56"/>
      <c r="B225" s="1"/>
      <c r="C225" s="13" t="str">
        <f>VLOOKUP(46,Textbausteine_Menu[],Hilfsgrössen!$D$2,FALSE)</f>
        <v>Swiss Post Solutions</v>
      </c>
      <c r="D225" s="16" t="str">
        <f>VLOOKUP(34,Textbausteine_102[],Hilfsgrössen!$D$2,FALSE)</f>
        <v>Personaleinheiten</v>
      </c>
      <c r="E225" s="366" t="s">
        <v>94</v>
      </c>
      <c r="F225" s="9" t="s">
        <v>91</v>
      </c>
      <c r="G225" s="34"/>
      <c r="H225" s="108" t="s">
        <v>30</v>
      </c>
      <c r="I225" s="108" t="s">
        <v>30</v>
      </c>
      <c r="J225" s="108" t="s">
        <v>30</v>
      </c>
      <c r="K225" s="108" t="s">
        <v>30</v>
      </c>
      <c r="L225" s="108" t="s">
        <v>30</v>
      </c>
      <c r="M225" s="88">
        <v>6878</v>
      </c>
      <c r="N225" s="99">
        <v>6992</v>
      </c>
      <c r="O225" s="99">
        <v>6407</v>
      </c>
      <c r="P225" s="99">
        <v>6502</v>
      </c>
      <c r="Q225" s="99">
        <v>6798</v>
      </c>
      <c r="R225" s="99">
        <v>7466</v>
      </c>
      <c r="S225" s="99">
        <v>7177</v>
      </c>
      <c r="T225" s="9">
        <v>6803</v>
      </c>
      <c r="U225" s="9">
        <v>6585</v>
      </c>
      <c r="V225" s="9">
        <v>6789</v>
      </c>
      <c r="W225" s="9">
        <v>6909</v>
      </c>
      <c r="X225" s="108">
        <v>6393</v>
      </c>
      <c r="Y225" s="314">
        <v>6937</v>
      </c>
      <c r="Z225" s="335"/>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c r="BE225" s="9"/>
      <c r="BF225" s="9"/>
      <c r="BG225" s="9"/>
      <c r="BH225" s="9"/>
      <c r="BI225" s="9"/>
      <c r="BJ225" s="9"/>
      <c r="BK225" s="9"/>
      <c r="BL225" s="9"/>
      <c r="BM225" s="9"/>
      <c r="BN225" s="9"/>
      <c r="BO225" s="9"/>
      <c r="BP225" s="9"/>
      <c r="BQ225" s="9"/>
      <c r="BR225" s="9"/>
      <c r="BS225" s="9"/>
      <c r="BT225" s="9"/>
      <c r="BU225" s="9"/>
      <c r="BV225" s="9"/>
      <c r="BW225" s="9"/>
      <c r="BX225" s="9"/>
      <c r="BY225" s="9"/>
      <c r="BZ225" s="9"/>
      <c r="CA225" s="9"/>
      <c r="CB225" s="9"/>
      <c r="CC225" s="9"/>
      <c r="CD225" s="9"/>
      <c r="CE225" s="9"/>
      <c r="CF225" s="9"/>
      <c r="CG225" s="9"/>
      <c r="CH225" s="9"/>
      <c r="CI225" s="9"/>
      <c r="CJ225" s="9"/>
      <c r="CK225" s="9"/>
    </row>
    <row r="226" spans="1:89" s="8" customFormat="1" ht="12.6" customHeight="1" x14ac:dyDescent="0.2">
      <c r="A226" s="56"/>
      <c r="B226" s="1"/>
      <c r="C226" s="13" t="str">
        <f>VLOOKUP(47,Textbausteine_Menu[],Hilfsgrössen!$D$2,FALSE)</f>
        <v>PostNetz</v>
      </c>
      <c r="D226" s="16" t="str">
        <f>VLOOKUP(34,Textbausteine_102[],Hilfsgrössen!$D$2,FALSE)</f>
        <v>Personaleinheiten</v>
      </c>
      <c r="E226" s="366" t="s">
        <v>94</v>
      </c>
      <c r="F226" s="9" t="s">
        <v>91</v>
      </c>
      <c r="G226" s="34"/>
      <c r="H226" s="108" t="s">
        <v>30</v>
      </c>
      <c r="I226" s="108" t="s">
        <v>30</v>
      </c>
      <c r="J226" s="108" t="s">
        <v>30</v>
      </c>
      <c r="K226" s="108" t="s">
        <v>30</v>
      </c>
      <c r="L226" s="108" t="s">
        <v>30</v>
      </c>
      <c r="M226" s="88">
        <v>7091</v>
      </c>
      <c r="N226" s="99">
        <v>6928</v>
      </c>
      <c r="O226" s="99">
        <v>6827</v>
      </c>
      <c r="P226" s="99">
        <v>6724</v>
      </c>
      <c r="Q226" s="99">
        <v>6591</v>
      </c>
      <c r="R226" s="99">
        <v>6508</v>
      </c>
      <c r="S226" s="99">
        <v>6299</v>
      </c>
      <c r="T226" s="9">
        <v>6006</v>
      </c>
      <c r="U226" s="9">
        <v>5435</v>
      </c>
      <c r="V226" s="9">
        <v>4753</v>
      </c>
      <c r="W226" s="9">
        <v>4298</v>
      </c>
      <c r="X226" s="108">
        <v>3911</v>
      </c>
      <c r="Y226" s="314">
        <v>3509</v>
      </c>
      <c r="Z226" s="335"/>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c r="BE226" s="9"/>
      <c r="BF226" s="9"/>
      <c r="BG226" s="9"/>
      <c r="BH226" s="9"/>
      <c r="BI226" s="9"/>
      <c r="BJ226" s="9"/>
      <c r="BK226" s="9"/>
      <c r="BL226" s="9"/>
      <c r="BM226" s="9"/>
      <c r="BN226" s="9"/>
      <c r="BO226" s="9"/>
      <c r="BP226" s="9"/>
      <c r="BQ226" s="9"/>
      <c r="BR226" s="9"/>
      <c r="BS226" s="9"/>
      <c r="BT226" s="9"/>
      <c r="BU226" s="9"/>
      <c r="BV226" s="9"/>
      <c r="BW226" s="9"/>
      <c r="BX226" s="9"/>
      <c r="BY226" s="9"/>
      <c r="BZ226" s="9"/>
      <c r="CA226" s="9"/>
      <c r="CB226" s="9"/>
      <c r="CC226" s="9"/>
      <c r="CD226" s="9"/>
      <c r="CE226" s="9"/>
      <c r="CF226" s="9"/>
      <c r="CG226" s="9"/>
      <c r="CH226" s="9"/>
      <c r="CI226" s="9"/>
      <c r="CJ226" s="9"/>
      <c r="CK226" s="9"/>
    </row>
    <row r="227" spans="1:89" s="8" customFormat="1" ht="12.6" customHeight="1" x14ac:dyDescent="0.2">
      <c r="A227" s="56"/>
      <c r="B227" s="1"/>
      <c r="C227" s="13" t="str">
        <f>VLOOKUP(48,Textbausteine_Menu[],Hilfsgrössen!$D$2,FALSE)</f>
        <v>Kommunikations-Services</v>
      </c>
      <c r="D227" s="16" t="str">
        <f>VLOOKUP(34,Textbausteine_102[],Hilfsgrössen!$D$2,FALSE)</f>
        <v>Personaleinheiten</v>
      </c>
      <c r="E227" s="366" t="s">
        <v>93</v>
      </c>
      <c r="F227" s="9" t="s">
        <v>91</v>
      </c>
      <c r="G227" s="34"/>
      <c r="H227" s="108" t="s">
        <v>30</v>
      </c>
      <c r="I227" s="108" t="s">
        <v>30</v>
      </c>
      <c r="J227" s="108" t="s">
        <v>30</v>
      </c>
      <c r="K227" s="108" t="s">
        <v>30</v>
      </c>
      <c r="L227" s="108" t="s">
        <v>30</v>
      </c>
      <c r="M227" s="108" t="s">
        <v>30</v>
      </c>
      <c r="N227" s="108" t="s">
        <v>30</v>
      </c>
      <c r="O227" s="108" t="s">
        <v>30</v>
      </c>
      <c r="P227" s="108" t="s">
        <v>30</v>
      </c>
      <c r="Q227" s="108" t="s">
        <v>30</v>
      </c>
      <c r="R227" s="108" t="s">
        <v>30</v>
      </c>
      <c r="S227" s="108" t="s">
        <v>30</v>
      </c>
      <c r="T227" s="108" t="s">
        <v>30</v>
      </c>
      <c r="U227" s="108" t="s">
        <v>30</v>
      </c>
      <c r="V227" s="108" t="s">
        <v>30</v>
      </c>
      <c r="W227" s="108" t="s">
        <v>30</v>
      </c>
      <c r="X227" s="108">
        <v>146</v>
      </c>
      <c r="Y227" s="314">
        <v>247</v>
      </c>
      <c r="Z227" s="335"/>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c r="BE227" s="9"/>
      <c r="BF227" s="9"/>
      <c r="BG227" s="9"/>
      <c r="BH227" s="9"/>
      <c r="BI227" s="9"/>
      <c r="BJ227" s="9"/>
      <c r="BK227" s="9"/>
      <c r="BL227" s="9"/>
      <c r="BM227" s="9"/>
      <c r="BN227" s="9"/>
      <c r="BO227" s="9"/>
      <c r="BP227" s="9"/>
      <c r="BQ227" s="9"/>
      <c r="BR227" s="9"/>
      <c r="BS227" s="9"/>
      <c r="BT227" s="9"/>
      <c r="BU227" s="9"/>
      <c r="BV227" s="9"/>
      <c r="BW227" s="9"/>
      <c r="BX227" s="9"/>
      <c r="BY227" s="9"/>
      <c r="BZ227" s="9"/>
      <c r="CA227" s="9"/>
      <c r="CB227" s="9"/>
      <c r="CC227" s="9"/>
      <c r="CD227" s="9"/>
      <c r="CE227" s="9"/>
      <c r="CF227" s="9"/>
      <c r="CG227" s="9"/>
      <c r="CH227" s="9"/>
      <c r="CI227" s="9"/>
      <c r="CJ227" s="9"/>
      <c r="CK227" s="9"/>
    </row>
    <row r="228" spans="1:89" s="8" customFormat="1" ht="12.6" customHeight="1" x14ac:dyDescent="0.2">
      <c r="A228" s="56"/>
      <c r="B228" s="1"/>
      <c r="C228" s="13" t="str">
        <f>VLOOKUP(49,Textbausteine_Menu[],Hilfsgrössen!$D$2,FALSE)</f>
        <v>PostFinance</v>
      </c>
      <c r="D228" s="16" t="str">
        <f>VLOOKUP(34,Textbausteine_102[],Hilfsgrössen!$D$2,FALSE)</f>
        <v>Personaleinheiten</v>
      </c>
      <c r="E228" s="366" t="s">
        <v>94</v>
      </c>
      <c r="F228" s="11" t="s">
        <v>91</v>
      </c>
      <c r="G228" s="303"/>
      <c r="H228" s="108" t="s">
        <v>30</v>
      </c>
      <c r="I228" s="108" t="s">
        <v>30</v>
      </c>
      <c r="J228" s="108" t="s">
        <v>30</v>
      </c>
      <c r="K228" s="108" t="s">
        <v>30</v>
      </c>
      <c r="L228" s="108" t="s">
        <v>30</v>
      </c>
      <c r="M228" s="88">
        <v>3042</v>
      </c>
      <c r="N228" s="99">
        <v>3265</v>
      </c>
      <c r="O228" s="99">
        <v>3425</v>
      </c>
      <c r="P228" s="99">
        <v>3479</v>
      </c>
      <c r="Q228" s="99">
        <v>3439</v>
      </c>
      <c r="R228" s="99">
        <v>3466</v>
      </c>
      <c r="S228" s="99">
        <v>3594</v>
      </c>
      <c r="T228" s="9">
        <v>3614</v>
      </c>
      <c r="U228" s="9">
        <v>3475</v>
      </c>
      <c r="V228" s="9">
        <v>3333</v>
      </c>
      <c r="W228" s="9">
        <v>3248</v>
      </c>
      <c r="X228" s="108">
        <v>3260</v>
      </c>
      <c r="Y228" s="314">
        <v>3237</v>
      </c>
      <c r="Z228" s="335"/>
      <c r="AA228" s="9"/>
      <c r="AB228" s="9"/>
      <c r="AC228" s="9"/>
      <c r="AD228" s="9"/>
      <c r="AE228" s="9"/>
      <c r="AF228" s="9"/>
      <c r="AG228" s="9"/>
      <c r="AH228" s="9"/>
      <c r="AI228" s="9"/>
      <c r="AJ228" s="9"/>
      <c r="AK228" s="9"/>
      <c r="AL228" s="9"/>
      <c r="AM228" s="9"/>
      <c r="AN228" s="9"/>
      <c r="AO228" s="9"/>
      <c r="AP228" s="9"/>
      <c r="AQ228" s="9"/>
      <c r="AR228" s="9"/>
      <c r="AS228" s="9"/>
      <c r="AT228" s="9"/>
      <c r="AU228" s="9"/>
      <c r="AV228" s="9"/>
      <c r="AW228" s="9"/>
      <c r="AX228" s="9"/>
      <c r="AY228" s="9"/>
      <c r="AZ228" s="9"/>
      <c r="BA228" s="9"/>
      <c r="BB228" s="9"/>
      <c r="BC228" s="9"/>
      <c r="BD228" s="9"/>
      <c r="BE228" s="9"/>
      <c r="BF228" s="9"/>
      <c r="BG228" s="9"/>
      <c r="BH228" s="9"/>
      <c r="BI228" s="9"/>
      <c r="BJ228" s="9"/>
      <c r="BK228" s="9"/>
      <c r="BL228" s="9"/>
      <c r="BM228" s="9"/>
      <c r="BN228" s="9"/>
      <c r="BO228" s="9"/>
      <c r="BP228" s="9"/>
      <c r="BQ228" s="9"/>
      <c r="BR228" s="9"/>
      <c r="BS228" s="9"/>
      <c r="BT228" s="9"/>
      <c r="BU228" s="9"/>
      <c r="BV228" s="9"/>
      <c r="BW228" s="9"/>
      <c r="BX228" s="9"/>
      <c r="BY228" s="9"/>
      <c r="BZ228" s="9"/>
      <c r="CA228" s="9"/>
      <c r="CB228" s="9"/>
      <c r="CC228" s="9"/>
      <c r="CD228" s="9"/>
      <c r="CE228" s="9"/>
      <c r="CF228" s="9"/>
      <c r="CG228" s="9"/>
      <c r="CH228" s="9"/>
      <c r="CI228" s="9"/>
      <c r="CJ228" s="9"/>
      <c r="CK228" s="9"/>
    </row>
    <row r="229" spans="1:89" s="8" customFormat="1" ht="12.6" customHeight="1" x14ac:dyDescent="0.2">
      <c r="A229" s="56"/>
      <c r="B229" s="1"/>
      <c r="C229" s="13" t="str">
        <f>VLOOKUP(55,Textbausteine_Menu[],Hilfsgrössen!$D$2,FALSE)</f>
        <v>Mobilitäts-Services</v>
      </c>
      <c r="D229" s="16" t="str">
        <f>VLOOKUP(34,Textbausteine_102[],Hilfsgrössen!$D$2,FALSE)</f>
        <v>Personaleinheiten</v>
      </c>
      <c r="E229" s="366" t="s">
        <v>93</v>
      </c>
      <c r="F229" s="11" t="s">
        <v>91</v>
      </c>
      <c r="G229" s="303"/>
      <c r="H229" s="108" t="s">
        <v>30</v>
      </c>
      <c r="I229" s="108" t="s">
        <v>30</v>
      </c>
      <c r="J229" s="108" t="s">
        <v>30</v>
      </c>
      <c r="K229" s="108" t="s">
        <v>30</v>
      </c>
      <c r="L229" s="108" t="s">
        <v>30</v>
      </c>
      <c r="M229" s="108" t="s">
        <v>30</v>
      </c>
      <c r="N229" s="108" t="s">
        <v>30</v>
      </c>
      <c r="O229" s="108" t="s">
        <v>30</v>
      </c>
      <c r="P229" s="108" t="s">
        <v>30</v>
      </c>
      <c r="Q229" s="108" t="s">
        <v>30</v>
      </c>
      <c r="R229" s="108" t="s">
        <v>30</v>
      </c>
      <c r="S229" s="108" t="s">
        <v>30</v>
      </c>
      <c r="T229" s="108" t="s">
        <v>30</v>
      </c>
      <c r="U229" s="108" t="s">
        <v>30</v>
      </c>
      <c r="V229" s="108" t="s">
        <v>30</v>
      </c>
      <c r="W229" s="108" t="s">
        <v>30</v>
      </c>
      <c r="X229" s="108">
        <v>2594</v>
      </c>
      <c r="Y229" s="314">
        <v>2764</v>
      </c>
      <c r="Z229" s="335"/>
      <c r="AA229" s="9"/>
      <c r="AB229" s="9"/>
      <c r="AC229" s="9"/>
      <c r="AD229" s="9"/>
      <c r="AE229" s="9"/>
      <c r="AF229" s="9"/>
      <c r="AG229" s="9"/>
      <c r="AH229" s="9"/>
      <c r="AI229" s="9"/>
      <c r="AJ229" s="9"/>
      <c r="AK229" s="9"/>
      <c r="AL229" s="9"/>
      <c r="AM229" s="9"/>
      <c r="AN229" s="9"/>
      <c r="AO229" s="9"/>
      <c r="AP229" s="9"/>
      <c r="AQ229" s="9"/>
      <c r="AR229" s="9"/>
      <c r="AS229" s="9"/>
      <c r="AT229" s="9"/>
      <c r="AU229" s="9"/>
      <c r="AV229" s="9"/>
      <c r="AW229" s="9"/>
      <c r="AX229" s="9"/>
      <c r="AY229" s="9"/>
      <c r="AZ229" s="9"/>
      <c r="BA229" s="9"/>
      <c r="BB229" s="9"/>
      <c r="BC229" s="9"/>
      <c r="BD229" s="9"/>
      <c r="BE229" s="9"/>
      <c r="BF229" s="9"/>
      <c r="BG229" s="9"/>
      <c r="BH229" s="9"/>
      <c r="BI229" s="9"/>
      <c r="BJ229" s="9"/>
      <c r="BK229" s="9"/>
      <c r="BL229" s="9"/>
      <c r="BM229" s="9"/>
      <c r="BN229" s="9"/>
      <c r="BO229" s="9"/>
      <c r="BP229" s="9"/>
      <c r="BQ229" s="9"/>
      <c r="BR229" s="9"/>
      <c r="BS229" s="9"/>
      <c r="BT229" s="9"/>
      <c r="BU229" s="9"/>
      <c r="BV229" s="9"/>
      <c r="BW229" s="9"/>
      <c r="BX229" s="9"/>
      <c r="BY229" s="9"/>
      <c r="BZ229" s="9"/>
      <c r="CA229" s="9"/>
      <c r="CB229" s="9"/>
      <c r="CC229" s="9"/>
      <c r="CD229" s="9"/>
      <c r="CE229" s="9"/>
      <c r="CF229" s="9"/>
      <c r="CG229" s="9"/>
      <c r="CH229" s="9"/>
      <c r="CI229" s="9"/>
      <c r="CJ229" s="9"/>
      <c r="CK229" s="9"/>
    </row>
    <row r="230" spans="1:89" s="8" customFormat="1" ht="12.6" customHeight="1" x14ac:dyDescent="0.2">
      <c r="A230" s="56"/>
      <c r="B230" s="1"/>
      <c r="C230" s="13" t="str">
        <f>VLOOKUP(51,Textbausteine_Menu[],Hilfsgrössen!$D$2,FALSE)</f>
        <v>Funktionen und Management</v>
      </c>
      <c r="D230" s="16" t="str">
        <f>VLOOKUP(34,Textbausteine_102[],Hilfsgrössen!$D$2,FALSE)</f>
        <v>Personaleinheiten</v>
      </c>
      <c r="E230" s="366" t="s">
        <v>93</v>
      </c>
      <c r="F230" s="9" t="s">
        <v>91</v>
      </c>
      <c r="G230" s="34"/>
      <c r="H230" s="108" t="s">
        <v>30</v>
      </c>
      <c r="I230" s="108" t="s">
        <v>30</v>
      </c>
      <c r="J230" s="108" t="s">
        <v>30</v>
      </c>
      <c r="K230" s="108" t="s">
        <v>30</v>
      </c>
      <c r="L230" s="108" t="s">
        <v>30</v>
      </c>
      <c r="M230" s="108" t="s">
        <v>30</v>
      </c>
      <c r="N230" s="108" t="s">
        <v>30</v>
      </c>
      <c r="O230" s="108" t="s">
        <v>30</v>
      </c>
      <c r="P230" s="108" t="s">
        <v>30</v>
      </c>
      <c r="Q230" s="108" t="s">
        <v>30</v>
      </c>
      <c r="R230" s="108" t="s">
        <v>30</v>
      </c>
      <c r="S230" s="108" t="s">
        <v>30</v>
      </c>
      <c r="T230" s="108" t="s">
        <v>30</v>
      </c>
      <c r="U230" s="108" t="s">
        <v>30</v>
      </c>
      <c r="V230" s="108" t="s">
        <v>30</v>
      </c>
      <c r="W230" s="108" t="s">
        <v>30</v>
      </c>
      <c r="X230" s="108">
        <v>3118</v>
      </c>
      <c r="Y230" s="314">
        <v>3159</v>
      </c>
      <c r="Z230" s="335"/>
      <c r="AA230" s="9"/>
      <c r="AB230" s="9"/>
      <c r="AC230" s="9"/>
      <c r="AD230" s="9"/>
      <c r="AE230" s="9"/>
      <c r="AF230" s="9"/>
      <c r="AG230" s="9"/>
      <c r="AH230" s="9"/>
      <c r="AI230" s="9"/>
      <c r="AJ230" s="9"/>
      <c r="AK230" s="9"/>
      <c r="AL230" s="9"/>
      <c r="AM230" s="9"/>
      <c r="AN230" s="9"/>
      <c r="AO230" s="9"/>
      <c r="AP230" s="9"/>
      <c r="AQ230" s="9"/>
      <c r="AR230" s="9"/>
      <c r="AS230" s="9"/>
      <c r="AT230" s="9"/>
      <c r="AU230" s="9"/>
      <c r="AV230" s="9"/>
      <c r="AW230" s="9"/>
      <c r="AX230" s="9"/>
      <c r="AY230" s="9"/>
      <c r="AZ230" s="9"/>
      <c r="BA230" s="9"/>
      <c r="BB230" s="9"/>
      <c r="BC230" s="9"/>
      <c r="BD230" s="9"/>
      <c r="BE230" s="9"/>
      <c r="BF230" s="9"/>
      <c r="BG230" s="9"/>
      <c r="BH230" s="9"/>
      <c r="BI230" s="9"/>
      <c r="BJ230" s="9"/>
      <c r="BK230" s="9"/>
      <c r="BL230" s="9"/>
      <c r="BM230" s="9"/>
      <c r="BN230" s="9"/>
      <c r="BO230" s="9"/>
      <c r="BP230" s="9"/>
      <c r="BQ230" s="9"/>
      <c r="BR230" s="9"/>
      <c r="BS230" s="9"/>
      <c r="BT230" s="9"/>
      <c r="BU230" s="9"/>
      <c r="BV230" s="9"/>
      <c r="BW230" s="9"/>
      <c r="BX230" s="9"/>
      <c r="BY230" s="9"/>
      <c r="BZ230" s="9"/>
      <c r="CA230" s="9"/>
      <c r="CB230" s="9"/>
      <c r="CC230" s="9"/>
      <c r="CD230" s="9"/>
      <c r="CE230" s="9"/>
      <c r="CF230" s="9"/>
      <c r="CG230" s="9"/>
      <c r="CH230" s="9"/>
      <c r="CI230" s="9"/>
      <c r="CJ230" s="9"/>
      <c r="CK230" s="9"/>
    </row>
    <row r="231" spans="1:89" s="8" customFormat="1" ht="12.6" customHeight="1" x14ac:dyDescent="0.2">
      <c r="A231" s="56"/>
      <c r="B231" s="1"/>
      <c r="C231" s="1"/>
      <c r="D231" s="1"/>
      <c r="E231" s="164"/>
      <c r="F231" s="9"/>
      <c r="G231" s="34"/>
      <c r="H231" s="88"/>
      <c r="I231" s="88"/>
      <c r="J231" s="88"/>
      <c r="K231" s="88"/>
      <c r="L231" s="88"/>
      <c r="M231" s="88"/>
      <c r="N231" s="99"/>
      <c r="O231" s="99"/>
      <c r="P231" s="99"/>
      <c r="Q231" s="99"/>
      <c r="R231" s="99"/>
      <c r="S231" s="99"/>
      <c r="T231" s="9"/>
      <c r="U231" s="9"/>
      <c r="V231" s="9"/>
      <c r="W231" s="9"/>
      <c r="X231" s="307"/>
      <c r="Y231" s="314"/>
      <c r="AA231" s="9"/>
      <c r="AB231" s="9"/>
      <c r="AC231" s="9"/>
      <c r="AD231" s="9"/>
      <c r="AE231" s="9"/>
      <c r="AF231" s="9"/>
      <c r="AG231" s="9"/>
      <c r="AH231" s="9"/>
      <c r="AI231" s="9"/>
      <c r="AJ231" s="9"/>
      <c r="AK231" s="9"/>
      <c r="AL231" s="9"/>
      <c r="AM231" s="9"/>
      <c r="AN231" s="9"/>
      <c r="AO231" s="9"/>
      <c r="AP231" s="9"/>
      <c r="AQ231" s="9"/>
      <c r="AR231" s="9"/>
      <c r="AS231" s="9"/>
      <c r="AT231" s="9"/>
      <c r="AU231" s="9"/>
      <c r="AV231" s="9"/>
      <c r="AW231" s="9"/>
      <c r="AX231" s="9"/>
      <c r="AY231" s="9"/>
      <c r="AZ231" s="9"/>
      <c r="BA231" s="9"/>
      <c r="BB231" s="9"/>
      <c r="BC231" s="9"/>
      <c r="BD231" s="9"/>
      <c r="BE231" s="9"/>
      <c r="BF231" s="9"/>
      <c r="BG231" s="9"/>
      <c r="BH231" s="9"/>
      <c r="BI231" s="9"/>
      <c r="BJ231" s="9"/>
      <c r="BK231" s="9"/>
      <c r="BL231" s="9"/>
      <c r="BM231" s="9"/>
      <c r="BN231" s="9"/>
      <c r="BO231" s="9"/>
      <c r="BP231" s="9"/>
      <c r="BQ231" s="9"/>
      <c r="BR231" s="9"/>
      <c r="BS231" s="9"/>
      <c r="BT231" s="9"/>
      <c r="BU231" s="9"/>
      <c r="BV231" s="9"/>
      <c r="BW231" s="9"/>
      <c r="BX231" s="9"/>
      <c r="BY231" s="9"/>
      <c r="BZ231" s="9"/>
      <c r="CA231" s="9"/>
      <c r="CB231" s="9"/>
      <c r="CC231" s="9"/>
      <c r="CD231" s="9"/>
      <c r="CE231" s="9"/>
      <c r="CF231" s="9"/>
      <c r="CG231" s="9"/>
      <c r="CH231" s="9"/>
      <c r="CI231" s="9"/>
      <c r="CJ231" s="9"/>
      <c r="CK231" s="9"/>
    </row>
    <row r="232" spans="1:89" s="8" customFormat="1" ht="12.6" customHeight="1" x14ac:dyDescent="0.2">
      <c r="A232" s="56"/>
      <c r="B232" s="1"/>
      <c r="C232" s="48" t="str">
        <f>VLOOKUP(151,Textbausteine_102[],Hilfsgrössen!$D$2,FALSE)</f>
        <v>Personalbestand</v>
      </c>
      <c r="D232" s="1"/>
      <c r="E232" s="162"/>
      <c r="F232" s="11"/>
      <c r="G232" s="303"/>
      <c r="H232" s="108"/>
      <c r="I232" s="108"/>
      <c r="J232" s="108"/>
      <c r="K232" s="108"/>
      <c r="L232" s="108"/>
      <c r="M232" s="88"/>
      <c r="N232" s="99"/>
      <c r="O232" s="99"/>
      <c r="P232" s="99"/>
      <c r="Q232" s="99"/>
      <c r="R232" s="99"/>
      <c r="S232" s="99"/>
      <c r="T232" s="9"/>
      <c r="U232" s="9"/>
      <c r="V232" s="9"/>
      <c r="W232" s="9"/>
      <c r="X232" s="307"/>
      <c r="Y232" s="314"/>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c r="CF232" s="9"/>
      <c r="CG232" s="9"/>
      <c r="CH232" s="9"/>
      <c r="CI232" s="9"/>
      <c r="CJ232" s="9"/>
      <c r="CK232" s="9"/>
    </row>
    <row r="233" spans="1:89" s="8" customFormat="1" ht="12.6" customHeight="1" x14ac:dyDescent="0.2">
      <c r="A233" s="56"/>
      <c r="B233" s="1"/>
      <c r="C233" s="13" t="str">
        <f>VLOOKUP(45,Textbausteine_Menu[],Hilfsgrössen!$D$2,FALSE)</f>
        <v>Logistik-Services</v>
      </c>
      <c r="D233" s="16" t="str">
        <f>VLOOKUP(35,Textbausteine_102[],Hilfsgrössen!$D$2,FALSE)</f>
        <v>Personen</v>
      </c>
      <c r="E233" s="366" t="s">
        <v>93</v>
      </c>
      <c r="F233" s="11" t="s">
        <v>91</v>
      </c>
      <c r="G233" s="303"/>
      <c r="H233" s="108" t="s">
        <v>30</v>
      </c>
      <c r="I233" s="108" t="s">
        <v>30</v>
      </c>
      <c r="J233" s="108" t="s">
        <v>30</v>
      </c>
      <c r="K233" s="108" t="s">
        <v>30</v>
      </c>
      <c r="L233" s="108" t="s">
        <v>30</v>
      </c>
      <c r="M233" s="108" t="s">
        <v>30</v>
      </c>
      <c r="N233" s="108" t="s">
        <v>30</v>
      </c>
      <c r="O233" s="108" t="s">
        <v>30</v>
      </c>
      <c r="P233" s="108" t="s">
        <v>30</v>
      </c>
      <c r="Q233" s="108" t="s">
        <v>30</v>
      </c>
      <c r="R233" s="108" t="s">
        <v>30</v>
      </c>
      <c r="S233" s="108" t="s">
        <v>30</v>
      </c>
      <c r="T233" s="108" t="s">
        <v>30</v>
      </c>
      <c r="U233" s="108" t="s">
        <v>30</v>
      </c>
      <c r="V233" s="108" t="s">
        <v>30</v>
      </c>
      <c r="W233" s="108" t="s">
        <v>30</v>
      </c>
      <c r="X233" s="356">
        <v>31256</v>
      </c>
      <c r="Y233" s="314">
        <v>31254</v>
      </c>
      <c r="Z233" s="335"/>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c r="AY233" s="9"/>
      <c r="AZ233" s="9"/>
      <c r="BA233" s="9"/>
      <c r="BB233" s="9"/>
      <c r="BC233" s="9"/>
      <c r="BD233" s="9"/>
      <c r="BE233" s="9"/>
      <c r="BF233" s="9"/>
      <c r="BG233" s="9"/>
      <c r="BH233" s="9"/>
      <c r="BI233" s="9"/>
      <c r="BJ233" s="9"/>
      <c r="BK233" s="9"/>
      <c r="BL233" s="9"/>
      <c r="BM233" s="9"/>
      <c r="BN233" s="9"/>
      <c r="BO233" s="9"/>
      <c r="BP233" s="9"/>
      <c r="BQ233" s="9"/>
      <c r="BR233" s="9"/>
      <c r="BS233" s="9"/>
      <c r="BT233" s="9"/>
      <c r="BU233" s="9"/>
      <c r="BV233" s="9"/>
      <c r="BW233" s="9"/>
      <c r="BX233" s="9"/>
      <c r="BY233" s="9"/>
      <c r="BZ233" s="9"/>
      <c r="CA233" s="9"/>
      <c r="CB233" s="9"/>
      <c r="CC233" s="9"/>
      <c r="CD233" s="9"/>
      <c r="CE233" s="9"/>
      <c r="CF233" s="9"/>
      <c r="CG233" s="9"/>
      <c r="CH233" s="9"/>
      <c r="CI233" s="9"/>
      <c r="CJ233" s="9"/>
      <c r="CK233" s="9"/>
    </row>
    <row r="234" spans="1:89" s="8" customFormat="1" ht="12.6" customHeight="1" x14ac:dyDescent="0.2">
      <c r="A234" s="56"/>
      <c r="B234" s="1"/>
      <c r="C234" s="13" t="str">
        <f>VLOOKUP(46,Textbausteine_Menu[],Hilfsgrössen!$D$2,FALSE)</f>
        <v>Swiss Post Solutions</v>
      </c>
      <c r="D234" s="16" t="str">
        <f>VLOOKUP(35,Textbausteine_102[],Hilfsgrössen!$D$2,FALSE)</f>
        <v>Personen</v>
      </c>
      <c r="E234" s="366" t="s">
        <v>94</v>
      </c>
      <c r="F234" s="9" t="s">
        <v>91</v>
      </c>
      <c r="G234" s="34"/>
      <c r="H234" s="108" t="s">
        <v>30</v>
      </c>
      <c r="I234" s="108" t="s">
        <v>30</v>
      </c>
      <c r="J234" s="108" t="s">
        <v>30</v>
      </c>
      <c r="K234" s="108" t="s">
        <v>30</v>
      </c>
      <c r="L234" s="108" t="s">
        <v>30</v>
      </c>
      <c r="M234" s="88">
        <v>7623</v>
      </c>
      <c r="N234" s="99">
        <v>7534</v>
      </c>
      <c r="O234" s="99">
        <v>6861</v>
      </c>
      <c r="P234" s="99">
        <v>7014</v>
      </c>
      <c r="Q234" s="99">
        <v>7252</v>
      </c>
      <c r="R234" s="99">
        <v>7893</v>
      </c>
      <c r="S234" s="99">
        <v>7685</v>
      </c>
      <c r="T234" s="9">
        <v>7298</v>
      </c>
      <c r="U234" s="9">
        <v>7053</v>
      </c>
      <c r="V234" s="9">
        <v>7402</v>
      </c>
      <c r="W234" s="9">
        <v>7537</v>
      </c>
      <c r="X234" s="356">
        <v>7110</v>
      </c>
      <c r="Y234" s="314">
        <v>7574</v>
      </c>
      <c r="Z234" s="335"/>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9"/>
      <c r="BT234" s="9"/>
      <c r="BU234" s="9"/>
      <c r="BV234" s="9"/>
      <c r="BW234" s="9"/>
      <c r="BX234" s="9"/>
      <c r="BY234" s="9"/>
      <c r="BZ234" s="9"/>
      <c r="CA234" s="9"/>
      <c r="CB234" s="9"/>
      <c r="CC234" s="9"/>
      <c r="CD234" s="9"/>
      <c r="CE234" s="9"/>
      <c r="CF234" s="9"/>
      <c r="CG234" s="9"/>
      <c r="CH234" s="9"/>
      <c r="CI234" s="9"/>
      <c r="CJ234" s="9"/>
      <c r="CK234" s="9"/>
    </row>
    <row r="235" spans="1:89" s="8" customFormat="1" ht="12.6" customHeight="1" x14ac:dyDescent="0.2">
      <c r="A235" s="56"/>
      <c r="B235" s="1"/>
      <c r="C235" s="13" t="str">
        <f>VLOOKUP(47,Textbausteine_Menu[],Hilfsgrössen!$D$2,FALSE)</f>
        <v>PostNetz</v>
      </c>
      <c r="D235" s="16" t="str">
        <f>VLOOKUP(35,Textbausteine_102[],Hilfsgrössen!$D$2,FALSE)</f>
        <v>Personen</v>
      </c>
      <c r="E235" s="366" t="s">
        <v>94</v>
      </c>
      <c r="F235" s="9" t="s">
        <v>91</v>
      </c>
      <c r="G235" s="34"/>
      <c r="H235" s="108" t="s">
        <v>30</v>
      </c>
      <c r="I235" s="108" t="s">
        <v>30</v>
      </c>
      <c r="J235" s="108" t="s">
        <v>30</v>
      </c>
      <c r="K235" s="108" t="s">
        <v>30</v>
      </c>
      <c r="L235" s="108" t="s">
        <v>30</v>
      </c>
      <c r="M235" s="88">
        <v>10770</v>
      </c>
      <c r="N235" s="99">
        <v>10177</v>
      </c>
      <c r="O235" s="99">
        <v>9960</v>
      </c>
      <c r="P235" s="99">
        <v>9726</v>
      </c>
      <c r="Q235" s="99">
        <v>9433</v>
      </c>
      <c r="R235" s="99">
        <v>9207</v>
      </c>
      <c r="S235" s="99">
        <v>8838</v>
      </c>
      <c r="T235" s="9">
        <v>8415</v>
      </c>
      <c r="U235" s="9">
        <v>7618</v>
      </c>
      <c r="V235" s="9">
        <v>6652</v>
      </c>
      <c r="W235" s="9">
        <v>5972</v>
      </c>
      <c r="X235" s="356">
        <v>5399</v>
      </c>
      <c r="Y235" s="314">
        <v>4817</v>
      </c>
      <c r="Z235" s="335"/>
      <c r="AA235" s="9"/>
      <c r="AB235" s="9"/>
      <c r="AC235" s="9"/>
      <c r="AD235" s="9"/>
      <c r="AE235" s="9"/>
      <c r="AF235" s="9"/>
      <c r="AG235" s="9"/>
      <c r="AH235" s="9"/>
      <c r="AI235" s="9"/>
      <c r="AJ235" s="9"/>
      <c r="AK235" s="9"/>
      <c r="AL235" s="9"/>
      <c r="AM235" s="9"/>
      <c r="AN235" s="9"/>
      <c r="AO235" s="9"/>
      <c r="AP235" s="9"/>
      <c r="AQ235" s="9"/>
      <c r="AR235" s="9"/>
      <c r="AS235" s="9"/>
      <c r="AT235" s="9"/>
      <c r="AU235" s="9"/>
      <c r="AV235" s="9"/>
      <c r="AW235" s="9"/>
      <c r="AX235" s="9"/>
      <c r="AY235" s="9"/>
      <c r="AZ235" s="9"/>
      <c r="BA235" s="9"/>
      <c r="BB235" s="9"/>
      <c r="BC235" s="9"/>
      <c r="BD235" s="9"/>
      <c r="BE235" s="9"/>
      <c r="BF235" s="9"/>
      <c r="BG235" s="9"/>
      <c r="BH235" s="9"/>
      <c r="BI235" s="9"/>
      <c r="BJ235" s="9"/>
      <c r="BK235" s="9"/>
      <c r="BL235" s="9"/>
      <c r="BM235" s="9"/>
      <c r="BN235" s="9"/>
      <c r="BO235" s="9"/>
      <c r="BP235" s="9"/>
      <c r="BQ235" s="9"/>
      <c r="BR235" s="9"/>
      <c r="BS235" s="9"/>
      <c r="BT235" s="9"/>
      <c r="BU235" s="9"/>
      <c r="BV235" s="9"/>
      <c r="BW235" s="9"/>
      <c r="BX235" s="9"/>
      <c r="BY235" s="9"/>
      <c r="BZ235" s="9"/>
      <c r="CA235" s="9"/>
      <c r="CB235" s="9"/>
      <c r="CC235" s="9"/>
      <c r="CD235" s="9"/>
      <c r="CE235" s="9"/>
      <c r="CF235" s="9"/>
      <c r="CG235" s="9"/>
      <c r="CH235" s="9"/>
      <c r="CI235" s="9"/>
      <c r="CJ235" s="9"/>
      <c r="CK235" s="9"/>
    </row>
    <row r="236" spans="1:89" s="8" customFormat="1" ht="12.75" x14ac:dyDescent="0.2">
      <c r="A236" s="56"/>
      <c r="B236" s="1"/>
      <c r="C236" s="13" t="str">
        <f>VLOOKUP(48,Textbausteine_Menu[],Hilfsgrössen!$D$2,FALSE)</f>
        <v>Kommunikations-Services</v>
      </c>
      <c r="D236" s="16" t="str">
        <f>VLOOKUP(35,Textbausteine_102[],Hilfsgrössen!$D$2,FALSE)</f>
        <v>Personen</v>
      </c>
      <c r="E236" s="366" t="s">
        <v>93</v>
      </c>
      <c r="F236" s="9" t="s">
        <v>91</v>
      </c>
      <c r="G236" s="34"/>
      <c r="H236" s="108" t="s">
        <v>30</v>
      </c>
      <c r="I236" s="108" t="s">
        <v>30</v>
      </c>
      <c r="J236" s="108" t="s">
        <v>30</v>
      </c>
      <c r="K236" s="108" t="s">
        <v>30</v>
      </c>
      <c r="L236" s="108" t="s">
        <v>30</v>
      </c>
      <c r="M236" s="108" t="s">
        <v>30</v>
      </c>
      <c r="N236" s="108" t="s">
        <v>30</v>
      </c>
      <c r="O236" s="108" t="s">
        <v>30</v>
      </c>
      <c r="P236" s="108" t="s">
        <v>30</v>
      </c>
      <c r="Q236" s="108" t="s">
        <v>30</v>
      </c>
      <c r="R236" s="108" t="s">
        <v>30</v>
      </c>
      <c r="S236" s="108" t="s">
        <v>30</v>
      </c>
      <c r="T236" s="108" t="s">
        <v>30</v>
      </c>
      <c r="U236" s="108" t="s">
        <v>30</v>
      </c>
      <c r="V236" s="108" t="s">
        <v>30</v>
      </c>
      <c r="W236" s="108" t="s">
        <v>30</v>
      </c>
      <c r="X236" s="356">
        <v>158</v>
      </c>
      <c r="Y236" s="314">
        <v>266</v>
      </c>
      <c r="Z236" s="335"/>
      <c r="AA236" s="9"/>
      <c r="AB236" s="9"/>
      <c r="AC236" s="9"/>
      <c r="AD236" s="9"/>
      <c r="AE236" s="9"/>
      <c r="AF236" s="9"/>
      <c r="AG236" s="9"/>
      <c r="AH236" s="9"/>
      <c r="AI236" s="9"/>
      <c r="AJ236" s="9"/>
      <c r="AK236" s="9"/>
      <c r="AL236" s="9"/>
      <c r="AM236" s="9"/>
      <c r="AN236" s="9"/>
      <c r="AO236" s="9"/>
      <c r="AP236" s="9"/>
      <c r="AQ236" s="9"/>
      <c r="AR236" s="9"/>
      <c r="AS236" s="9"/>
      <c r="AT236" s="9"/>
      <c r="AU236" s="9"/>
      <c r="AV236" s="9"/>
      <c r="AW236" s="9"/>
      <c r="AX236" s="9"/>
      <c r="AY236" s="9"/>
      <c r="AZ236" s="9"/>
      <c r="BA236" s="9"/>
      <c r="BB236" s="9"/>
      <c r="BC236" s="9"/>
      <c r="BD236" s="9"/>
      <c r="BE236" s="9"/>
      <c r="BF236" s="9"/>
      <c r="BG236" s="9"/>
      <c r="BH236" s="9"/>
      <c r="BI236" s="9"/>
      <c r="BJ236" s="9"/>
      <c r="BK236" s="9"/>
      <c r="BL236" s="9"/>
      <c r="BM236" s="9"/>
      <c r="BN236" s="9"/>
      <c r="BO236" s="9"/>
      <c r="BP236" s="9"/>
      <c r="BQ236" s="9"/>
      <c r="BR236" s="9"/>
      <c r="BS236" s="9"/>
      <c r="BT236" s="9"/>
      <c r="BU236" s="9"/>
      <c r="BV236" s="9"/>
      <c r="BW236" s="9"/>
      <c r="BX236" s="9"/>
      <c r="BY236" s="9"/>
      <c r="BZ236" s="9"/>
      <c r="CA236" s="9"/>
      <c r="CB236" s="9"/>
      <c r="CC236" s="9"/>
      <c r="CD236" s="9"/>
      <c r="CE236" s="9"/>
      <c r="CF236" s="9"/>
      <c r="CG236" s="9"/>
      <c r="CH236" s="9"/>
      <c r="CI236" s="9"/>
      <c r="CJ236" s="9"/>
      <c r="CK236" s="9"/>
    </row>
    <row r="237" spans="1:89" s="8" customFormat="1" ht="12.6" customHeight="1" x14ac:dyDescent="0.2">
      <c r="A237" s="56"/>
      <c r="B237" s="1"/>
      <c r="C237" s="13" t="str">
        <f>VLOOKUP(49,Textbausteine_Menu[],Hilfsgrössen!$D$2,FALSE)</f>
        <v>PostFinance</v>
      </c>
      <c r="D237" s="16" t="str">
        <f>VLOOKUP(35,Textbausteine_102[],Hilfsgrössen!$D$2,FALSE)</f>
        <v>Personen</v>
      </c>
      <c r="E237" s="366" t="s">
        <v>94</v>
      </c>
      <c r="F237" s="9" t="s">
        <v>91</v>
      </c>
      <c r="G237" s="34"/>
      <c r="H237" s="108" t="s">
        <v>30</v>
      </c>
      <c r="I237" s="108" t="s">
        <v>30</v>
      </c>
      <c r="J237" s="108" t="s">
        <v>30</v>
      </c>
      <c r="K237" s="108" t="s">
        <v>30</v>
      </c>
      <c r="L237" s="108" t="s">
        <v>30</v>
      </c>
      <c r="M237" s="88">
        <v>3478</v>
      </c>
      <c r="N237" s="99">
        <v>3732</v>
      </c>
      <c r="O237" s="99">
        <v>3920</v>
      </c>
      <c r="P237" s="99">
        <v>3983</v>
      </c>
      <c r="Q237" s="99">
        <v>3938</v>
      </c>
      <c r="R237" s="99">
        <v>3967</v>
      </c>
      <c r="S237" s="99">
        <v>4111</v>
      </c>
      <c r="T237" s="9">
        <v>4116</v>
      </c>
      <c r="U237" s="9">
        <v>3951</v>
      </c>
      <c r="V237" s="9">
        <v>3754</v>
      </c>
      <c r="W237" s="9">
        <v>3648</v>
      </c>
      <c r="X237" s="356">
        <v>3660</v>
      </c>
      <c r="Y237" s="314">
        <v>3633</v>
      </c>
      <c r="Z237" s="335"/>
      <c r="AA237" s="9"/>
      <c r="AB237" s="9"/>
      <c r="AC237" s="9"/>
      <c r="AD237" s="9"/>
      <c r="AE237" s="9"/>
      <c r="AF237" s="9"/>
      <c r="AG237" s="9"/>
      <c r="AH237" s="9"/>
      <c r="AI237" s="9"/>
      <c r="AJ237" s="9"/>
      <c r="AK237" s="9"/>
      <c r="AL237" s="9"/>
      <c r="AM237" s="9"/>
      <c r="AN237" s="9"/>
      <c r="AO237" s="9"/>
      <c r="AP237" s="9"/>
      <c r="AQ237" s="9"/>
      <c r="AR237" s="9"/>
      <c r="AS237" s="9"/>
      <c r="AT237" s="9"/>
      <c r="AU237" s="9"/>
      <c r="AV237" s="9"/>
      <c r="AW237" s="9"/>
      <c r="AX237" s="9"/>
      <c r="AY237" s="9"/>
      <c r="AZ237" s="9"/>
      <c r="BA237" s="9"/>
      <c r="BB237" s="9"/>
      <c r="BC237" s="9"/>
      <c r="BD237" s="9"/>
      <c r="BE237" s="9"/>
      <c r="BF237" s="9"/>
      <c r="BG237" s="9"/>
      <c r="BH237" s="9"/>
      <c r="BI237" s="9"/>
      <c r="BJ237" s="9"/>
      <c r="BK237" s="9"/>
      <c r="BL237" s="9"/>
      <c r="BM237" s="9"/>
      <c r="BN237" s="9"/>
      <c r="BO237" s="9"/>
      <c r="BP237" s="9"/>
      <c r="BQ237" s="9"/>
      <c r="BR237" s="9"/>
      <c r="BS237" s="9"/>
      <c r="BT237" s="9"/>
      <c r="BU237" s="9"/>
      <c r="BV237" s="9"/>
      <c r="BW237" s="9"/>
      <c r="BX237" s="9"/>
      <c r="BY237" s="9"/>
      <c r="BZ237" s="9"/>
      <c r="CA237" s="9"/>
      <c r="CB237" s="9"/>
      <c r="CC237" s="9"/>
      <c r="CD237" s="9"/>
      <c r="CE237" s="9"/>
      <c r="CF237" s="9"/>
      <c r="CG237" s="9"/>
      <c r="CH237" s="9"/>
      <c r="CI237" s="9"/>
      <c r="CJ237" s="9"/>
      <c r="CK237" s="9"/>
    </row>
    <row r="238" spans="1:89" s="8" customFormat="1" ht="12.6" customHeight="1" x14ac:dyDescent="0.2">
      <c r="A238" s="56"/>
      <c r="B238" s="1"/>
      <c r="C238" s="13" t="str">
        <f>VLOOKUP(55,Textbausteine_Menu[],Hilfsgrössen!$D$2,FALSE)</f>
        <v>Mobilitäts-Services</v>
      </c>
      <c r="D238" s="16" t="str">
        <f>VLOOKUP(35,Textbausteine_102[],Hilfsgrössen!$D$2,FALSE)</f>
        <v>Personen</v>
      </c>
      <c r="E238" s="366" t="s">
        <v>93</v>
      </c>
      <c r="F238" s="9" t="s">
        <v>91</v>
      </c>
      <c r="G238" s="34"/>
      <c r="H238" s="108" t="s">
        <v>30</v>
      </c>
      <c r="I238" s="108" t="s">
        <v>30</v>
      </c>
      <c r="J238" s="108" t="s">
        <v>30</v>
      </c>
      <c r="K238" s="108" t="s">
        <v>30</v>
      </c>
      <c r="L238" s="108" t="s">
        <v>30</v>
      </c>
      <c r="M238" s="108" t="s">
        <v>30</v>
      </c>
      <c r="N238" s="108" t="s">
        <v>30</v>
      </c>
      <c r="O238" s="108" t="s">
        <v>30</v>
      </c>
      <c r="P238" s="108" t="s">
        <v>30</v>
      </c>
      <c r="Q238" s="108" t="s">
        <v>30</v>
      </c>
      <c r="R238" s="108" t="s">
        <v>30</v>
      </c>
      <c r="S238" s="108" t="s">
        <v>30</v>
      </c>
      <c r="T238" s="108" t="s">
        <v>30</v>
      </c>
      <c r="U238" s="108" t="s">
        <v>30</v>
      </c>
      <c r="V238" s="108" t="s">
        <v>30</v>
      </c>
      <c r="W238" s="108" t="s">
        <v>30</v>
      </c>
      <c r="X238" s="356">
        <v>3063</v>
      </c>
      <c r="Y238" s="314">
        <v>3233</v>
      </c>
      <c r="Z238" s="335"/>
      <c r="AA238" s="9"/>
      <c r="AB238" s="9"/>
      <c r="AC238" s="9"/>
      <c r="AD238" s="9"/>
      <c r="AE238" s="9"/>
      <c r="AF238" s="9"/>
      <c r="AG238" s="9"/>
      <c r="AH238" s="9"/>
      <c r="AI238" s="9"/>
      <c r="AJ238" s="9"/>
      <c r="AK238" s="9"/>
      <c r="AL238" s="9"/>
      <c r="AM238" s="9"/>
      <c r="AN238" s="9"/>
      <c r="AO238" s="9"/>
      <c r="AP238" s="9"/>
      <c r="AQ238" s="9"/>
      <c r="AR238" s="9"/>
      <c r="AS238" s="9"/>
      <c r="AT238" s="9"/>
      <c r="AU238" s="9"/>
      <c r="AV238" s="9"/>
      <c r="AW238" s="9"/>
      <c r="AX238" s="9"/>
      <c r="AY238" s="9"/>
      <c r="AZ238" s="9"/>
      <c r="BA238" s="9"/>
      <c r="BB238" s="9"/>
      <c r="BC238" s="9"/>
      <c r="BD238" s="9"/>
      <c r="BE238" s="9"/>
      <c r="BF238" s="9"/>
      <c r="BG238" s="9"/>
      <c r="BH238" s="9"/>
      <c r="BI238" s="9"/>
      <c r="BJ238" s="9"/>
      <c r="BK238" s="9"/>
      <c r="BL238" s="9"/>
      <c r="BM238" s="9"/>
      <c r="BN238" s="9"/>
      <c r="BO238" s="9"/>
      <c r="BP238" s="9"/>
      <c r="BQ238" s="9"/>
      <c r="BR238" s="9"/>
      <c r="BS238" s="9"/>
      <c r="BT238" s="9"/>
      <c r="BU238" s="9"/>
      <c r="BV238" s="9"/>
      <c r="BW238" s="9"/>
      <c r="BX238" s="9"/>
      <c r="BY238" s="9"/>
      <c r="BZ238" s="9"/>
      <c r="CA238" s="9"/>
      <c r="CB238" s="9"/>
      <c r="CC238" s="9"/>
      <c r="CD238" s="9"/>
      <c r="CE238" s="9"/>
      <c r="CF238" s="9"/>
      <c r="CG238" s="9"/>
      <c r="CH238" s="9"/>
      <c r="CI238" s="9"/>
      <c r="CJ238" s="9"/>
      <c r="CK238" s="9"/>
    </row>
    <row r="239" spans="1:89" s="8" customFormat="1" ht="12.6" customHeight="1" x14ac:dyDescent="0.2">
      <c r="A239" s="56"/>
      <c r="B239" s="1"/>
      <c r="C239" s="13" t="str">
        <f>VLOOKUP(51,Textbausteine_Menu[],Hilfsgrössen!$D$2,FALSE)</f>
        <v>Funktionen und Management</v>
      </c>
      <c r="D239" s="16" t="str">
        <f>VLOOKUP(35,Textbausteine_102[],Hilfsgrössen!$D$2,FALSE)</f>
        <v>Personen</v>
      </c>
      <c r="E239" s="366" t="s">
        <v>93</v>
      </c>
      <c r="F239" s="11" t="s">
        <v>91</v>
      </c>
      <c r="G239" s="303"/>
      <c r="H239" s="108" t="s">
        <v>30</v>
      </c>
      <c r="I239" s="108" t="s">
        <v>30</v>
      </c>
      <c r="J239" s="108" t="s">
        <v>30</v>
      </c>
      <c r="K239" s="108" t="s">
        <v>30</v>
      </c>
      <c r="L239" s="108" t="s">
        <v>30</v>
      </c>
      <c r="M239" s="108" t="s">
        <v>30</v>
      </c>
      <c r="N239" s="108" t="s">
        <v>30</v>
      </c>
      <c r="O239" s="108" t="s">
        <v>30</v>
      </c>
      <c r="P239" s="108" t="s">
        <v>30</v>
      </c>
      <c r="Q239" s="108" t="s">
        <v>30</v>
      </c>
      <c r="R239" s="108" t="s">
        <v>30</v>
      </c>
      <c r="S239" s="108" t="s">
        <v>30</v>
      </c>
      <c r="T239" s="108" t="s">
        <v>30</v>
      </c>
      <c r="U239" s="108" t="s">
        <v>30</v>
      </c>
      <c r="V239" s="108" t="s">
        <v>30</v>
      </c>
      <c r="W239" s="108" t="s">
        <v>30</v>
      </c>
      <c r="X239" s="356">
        <v>3718</v>
      </c>
      <c r="Y239" s="314">
        <v>3741</v>
      </c>
      <c r="Z239" s="335"/>
      <c r="AA239" s="9"/>
      <c r="AB239" s="9"/>
      <c r="AC239" s="9"/>
      <c r="AD239" s="9"/>
      <c r="AE239" s="9"/>
      <c r="AF239" s="9"/>
      <c r="AG239" s="9"/>
      <c r="AH239" s="9"/>
      <c r="AI239" s="9"/>
      <c r="AJ239" s="9"/>
      <c r="AK239" s="9"/>
      <c r="AL239" s="9"/>
      <c r="AM239" s="9"/>
      <c r="AN239" s="9"/>
      <c r="AO239" s="9"/>
      <c r="AP239" s="9"/>
      <c r="AQ239" s="9"/>
      <c r="AR239" s="9"/>
      <c r="AS239" s="9"/>
      <c r="AT239" s="9"/>
      <c r="AU239" s="9"/>
      <c r="AV239" s="9"/>
      <c r="AW239" s="9"/>
      <c r="AX239" s="9"/>
      <c r="AY239" s="9"/>
      <c r="AZ239" s="9"/>
      <c r="BA239" s="9"/>
      <c r="BB239" s="9"/>
      <c r="BC239" s="9"/>
      <c r="BD239" s="9"/>
      <c r="BE239" s="9"/>
      <c r="BF239" s="9"/>
      <c r="BG239" s="9"/>
      <c r="BH239" s="9"/>
      <c r="BI239" s="9"/>
      <c r="BJ239" s="9"/>
      <c r="BK239" s="9"/>
      <c r="BL239" s="9"/>
      <c r="BM239" s="9"/>
      <c r="BN239" s="9"/>
      <c r="BO239" s="9"/>
      <c r="BP239" s="9"/>
      <c r="BQ239" s="9"/>
      <c r="BR239" s="9"/>
      <c r="BS239" s="9"/>
      <c r="BT239" s="9"/>
      <c r="BU239" s="9"/>
      <c r="BV239" s="9"/>
      <c r="BW239" s="9"/>
      <c r="BX239" s="9"/>
      <c r="BY239" s="9"/>
      <c r="BZ239" s="9"/>
      <c r="CA239" s="9"/>
      <c r="CB239" s="9"/>
      <c r="CC239" s="9"/>
      <c r="CD239" s="9"/>
      <c r="CE239" s="9"/>
      <c r="CF239" s="9"/>
      <c r="CG239" s="9"/>
      <c r="CH239" s="9"/>
      <c r="CI239" s="9"/>
      <c r="CJ239" s="9"/>
      <c r="CK239" s="9"/>
    </row>
    <row r="240" spans="1:89" s="8" customFormat="1" ht="12.6" customHeight="1" x14ac:dyDescent="0.2">
      <c r="A240" s="56"/>
      <c r="B240" s="1"/>
      <c r="C240" s="13"/>
      <c r="D240" s="16"/>
      <c r="E240" s="366"/>
      <c r="F240" s="11"/>
      <c r="G240" s="303"/>
      <c r="H240" s="108"/>
      <c r="I240" s="108"/>
      <c r="J240" s="108"/>
      <c r="K240" s="108"/>
      <c r="L240" s="108"/>
      <c r="M240" s="108"/>
      <c r="N240" s="108"/>
      <c r="O240" s="108"/>
      <c r="P240" s="108"/>
      <c r="Q240" s="108"/>
      <c r="R240" s="108"/>
      <c r="S240" s="108"/>
      <c r="T240" s="108"/>
      <c r="U240" s="108"/>
      <c r="V240" s="108"/>
      <c r="W240" s="108"/>
      <c r="X240" s="356"/>
      <c r="Y240" s="314"/>
      <c r="Z240" s="335"/>
      <c r="AA240" s="9"/>
      <c r="AB240" s="9"/>
      <c r="AC240" s="9"/>
      <c r="AD240" s="9"/>
      <c r="AE240" s="9"/>
      <c r="AF240" s="9"/>
      <c r="AG240" s="9"/>
      <c r="AH240" s="9"/>
      <c r="AI240" s="9"/>
      <c r="AJ240" s="9"/>
      <c r="AK240" s="9"/>
      <c r="AL240" s="9"/>
      <c r="AM240" s="9"/>
      <c r="AN240" s="9"/>
      <c r="AO240" s="9"/>
      <c r="AP240" s="9"/>
      <c r="AQ240" s="9"/>
      <c r="AR240" s="9"/>
      <c r="AS240" s="9"/>
      <c r="AT240" s="9"/>
      <c r="AU240" s="9"/>
      <c r="AV240" s="9"/>
      <c r="AW240" s="9"/>
      <c r="AX240" s="9"/>
      <c r="AY240" s="9"/>
      <c r="AZ240" s="9"/>
      <c r="BA240" s="9"/>
      <c r="BB240" s="9"/>
      <c r="BC240" s="9"/>
      <c r="BD240" s="9"/>
      <c r="BE240" s="9"/>
      <c r="BF240" s="9"/>
      <c r="BG240" s="9"/>
      <c r="BH240" s="9"/>
      <c r="BI240" s="9"/>
      <c r="BJ240" s="9"/>
      <c r="BK240" s="9"/>
      <c r="BL240" s="9"/>
      <c r="BM240" s="9"/>
      <c r="BN240" s="9"/>
      <c r="BO240" s="9"/>
      <c r="BP240" s="9"/>
      <c r="BQ240" s="9"/>
      <c r="BR240" s="9"/>
      <c r="BS240" s="9"/>
      <c r="BT240" s="9"/>
      <c r="BU240" s="9"/>
      <c r="BV240" s="9"/>
      <c r="BW240" s="9"/>
      <c r="BX240" s="9"/>
      <c r="BY240" s="9"/>
      <c r="BZ240" s="9"/>
      <c r="CA240" s="9"/>
      <c r="CB240" s="9"/>
      <c r="CC240" s="9"/>
      <c r="CD240" s="9"/>
      <c r="CE240" s="9"/>
      <c r="CF240" s="9"/>
      <c r="CG240" s="9"/>
      <c r="CH240" s="9"/>
      <c r="CI240" s="9"/>
      <c r="CJ240" s="9"/>
      <c r="CK240" s="9"/>
    </row>
    <row r="241" spans="1:89" s="8" customFormat="1" ht="12.6" customHeight="1" x14ac:dyDescent="0.25">
      <c r="A241" s="56"/>
      <c r="B241" s="1"/>
      <c r="C241" s="302" t="str">
        <f>VLOOKUP(288,Textbausteine_102[],Hilfsgrössen!$D$2,FALSE)</f>
        <v>1) ohne Lernpersonal</v>
      </c>
      <c r="D241" s="16"/>
      <c r="E241" s="366"/>
      <c r="F241" s="11"/>
      <c r="G241" s="303"/>
      <c r="H241" s="108"/>
      <c r="I241" s="108"/>
      <c r="J241" s="108"/>
      <c r="K241" s="108"/>
      <c r="L241" s="108"/>
      <c r="M241" s="108"/>
      <c r="N241" s="108"/>
      <c r="O241" s="108"/>
      <c r="P241" s="108"/>
      <c r="Q241" s="108"/>
      <c r="R241" s="108"/>
      <c r="S241" s="108"/>
      <c r="T241" s="108"/>
      <c r="U241" s="108"/>
      <c r="V241" s="108"/>
      <c r="W241" s="108"/>
      <c r="X241" s="356"/>
      <c r="Y241" s="314"/>
      <c r="Z241" s="335"/>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9"/>
      <c r="BT241" s="9"/>
      <c r="BU241" s="9"/>
      <c r="BV241" s="9"/>
      <c r="BW241" s="9"/>
      <c r="BX241" s="9"/>
      <c r="BY241" s="9"/>
      <c r="BZ241" s="9"/>
      <c r="CA241" s="9"/>
      <c r="CB241" s="9"/>
      <c r="CC241" s="9"/>
      <c r="CD241" s="9"/>
      <c r="CE241" s="9"/>
      <c r="CF241" s="9"/>
      <c r="CG241" s="9"/>
      <c r="CH241" s="9"/>
      <c r="CI241" s="9"/>
      <c r="CJ241" s="9"/>
      <c r="CK241" s="9"/>
    </row>
    <row r="242" spans="1:89" s="8" customFormat="1" ht="12.6" customHeight="1" x14ac:dyDescent="0.25">
      <c r="A242" s="56"/>
      <c r="B242" s="1"/>
      <c r="C242" s="302" t="str">
        <f>VLOOKUP(289,Textbausteine_102[#Data],Hilfsgrössen!$D$2,FALSE)</f>
        <v>2) Eine Personaleinheit entspricht einer Vollzeitstelle.</v>
      </c>
      <c r="D242" s="16"/>
      <c r="E242" s="366"/>
      <c r="F242" s="11"/>
      <c r="G242" s="303"/>
      <c r="H242" s="108"/>
      <c r="I242" s="108"/>
      <c r="J242" s="108"/>
      <c r="K242" s="108"/>
      <c r="L242" s="108"/>
      <c r="M242" s="108"/>
      <c r="N242" s="108"/>
      <c r="O242" s="108"/>
      <c r="P242" s="108"/>
      <c r="Q242" s="108"/>
      <c r="R242" s="108"/>
      <c r="S242" s="108"/>
      <c r="T242" s="108"/>
      <c r="U242" s="108"/>
      <c r="V242" s="108"/>
      <c r="W242" s="108"/>
      <c r="X242" s="356"/>
      <c r="Y242" s="314"/>
      <c r="Z242" s="335"/>
      <c r="AA242" s="9"/>
      <c r="AB242" s="9"/>
      <c r="AC242" s="9"/>
      <c r="AD242" s="9"/>
      <c r="AE242" s="9"/>
      <c r="AF242" s="9"/>
      <c r="AG242" s="9"/>
      <c r="AH242" s="9"/>
      <c r="AI242" s="9"/>
      <c r="AJ242" s="9"/>
      <c r="AK242" s="9"/>
      <c r="AL242" s="9"/>
      <c r="AM242" s="9"/>
      <c r="AN242" s="9"/>
      <c r="AO242" s="9"/>
      <c r="AP242" s="9"/>
      <c r="AQ242" s="9"/>
      <c r="AR242" s="9"/>
      <c r="AS242" s="9"/>
      <c r="AT242" s="9"/>
      <c r="AU242" s="9"/>
      <c r="AV242" s="9"/>
      <c r="AW242" s="9"/>
      <c r="AX242" s="9"/>
      <c r="AY242" s="9"/>
      <c r="AZ242" s="9"/>
      <c r="BA242" s="9"/>
      <c r="BB242" s="9"/>
      <c r="BC242" s="9"/>
      <c r="BD242" s="9"/>
      <c r="BE242" s="9"/>
      <c r="BF242" s="9"/>
      <c r="BG242" s="9"/>
      <c r="BH242" s="9"/>
      <c r="BI242" s="9"/>
      <c r="BJ242" s="9"/>
      <c r="BK242" s="9"/>
      <c r="BL242" s="9"/>
      <c r="BM242" s="9"/>
      <c r="BN242" s="9"/>
      <c r="BO242" s="9"/>
      <c r="BP242" s="9"/>
      <c r="BQ242" s="9"/>
      <c r="BR242" s="9"/>
      <c r="BS242" s="9"/>
      <c r="BT242" s="9"/>
      <c r="BU242" s="9"/>
      <c r="BV242" s="9"/>
      <c r="BW242" s="9"/>
      <c r="BX242" s="9"/>
      <c r="BY242" s="9"/>
      <c r="BZ242" s="9"/>
      <c r="CA242" s="9"/>
      <c r="CB242" s="9"/>
      <c r="CC242" s="9"/>
      <c r="CD242" s="9"/>
      <c r="CE242" s="9"/>
      <c r="CF242" s="9"/>
      <c r="CG242" s="9"/>
      <c r="CH242" s="9"/>
      <c r="CI242" s="9"/>
      <c r="CJ242" s="9"/>
      <c r="CK242" s="9"/>
    </row>
    <row r="243" spans="1:89" s="8" customFormat="1" ht="12.6" customHeight="1" x14ac:dyDescent="0.25">
      <c r="A243" s="56"/>
      <c r="B243" s="1"/>
      <c r="C243" s="302" t="str">
        <f>VLOOKUP(290,Textbausteine_102[],Hilfsgrössen!$D$2,FALSE)</f>
        <v>3) Jahresdurchschnittswerte</v>
      </c>
      <c r="D243" s="16"/>
      <c r="E243" s="366"/>
      <c r="F243" s="11"/>
      <c r="G243" s="303"/>
      <c r="H243" s="108"/>
      <c r="I243" s="108"/>
      <c r="J243" s="108"/>
      <c r="K243" s="108"/>
      <c r="L243" s="108"/>
      <c r="M243" s="108"/>
      <c r="N243" s="108"/>
      <c r="O243" s="108"/>
      <c r="P243" s="108"/>
      <c r="Q243" s="108"/>
      <c r="R243" s="108"/>
      <c r="S243" s="108"/>
      <c r="T243" s="108"/>
      <c r="U243" s="108"/>
      <c r="V243" s="108"/>
      <c r="W243" s="108"/>
      <c r="X243" s="356"/>
      <c r="Y243" s="314"/>
      <c r="Z243" s="335"/>
      <c r="AA243" s="9"/>
      <c r="AB243" s="9"/>
      <c r="AC243" s="9"/>
      <c r="AD243" s="9"/>
      <c r="AE243" s="9"/>
      <c r="AF243" s="9"/>
      <c r="AG243" s="9"/>
      <c r="AH243" s="9"/>
      <c r="AI243" s="9"/>
      <c r="AJ243" s="9"/>
      <c r="AK243" s="9"/>
      <c r="AL243" s="9"/>
      <c r="AM243" s="9"/>
      <c r="AN243" s="9"/>
      <c r="AO243" s="9"/>
      <c r="AP243" s="9"/>
      <c r="AQ243" s="9"/>
      <c r="AR243" s="9"/>
      <c r="AS243" s="9"/>
      <c r="AT243" s="9"/>
      <c r="AU243" s="9"/>
      <c r="AV243" s="9"/>
      <c r="AW243" s="9"/>
      <c r="AX243" s="9"/>
      <c r="AY243" s="9"/>
      <c r="AZ243" s="9"/>
      <c r="BA243" s="9"/>
      <c r="BB243" s="9"/>
      <c r="BC243" s="9"/>
      <c r="BD243" s="9"/>
      <c r="BE243" s="9"/>
      <c r="BF243" s="9"/>
      <c r="BG243" s="9"/>
      <c r="BH243" s="9"/>
      <c r="BI243" s="9"/>
      <c r="BJ243" s="9"/>
      <c r="BK243" s="9"/>
      <c r="BL243" s="9"/>
      <c r="BM243" s="9"/>
      <c r="BN243" s="9"/>
      <c r="BO243" s="9"/>
      <c r="BP243" s="9"/>
      <c r="BQ243" s="9"/>
      <c r="BR243" s="9"/>
      <c r="BS243" s="9"/>
      <c r="BT243" s="9"/>
      <c r="BU243" s="9"/>
      <c r="BV243" s="9"/>
      <c r="BW243" s="9"/>
      <c r="BX243" s="9"/>
      <c r="BY243" s="9"/>
      <c r="BZ243" s="9"/>
      <c r="CA243" s="9"/>
      <c r="CB243" s="9"/>
      <c r="CC243" s="9"/>
      <c r="CD243" s="9"/>
      <c r="CE243" s="9"/>
      <c r="CF243" s="9"/>
      <c r="CG243" s="9"/>
      <c r="CH243" s="9"/>
      <c r="CI243" s="9"/>
      <c r="CJ243" s="9"/>
      <c r="CK243" s="9"/>
    </row>
    <row r="244" spans="1:89" s="8" customFormat="1" ht="12.6" customHeight="1" x14ac:dyDescent="0.25">
      <c r="A244" s="56"/>
      <c r="B244" s="1"/>
      <c r="C244" s="302" t="str">
        <f>VLOOKUP(291,Textbausteine_102[],Hilfsgrössen!$D$2,FALSE)</f>
        <v>4) Im Segment PostMail (ab dem 1.1.2021 neu im Segment Logistik-Services enthalten) wurde bei zwei Tochtergesellschaften die Berechnung des Durchschnittbestands auf Vollzeitstellen (ohne Lernpersonal) überarbeitet, was zur Anpassung des Werts 2018 führte. Im Segment PostAuto (ab dem 1.2021 neu im Segement Mobilitäts-Services enthalten) wurde das Jahr 2018 aufgrund der Klassifizierung der CarPostal-France-Gruppe als zur Veräusserung gehaltene Abgangsgruppe und aufgegebener Geschäftsbereich angepasst.</v>
      </c>
      <c r="D244" s="16"/>
      <c r="E244" s="366"/>
      <c r="F244" s="11"/>
      <c r="G244" s="303"/>
      <c r="H244" s="108"/>
      <c r="I244" s="108"/>
      <c r="J244" s="108"/>
      <c r="K244" s="108"/>
      <c r="L244" s="108"/>
      <c r="M244" s="108"/>
      <c r="N244" s="108"/>
      <c r="O244" s="108"/>
      <c r="P244" s="108"/>
      <c r="Q244" s="108"/>
      <c r="R244" s="108"/>
      <c r="S244" s="108"/>
      <c r="T244" s="108"/>
      <c r="U244" s="108"/>
      <c r="V244" s="108"/>
      <c r="W244" s="108"/>
      <c r="X244" s="356"/>
      <c r="Y244" s="314"/>
      <c r="Z244" s="335"/>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c r="CF244" s="9"/>
      <c r="CG244" s="9"/>
      <c r="CH244" s="9"/>
      <c r="CI244" s="9"/>
      <c r="CJ244" s="9"/>
      <c r="CK244" s="9"/>
    </row>
    <row r="245" spans="1:89" s="8" customFormat="1" ht="12.6" customHeight="1" x14ac:dyDescent="0.25">
      <c r="A245" s="56"/>
      <c r="B245" s="1"/>
      <c r="C245" s="302" t="str">
        <f>VLOOKUP(292,Textbausteine_102[],Hilfsgrössen!$D$2,FALSE)</f>
        <v xml:space="preserve">5) Der Personalbestand enthält auch die Werte des Segments Swiss Post Solutions, das ab Mitte Dezember 2021 zur Veräusserung bestimmt ist. Der Personalbestand in Personaleinheiten exkl. SPS beträgt im Geschäftsjahr 2021 33'207 (VJ: 32'696). Der Personalbestand in Personaleinheiten im Ausland ohne SPS beträgt im GJ 2021 400 (VJ: 215). Die Anzahl Mitarbeiter im Konzern exkl. SPS beträgt im Jahr 2021 46'944 (VJ: 47'254). Die Anzahl Mitarbeiter im Konzern im Ausland exkl. SPS beträgt im Jahr 2021 429 (VJ: 240). </v>
      </c>
      <c r="D245" s="16"/>
      <c r="E245" s="366"/>
      <c r="F245" s="11"/>
      <c r="G245" s="303"/>
      <c r="H245" s="108"/>
      <c r="I245" s="108"/>
      <c r="J245" s="108"/>
      <c r="K245" s="108"/>
      <c r="L245" s="108"/>
      <c r="M245" s="108"/>
      <c r="N245" s="108"/>
      <c r="O245" s="108"/>
      <c r="P245" s="108"/>
      <c r="Q245" s="108"/>
      <c r="R245" s="108"/>
      <c r="S245" s="108"/>
      <c r="T245" s="108"/>
      <c r="U245" s="108"/>
      <c r="V245" s="108"/>
      <c r="W245" s="108"/>
      <c r="X245" s="356"/>
      <c r="Y245" s="314"/>
      <c r="Z245" s="335"/>
      <c r="AA245" s="9"/>
      <c r="AB245" s="9"/>
      <c r="AC245" s="9"/>
      <c r="AD245" s="9"/>
      <c r="AE245" s="9"/>
      <c r="AF245" s="9"/>
      <c r="AG245" s="9"/>
      <c r="AH245" s="9"/>
      <c r="AI245" s="9"/>
      <c r="AJ245" s="9"/>
      <c r="AK245" s="9"/>
      <c r="AL245" s="9"/>
      <c r="AM245" s="9"/>
      <c r="AN245" s="9"/>
      <c r="AO245" s="9"/>
      <c r="AP245" s="9"/>
      <c r="AQ245" s="9"/>
      <c r="AR245" s="9"/>
      <c r="AS245" s="9"/>
      <c r="AT245" s="9"/>
      <c r="AU245" s="9"/>
      <c r="AV245" s="9"/>
      <c r="AW245" s="9"/>
      <c r="AX245" s="9"/>
      <c r="AY245" s="9"/>
      <c r="AZ245" s="9"/>
      <c r="BA245" s="9"/>
      <c r="BB245" s="9"/>
      <c r="BC245" s="9"/>
      <c r="BD245" s="9"/>
      <c r="BE245" s="9"/>
      <c r="BF245" s="9"/>
      <c r="BG245" s="9"/>
      <c r="BH245" s="9"/>
      <c r="BI245" s="9"/>
      <c r="BJ245" s="9"/>
      <c r="BK245" s="9"/>
      <c r="BL245" s="9"/>
      <c r="BM245" s="9"/>
      <c r="BN245" s="9"/>
      <c r="BO245" s="9"/>
      <c r="BP245" s="9"/>
      <c r="BQ245" s="9"/>
      <c r="BR245" s="9"/>
      <c r="BS245" s="9"/>
      <c r="BT245" s="9"/>
      <c r="BU245" s="9"/>
      <c r="BV245" s="9"/>
      <c r="BW245" s="9"/>
      <c r="BX245" s="9"/>
      <c r="BY245" s="9"/>
      <c r="BZ245" s="9"/>
      <c r="CA245" s="9"/>
      <c r="CB245" s="9"/>
      <c r="CC245" s="9"/>
      <c r="CD245" s="9"/>
      <c r="CE245" s="9"/>
      <c r="CF245" s="9"/>
      <c r="CG245" s="9"/>
      <c r="CH245" s="9"/>
      <c r="CI245" s="9"/>
      <c r="CJ245" s="9"/>
      <c r="CK245" s="9"/>
    </row>
    <row r="246" spans="1:89" s="8" customFormat="1" ht="12.6" customHeight="1" x14ac:dyDescent="0.25">
      <c r="A246" s="56"/>
      <c r="B246" s="1"/>
      <c r="C246" s="302" t="str">
        <f>VLOOKUP(293,Textbausteine_102[],Hilfsgrössen!$D$2,FALSE)</f>
        <v>6) Die Segmente Logistik-Services, Kommunikations-Services und Mobilitäts-Services wurden per 1.1.2021 neu gebildet. Funktionen und Management wurde ebenfalls neu gebildet (bis 2020 als Übrige bezeichnet). Für die Vorjahreswerte 2019 und früher bestehen keine Vergleichswerte.</v>
      </c>
      <c r="D246" s="16"/>
      <c r="E246" s="366"/>
      <c r="F246" s="11"/>
      <c r="G246" s="303"/>
      <c r="H246" s="108"/>
      <c r="I246" s="108"/>
      <c r="J246" s="108"/>
      <c r="K246" s="108"/>
      <c r="L246" s="108"/>
      <c r="M246" s="108"/>
      <c r="N246" s="108"/>
      <c r="O246" s="108"/>
      <c r="P246" s="108"/>
      <c r="Q246" s="108"/>
      <c r="R246" s="108"/>
      <c r="S246" s="108"/>
      <c r="T246" s="108"/>
      <c r="U246" s="108"/>
      <c r="V246" s="108"/>
      <c r="W246" s="108"/>
      <c r="X246" s="356"/>
      <c r="Y246" s="314"/>
      <c r="Z246" s="335"/>
      <c r="AA246" s="9"/>
      <c r="AB246" s="9"/>
      <c r="AC246" s="9"/>
      <c r="AD246" s="9"/>
      <c r="AE246" s="9"/>
      <c r="AF246" s="9"/>
      <c r="AG246" s="9"/>
      <c r="AH246" s="9"/>
      <c r="AI246" s="9"/>
      <c r="AJ246" s="9"/>
      <c r="AK246" s="9"/>
      <c r="AL246" s="9"/>
      <c r="AM246" s="9"/>
      <c r="AN246" s="9"/>
      <c r="AO246" s="9"/>
      <c r="AP246" s="9"/>
      <c r="AQ246" s="9"/>
      <c r="AR246" s="9"/>
      <c r="AS246" s="9"/>
      <c r="AT246" s="9"/>
      <c r="AU246" s="9"/>
      <c r="AV246" s="9"/>
      <c r="AW246" s="9"/>
      <c r="AX246" s="9"/>
      <c r="AY246" s="9"/>
      <c r="AZ246" s="9"/>
      <c r="BA246" s="9"/>
      <c r="BB246" s="9"/>
      <c r="BC246" s="9"/>
      <c r="BD246" s="9"/>
      <c r="BE246" s="9"/>
      <c r="BF246" s="9"/>
      <c r="BG246" s="9"/>
      <c r="BH246" s="9"/>
      <c r="BI246" s="9"/>
      <c r="BJ246" s="9"/>
      <c r="BK246" s="9"/>
      <c r="BL246" s="9"/>
      <c r="BM246" s="9"/>
      <c r="BN246" s="9"/>
      <c r="BO246" s="9"/>
      <c r="BP246" s="9"/>
      <c r="BQ246" s="9"/>
      <c r="BR246" s="9"/>
      <c r="BS246" s="9"/>
      <c r="BT246" s="9"/>
      <c r="BU246" s="9"/>
      <c r="BV246" s="9"/>
      <c r="BW246" s="9"/>
      <c r="BX246" s="9"/>
      <c r="BY246" s="9"/>
      <c r="BZ246" s="9"/>
      <c r="CA246" s="9"/>
      <c r="CB246" s="9"/>
      <c r="CC246" s="9"/>
      <c r="CD246" s="9"/>
      <c r="CE246" s="9"/>
      <c r="CF246" s="9"/>
      <c r="CG246" s="9"/>
      <c r="CH246" s="9"/>
      <c r="CI246" s="9"/>
      <c r="CJ246" s="9"/>
      <c r="CK246" s="9"/>
    </row>
    <row r="247" spans="1:89" s="8" customFormat="1" ht="12.6" customHeight="1" x14ac:dyDescent="0.2">
      <c r="A247" s="56"/>
      <c r="B247" s="1"/>
      <c r="C247" s="1"/>
      <c r="D247" s="1"/>
      <c r="E247" s="162"/>
      <c r="F247" s="9"/>
      <c r="G247" s="34"/>
      <c r="H247" s="11"/>
      <c r="I247" s="11"/>
      <c r="J247" s="11"/>
      <c r="K247" s="11"/>
      <c r="L247" s="11"/>
      <c r="M247" s="11"/>
      <c r="N247" s="9"/>
      <c r="O247" s="9"/>
      <c r="P247" s="9"/>
      <c r="Q247" s="9"/>
      <c r="R247" s="9"/>
      <c r="S247" s="9"/>
      <c r="T247" s="9"/>
      <c r="U247" s="9"/>
      <c r="V247" s="9"/>
      <c r="W247" s="9"/>
      <c r="X247" s="307"/>
      <c r="Y247" s="314"/>
      <c r="AA247" s="9"/>
      <c r="AB247" s="9"/>
      <c r="AC247" s="9"/>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row>
    <row r="248" spans="1:89" s="78" customFormat="1" ht="12.6" customHeight="1" x14ac:dyDescent="0.2">
      <c r="A248" s="43" t="s">
        <v>27</v>
      </c>
      <c r="B248" s="401" t="str">
        <f>$C$13</f>
        <v>Geschlechterverteilung</v>
      </c>
      <c r="C248" s="401"/>
      <c r="D248" s="78" t="str">
        <f>VLOOKUP(32,Textbausteine_Menu[],Hilfsgrössen!$D$2,FALSE)</f>
        <v>Einheit</v>
      </c>
      <c r="E248" s="163" t="str">
        <f>VLOOKUP(33,Textbausteine_Menu[],Hilfsgrössen!$D$2,FALSE)</f>
        <v>Fussnoten</v>
      </c>
      <c r="F248" s="28" t="str">
        <f>VLOOKUP(34,Textbausteine_Menu[],Hilfsgrössen!$D$2,FALSE)</f>
        <v>GRI</v>
      </c>
      <c r="G248" s="33"/>
      <c r="H248" s="72">
        <v>2004</v>
      </c>
      <c r="I248" s="72">
        <v>2005</v>
      </c>
      <c r="J248" s="72">
        <v>2006</v>
      </c>
      <c r="K248" s="72">
        <v>2007</v>
      </c>
      <c r="L248" s="72">
        <v>2008</v>
      </c>
      <c r="M248" s="72">
        <v>2009</v>
      </c>
      <c r="N248" s="72">
        <v>2010</v>
      </c>
      <c r="O248" s="72">
        <v>2011</v>
      </c>
      <c r="P248" s="72">
        <v>2012</v>
      </c>
      <c r="Q248" s="72">
        <v>2013</v>
      </c>
      <c r="R248" s="72">
        <v>2014</v>
      </c>
      <c r="S248" s="72">
        <v>2015</v>
      </c>
      <c r="T248" s="74">
        <v>2016</v>
      </c>
      <c r="U248" s="74">
        <v>2017</v>
      </c>
      <c r="V248" s="74">
        <v>2018</v>
      </c>
      <c r="W248" s="74">
        <v>2019</v>
      </c>
      <c r="X248" s="273">
        <v>2020</v>
      </c>
      <c r="Y248" s="147">
        <v>2021</v>
      </c>
      <c r="Z248" s="360"/>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c r="BV248" s="72"/>
      <c r="BW248" s="72"/>
      <c r="BX248" s="72"/>
      <c r="BY248" s="72"/>
      <c r="BZ248" s="72"/>
      <c r="CA248" s="72"/>
      <c r="CB248" s="72"/>
      <c r="CC248" s="72"/>
      <c r="CD248" s="72"/>
      <c r="CE248" s="72"/>
      <c r="CF248" s="72"/>
      <c r="CG248" s="72"/>
      <c r="CH248" s="72"/>
      <c r="CI248" s="72"/>
      <c r="CJ248" s="72"/>
      <c r="CK248" s="72"/>
    </row>
    <row r="249" spans="1:89" s="42" customFormat="1" ht="12.6" customHeight="1" x14ac:dyDescent="0.2">
      <c r="A249" s="57"/>
      <c r="B249" s="401"/>
      <c r="C249" s="401"/>
      <c r="E249" s="161"/>
      <c r="F249" s="28"/>
      <c r="G249" s="34"/>
      <c r="H249" s="73"/>
      <c r="I249" s="73"/>
      <c r="J249" s="73"/>
      <c r="K249" s="73"/>
      <c r="L249" s="73"/>
      <c r="M249" s="73"/>
      <c r="N249" s="73"/>
      <c r="O249" s="73"/>
      <c r="P249" s="73"/>
      <c r="Q249" s="73"/>
      <c r="R249" s="73"/>
      <c r="S249" s="73"/>
      <c r="T249" s="75"/>
      <c r="U249" s="75"/>
      <c r="V249" s="75"/>
      <c r="W249" s="75"/>
      <c r="X249" s="274"/>
      <c r="Y249" s="312"/>
      <c r="Z249" s="361"/>
      <c r="AA249" s="73"/>
      <c r="AB249" s="73"/>
      <c r="AC249" s="73"/>
      <c r="AD249" s="73"/>
      <c r="AE249" s="73"/>
      <c r="AF249" s="73"/>
      <c r="AG249" s="73"/>
      <c r="AH249" s="73"/>
      <c r="AI249" s="73"/>
      <c r="AJ249" s="73"/>
      <c r="AK249" s="73"/>
      <c r="AL249" s="73"/>
      <c r="AM249" s="73"/>
      <c r="AN249" s="73"/>
      <c r="AO249" s="73"/>
      <c r="AP249" s="73"/>
      <c r="AQ249" s="73"/>
      <c r="AR249" s="73"/>
      <c r="AS249" s="73"/>
      <c r="AT249" s="73"/>
      <c r="AU249" s="73"/>
      <c r="AV249" s="73"/>
      <c r="AW249" s="73"/>
      <c r="AX249" s="73"/>
      <c r="AY249" s="73"/>
      <c r="AZ249" s="73"/>
      <c r="BA249" s="73"/>
      <c r="BB249" s="73"/>
      <c r="BC249" s="73"/>
      <c r="BD249" s="73"/>
      <c r="BE249" s="73"/>
      <c r="BF249" s="73"/>
      <c r="BG249" s="73"/>
      <c r="BH249" s="73"/>
      <c r="BI249" s="73"/>
      <c r="BJ249" s="73"/>
      <c r="BK249" s="73"/>
      <c r="BL249" s="73"/>
      <c r="BM249" s="73"/>
      <c r="BN249" s="73"/>
      <c r="BO249" s="73"/>
      <c r="BP249" s="73"/>
      <c r="BQ249" s="73"/>
      <c r="BR249" s="73"/>
      <c r="BS249" s="73"/>
      <c r="BT249" s="73"/>
      <c r="BU249" s="73"/>
      <c r="BV249" s="73"/>
      <c r="BW249" s="73"/>
      <c r="BX249" s="73"/>
      <c r="BY249" s="73"/>
      <c r="BZ249" s="73"/>
      <c r="CA249" s="73"/>
      <c r="CB249" s="73"/>
      <c r="CC249" s="73"/>
      <c r="CD249" s="73"/>
      <c r="CE249" s="73"/>
      <c r="CF249" s="73"/>
      <c r="CG249" s="73"/>
      <c r="CH249" s="73"/>
      <c r="CI249" s="73"/>
      <c r="CJ249" s="73"/>
      <c r="CK249" s="73"/>
    </row>
    <row r="250" spans="1:89" ht="12.6" customHeight="1" x14ac:dyDescent="0.2">
      <c r="B250" s="2"/>
      <c r="E250" s="164"/>
      <c r="G250" s="33"/>
      <c r="Y250" s="313"/>
    </row>
    <row r="251" spans="1:89" ht="12.6" customHeight="1" x14ac:dyDescent="0.2">
      <c r="B251" s="2" t="str">
        <f>VLOOKUP(37,Textbausteine_Menu[],Hilfsgrössen!$D$2,FALSE)</f>
        <v>Konzern Schweiz</v>
      </c>
      <c r="C251" s="2"/>
      <c r="E251" s="164"/>
      <c r="T251" s="9"/>
      <c r="U251" s="9"/>
      <c r="V251" s="9"/>
      <c r="W251" s="9"/>
      <c r="X251" s="307"/>
      <c r="Y251" s="314"/>
    </row>
    <row r="252" spans="1:89" ht="12.6" customHeight="1" x14ac:dyDescent="0.2">
      <c r="C252" s="48" t="str">
        <f>VLOOKUP(181,Textbausteine_102[],Hilfsgrössen!$D$2,FALSE)</f>
        <v>Männer</v>
      </c>
      <c r="D252" s="16" t="str">
        <f>VLOOKUP(37,Textbausteine_102[],Hilfsgrössen!$D$2,FALSE)</f>
        <v>% der Personen</v>
      </c>
      <c r="E252" s="164" t="s">
        <v>95</v>
      </c>
      <c r="F252" s="9" t="s">
        <v>91</v>
      </c>
      <c r="H252" s="11">
        <v>51.7</v>
      </c>
      <c r="I252" s="11">
        <v>51.4</v>
      </c>
      <c r="J252" s="11">
        <v>51.3</v>
      </c>
      <c r="K252" s="11">
        <v>51.1</v>
      </c>
      <c r="L252" s="11">
        <v>51.5</v>
      </c>
      <c r="M252" s="11">
        <v>51.5</v>
      </c>
      <c r="N252" s="11">
        <v>52.1</v>
      </c>
      <c r="O252" s="9">
        <v>52.3</v>
      </c>
      <c r="P252" s="9">
        <v>51.6</v>
      </c>
      <c r="Q252" s="9">
        <v>51.5</v>
      </c>
      <c r="R252" s="9">
        <v>51.3</v>
      </c>
      <c r="S252" s="9">
        <v>51.551615634518697</v>
      </c>
      <c r="T252" s="9">
        <v>51.9</v>
      </c>
      <c r="U252" s="9">
        <v>52.5</v>
      </c>
      <c r="V252" s="9">
        <v>53.74</v>
      </c>
      <c r="W252" s="9">
        <v>55</v>
      </c>
      <c r="X252" s="307">
        <v>55.911088597341099</v>
      </c>
      <c r="Y252" s="314">
        <v>57.0318263123051</v>
      </c>
      <c r="Z252" s="335"/>
    </row>
    <row r="253" spans="1:89" ht="12.6" customHeight="1" x14ac:dyDescent="0.2">
      <c r="C253" s="52" t="str">
        <f>VLOOKUP(182,Textbausteine_102[],Hilfsgrössen!$D$2,FALSE)</f>
        <v>Frauen</v>
      </c>
      <c r="D253" s="16" t="str">
        <f>VLOOKUP(37,Textbausteine_102[],Hilfsgrössen!$D$2,FALSE)</f>
        <v>% der Personen</v>
      </c>
      <c r="E253" s="164" t="s">
        <v>95</v>
      </c>
      <c r="F253" s="9" t="s">
        <v>91</v>
      </c>
      <c r="H253" s="11">
        <v>48.3</v>
      </c>
      <c r="I253" s="11">
        <v>48.6</v>
      </c>
      <c r="J253" s="11">
        <v>48.7</v>
      </c>
      <c r="K253" s="11">
        <v>48.9</v>
      </c>
      <c r="L253" s="11">
        <v>48.5</v>
      </c>
      <c r="M253" s="11">
        <v>48.5</v>
      </c>
      <c r="N253" s="11">
        <v>47.9</v>
      </c>
      <c r="O253" s="9">
        <v>47.7</v>
      </c>
      <c r="P253" s="9">
        <v>48.4</v>
      </c>
      <c r="Q253" s="9">
        <v>48.5</v>
      </c>
      <c r="R253" s="9">
        <v>48.7</v>
      </c>
      <c r="S253" s="9">
        <v>48.448384365481303</v>
      </c>
      <c r="T253" s="9">
        <v>48.1</v>
      </c>
      <c r="U253" s="9">
        <v>47.5</v>
      </c>
      <c r="V253" s="9">
        <v>46.26</v>
      </c>
      <c r="W253" s="9">
        <v>45</v>
      </c>
      <c r="X253" s="307">
        <v>44.088911402658873</v>
      </c>
      <c r="Y253" s="314">
        <v>42.968173687694886</v>
      </c>
      <c r="Z253" s="335"/>
    </row>
    <row r="254" spans="1:89" ht="12.6" customHeight="1" x14ac:dyDescent="0.2">
      <c r="C254" s="48" t="str">
        <f>VLOOKUP(181,Textbausteine_102[],Hilfsgrössen!$D$2,FALSE)</f>
        <v>Männer</v>
      </c>
      <c r="D254" s="16" t="str">
        <f>VLOOKUP(36,Textbausteine_102[],Hilfsgrössen!$D$2,FALSE)</f>
        <v>% der Personaleinheiten</v>
      </c>
      <c r="E254" s="164" t="s">
        <v>94</v>
      </c>
      <c r="F254" s="9" t="s">
        <v>91</v>
      </c>
      <c r="H254" s="11">
        <v>63.3</v>
      </c>
      <c r="I254" s="11">
        <v>63.1</v>
      </c>
      <c r="J254" s="11">
        <v>62.9</v>
      </c>
      <c r="K254" s="11">
        <v>62.6</v>
      </c>
      <c r="L254" s="11">
        <v>62.2</v>
      </c>
      <c r="M254" s="11">
        <v>61.7</v>
      </c>
      <c r="N254" s="11">
        <v>61.2</v>
      </c>
      <c r="O254" s="9">
        <v>60.8</v>
      </c>
      <c r="P254" s="9">
        <v>60.1</v>
      </c>
      <c r="Q254" s="9">
        <v>59.9</v>
      </c>
      <c r="R254" s="9">
        <v>59.8</v>
      </c>
      <c r="S254" s="9">
        <v>59.819801842260503</v>
      </c>
      <c r="T254" s="9">
        <v>60.1</v>
      </c>
      <c r="U254" s="9">
        <v>60.7</v>
      </c>
      <c r="V254" s="9">
        <v>61.54</v>
      </c>
      <c r="W254" s="9">
        <v>62.6</v>
      </c>
      <c r="X254" s="307">
        <v>63.460750610605679</v>
      </c>
      <c r="Y254" s="314">
        <v>64.307454456485303</v>
      </c>
      <c r="Z254" s="335"/>
    </row>
    <row r="255" spans="1:89" ht="12.6" customHeight="1" x14ac:dyDescent="0.2">
      <c r="C255" s="52" t="str">
        <f>VLOOKUP(182,Textbausteine_102[],Hilfsgrössen!$D$2,FALSE)</f>
        <v>Frauen</v>
      </c>
      <c r="D255" s="16" t="str">
        <f>VLOOKUP(36,Textbausteine_102[],Hilfsgrössen!$D$2,FALSE)</f>
        <v>% der Personaleinheiten</v>
      </c>
      <c r="E255" s="164" t="s">
        <v>94</v>
      </c>
      <c r="F255" s="9" t="s">
        <v>91</v>
      </c>
      <c r="H255" s="11">
        <v>36.700000000000003</v>
      </c>
      <c r="I255" s="11">
        <v>36.9</v>
      </c>
      <c r="J255" s="11">
        <v>37.1</v>
      </c>
      <c r="K255" s="11">
        <v>37.4</v>
      </c>
      <c r="L255" s="11">
        <v>37.799999999999997</v>
      </c>
      <c r="M255" s="11">
        <v>38.299999999999997</v>
      </c>
      <c r="N255" s="11">
        <v>38.799999999999997</v>
      </c>
      <c r="O255" s="9">
        <v>39.200000000000003</v>
      </c>
      <c r="P255" s="9">
        <v>39.9</v>
      </c>
      <c r="Q255" s="9">
        <v>40.1</v>
      </c>
      <c r="R255" s="9">
        <v>40.200000000000003</v>
      </c>
      <c r="S255" s="9">
        <v>40.180198157739603</v>
      </c>
      <c r="T255" s="9">
        <v>39.9</v>
      </c>
      <c r="U255" s="9">
        <v>39.299999999999997</v>
      </c>
      <c r="V255" s="9">
        <v>38.46</v>
      </c>
      <c r="W255" s="9">
        <v>37.4</v>
      </c>
      <c r="X255" s="307">
        <v>36.539249389394321</v>
      </c>
      <c r="Y255" s="314">
        <v>35.692545543514683</v>
      </c>
      <c r="Z255" s="335"/>
    </row>
    <row r="256" spans="1:89" ht="12.6" customHeight="1" x14ac:dyDescent="0.2">
      <c r="C256" s="13"/>
      <c r="E256" s="165"/>
      <c r="F256" s="31"/>
      <c r="H256" s="99"/>
      <c r="I256" s="99"/>
      <c r="J256" s="99"/>
      <c r="K256" s="99"/>
      <c r="L256" s="99"/>
      <c r="M256" s="99"/>
      <c r="N256" s="11"/>
      <c r="O256" s="11"/>
      <c r="R256" s="99"/>
      <c r="S256" s="99"/>
      <c r="T256" s="9"/>
      <c r="U256" s="9"/>
      <c r="V256" s="9"/>
      <c r="W256" s="9"/>
      <c r="X256" s="307"/>
      <c r="Y256" s="9"/>
    </row>
    <row r="257" spans="1:89" ht="12.6" customHeight="1" x14ac:dyDescent="0.25">
      <c r="B257" s="18" t="str">
        <f>VLOOKUP(298,Textbausteine_102[],Hilfsgrössen!$D$2,FALSE)</f>
        <v>1) ohne Lernpersonal</v>
      </c>
      <c r="C257" s="13"/>
      <c r="E257" s="165"/>
      <c r="F257" s="31"/>
      <c r="H257" s="99"/>
      <c r="I257" s="99"/>
      <c r="J257" s="99"/>
      <c r="K257" s="99"/>
      <c r="L257" s="99"/>
      <c r="M257" s="99"/>
      <c r="N257" s="11"/>
      <c r="O257" s="11"/>
      <c r="R257" s="99"/>
      <c r="S257" s="99"/>
      <c r="T257" s="9"/>
      <c r="U257" s="9"/>
      <c r="V257" s="9"/>
      <c r="W257" s="9"/>
      <c r="X257" s="307"/>
      <c r="Y257" s="9"/>
      <c r="Z257" s="335"/>
    </row>
    <row r="258" spans="1:89" ht="12.6" customHeight="1" x14ac:dyDescent="0.25">
      <c r="B258" s="18" t="str">
        <f>VLOOKUP(299,Textbausteine_102[],Hilfsgrössen!$D$2,FALSE)</f>
        <v>2) Eine Personaleinheit entspricht einer Vollzeitstelle.</v>
      </c>
      <c r="C258" s="13"/>
      <c r="E258" s="165"/>
      <c r="F258" s="31"/>
      <c r="H258" s="99"/>
      <c r="I258" s="99"/>
      <c r="J258" s="99"/>
      <c r="K258" s="99"/>
      <c r="L258" s="99"/>
      <c r="M258" s="99"/>
      <c r="N258" s="11"/>
      <c r="O258" s="11"/>
      <c r="R258" s="99"/>
      <c r="S258" s="99"/>
      <c r="T258" s="9"/>
      <c r="U258" s="9"/>
      <c r="V258" s="9"/>
      <c r="W258" s="9"/>
      <c r="X258" s="307"/>
      <c r="Y258" s="9"/>
      <c r="Z258" s="335"/>
    </row>
    <row r="259" spans="1:89" ht="12.6" customHeight="1" x14ac:dyDescent="0.25">
      <c r="B259" s="18" t="str">
        <f>VLOOKUP(300,Textbausteine_102[],Hilfsgrössen!$D$2,FALSE)</f>
        <v>3) Jahresdurchschnittswerte</v>
      </c>
      <c r="C259" s="13"/>
      <c r="E259" s="165"/>
      <c r="F259" s="31"/>
      <c r="H259" s="99"/>
      <c r="I259" s="99"/>
      <c r="J259" s="99"/>
      <c r="K259" s="99"/>
      <c r="L259" s="99"/>
      <c r="M259" s="99"/>
      <c r="N259" s="11"/>
      <c r="O259" s="11"/>
      <c r="R259" s="99"/>
      <c r="S259" s="99"/>
      <c r="T259" s="9"/>
      <c r="U259" s="9"/>
      <c r="V259" s="9"/>
      <c r="W259" s="9"/>
      <c r="X259" s="307"/>
      <c r="Y259" s="9"/>
      <c r="Z259" s="335"/>
    </row>
    <row r="260" spans="1:89" ht="12.6" customHeight="1" x14ac:dyDescent="0.2">
      <c r="C260" s="13"/>
      <c r="H260" s="99"/>
      <c r="I260" s="99"/>
      <c r="J260" s="99"/>
      <c r="K260" s="99"/>
      <c r="L260" s="99"/>
      <c r="M260" s="99"/>
      <c r="N260" s="11"/>
      <c r="O260" s="11"/>
      <c r="R260" s="99"/>
      <c r="S260" s="99"/>
      <c r="T260" s="9"/>
      <c r="U260" s="9"/>
      <c r="V260" s="9"/>
      <c r="W260" s="9"/>
      <c r="X260" s="307"/>
      <c r="Y260" s="9"/>
    </row>
    <row r="261" spans="1:89" ht="12.6" customHeight="1" x14ac:dyDescent="0.2">
      <c r="C261" s="13"/>
      <c r="H261" s="99"/>
      <c r="I261" s="99"/>
      <c r="J261" s="99"/>
      <c r="K261" s="99"/>
      <c r="L261" s="99"/>
      <c r="M261" s="99"/>
      <c r="N261" s="11"/>
      <c r="O261" s="11"/>
      <c r="R261" s="99"/>
      <c r="S261" s="99"/>
      <c r="T261" s="9"/>
      <c r="U261" s="9"/>
      <c r="V261" s="9"/>
      <c r="W261" s="9"/>
      <c r="X261" s="307"/>
      <c r="Y261" s="9"/>
    </row>
    <row r="262" spans="1:89" s="42" customFormat="1" ht="12.6" customHeight="1" x14ac:dyDescent="0.2">
      <c r="A262" s="43" t="s">
        <v>27</v>
      </c>
      <c r="B262" s="404" t="str">
        <f>$C$14</f>
        <v>Teilzeit</v>
      </c>
      <c r="C262" s="404" t="str">
        <f>VLOOKUP(53,Textbausteine_102[],Hilfsgrössen!$D$2,FALSE)</f>
        <v>Anteil an Bilanzsumme</v>
      </c>
      <c r="D262" s="78" t="str">
        <f>VLOOKUP(32,Textbausteine_Menu[],Hilfsgrössen!$D$2,FALSE)</f>
        <v>Einheit</v>
      </c>
      <c r="E262" s="163" t="str">
        <f>VLOOKUP(33,Textbausteine_Menu[],Hilfsgrössen!$D$2,FALSE)</f>
        <v>Fussnoten</v>
      </c>
      <c r="F262" s="28" t="str">
        <f>VLOOKUP(34,Textbausteine_Menu[],Hilfsgrössen!$D$2,FALSE)</f>
        <v>GRI</v>
      </c>
      <c r="G262" s="34"/>
      <c r="H262" s="72">
        <v>2004</v>
      </c>
      <c r="I262" s="72">
        <v>2005</v>
      </c>
      <c r="J262" s="72">
        <v>2006</v>
      </c>
      <c r="K262" s="72">
        <v>2007</v>
      </c>
      <c r="L262" s="72">
        <v>2008</v>
      </c>
      <c r="M262" s="72">
        <v>2009</v>
      </c>
      <c r="N262" s="72">
        <v>2010</v>
      </c>
      <c r="O262" s="72">
        <v>2011</v>
      </c>
      <c r="P262" s="72">
        <v>2012</v>
      </c>
      <c r="Q262" s="72">
        <v>2013</v>
      </c>
      <c r="R262" s="72">
        <v>2014</v>
      </c>
      <c r="S262" s="72">
        <v>2015</v>
      </c>
      <c r="T262" s="74">
        <v>2016</v>
      </c>
      <c r="U262" s="74">
        <v>2017</v>
      </c>
      <c r="V262" s="74">
        <v>2018</v>
      </c>
      <c r="W262" s="74">
        <v>2019</v>
      </c>
      <c r="X262" s="273">
        <v>2020</v>
      </c>
      <c r="Y262" s="147">
        <v>2021</v>
      </c>
      <c r="Z262" s="361"/>
      <c r="AA262" s="73"/>
      <c r="AB262" s="73"/>
      <c r="AC262" s="73"/>
      <c r="AD262" s="73"/>
      <c r="AE262" s="73"/>
      <c r="AF262" s="73"/>
      <c r="AG262" s="73"/>
      <c r="AH262" s="73"/>
      <c r="AI262" s="73"/>
      <c r="AJ262" s="73"/>
      <c r="AK262" s="73"/>
      <c r="AL262" s="73"/>
      <c r="AM262" s="73"/>
      <c r="AN262" s="73"/>
      <c r="AO262" s="73"/>
      <c r="AP262" s="73"/>
      <c r="AQ262" s="73"/>
      <c r="AR262" s="73"/>
      <c r="AS262" s="73"/>
      <c r="AT262" s="73"/>
      <c r="AU262" s="73"/>
      <c r="AV262" s="73"/>
      <c r="AW262" s="73"/>
      <c r="AX262" s="73"/>
      <c r="AY262" s="73"/>
      <c r="AZ262" s="73"/>
      <c r="BA262" s="73"/>
      <c r="BB262" s="73"/>
      <c r="BC262" s="73"/>
      <c r="BD262" s="73"/>
      <c r="BE262" s="73"/>
      <c r="BF262" s="73"/>
      <c r="BG262" s="73"/>
      <c r="BH262" s="73"/>
      <c r="BI262" s="73"/>
      <c r="BJ262" s="73"/>
      <c r="BK262" s="73"/>
      <c r="BL262" s="73"/>
      <c r="BM262" s="73"/>
      <c r="BN262" s="73"/>
      <c r="BO262" s="73"/>
      <c r="BP262" s="73"/>
      <c r="BQ262" s="73"/>
      <c r="BR262" s="73"/>
      <c r="BS262" s="73"/>
      <c r="BT262" s="73"/>
      <c r="BU262" s="73"/>
      <c r="BV262" s="73"/>
      <c r="BW262" s="73"/>
      <c r="BX262" s="73"/>
      <c r="BY262" s="73"/>
      <c r="BZ262" s="73"/>
      <c r="CA262" s="73"/>
      <c r="CB262" s="73"/>
      <c r="CC262" s="73"/>
      <c r="CD262" s="73"/>
      <c r="CE262" s="73"/>
      <c r="CF262" s="73"/>
      <c r="CG262" s="73"/>
      <c r="CH262" s="73"/>
      <c r="CI262" s="73"/>
      <c r="CJ262" s="73"/>
      <c r="CK262" s="73"/>
    </row>
    <row r="263" spans="1:89" s="42" customFormat="1" ht="12.6" customHeight="1" x14ac:dyDescent="0.2">
      <c r="A263" s="57"/>
      <c r="B263" s="404" t="str">
        <f>VLOOKUP(53,Textbausteine_102[],Hilfsgrössen!$D$2,FALSE)</f>
        <v>Anteil an Bilanzsumme</v>
      </c>
      <c r="C263" s="404" t="str">
        <f>VLOOKUP(53,Textbausteine_102[],Hilfsgrössen!$D$2,FALSE)</f>
        <v>Anteil an Bilanzsumme</v>
      </c>
      <c r="D263" s="78"/>
      <c r="E263" s="162"/>
      <c r="F263" s="9"/>
      <c r="G263" s="34"/>
      <c r="H263" s="72"/>
      <c r="I263" s="72"/>
      <c r="J263" s="72"/>
      <c r="K263" s="72"/>
      <c r="L263" s="72"/>
      <c r="M263" s="72"/>
      <c r="N263" s="72"/>
      <c r="O263" s="72"/>
      <c r="P263" s="72"/>
      <c r="Q263" s="72"/>
      <c r="R263" s="72"/>
      <c r="S263" s="72"/>
      <c r="T263" s="74"/>
      <c r="U263" s="74"/>
      <c r="V263" s="74"/>
      <c r="W263" s="74"/>
      <c r="X263" s="273"/>
      <c r="Y263" s="147"/>
      <c r="Z263" s="361"/>
      <c r="AA263" s="73"/>
      <c r="AB263" s="73"/>
      <c r="AC263" s="73"/>
      <c r="AD263" s="73"/>
      <c r="AE263" s="73"/>
      <c r="AF263" s="73"/>
      <c r="AG263" s="73"/>
      <c r="AH263" s="73"/>
      <c r="AI263" s="73"/>
      <c r="AJ263" s="73"/>
      <c r="AK263" s="73"/>
      <c r="AL263" s="73"/>
      <c r="AM263" s="73"/>
      <c r="AN263" s="73"/>
      <c r="AO263" s="73"/>
      <c r="AP263" s="73"/>
      <c r="AQ263" s="73"/>
      <c r="AR263" s="73"/>
      <c r="AS263" s="73"/>
      <c r="AT263" s="73"/>
      <c r="AU263" s="73"/>
      <c r="AV263" s="73"/>
      <c r="AW263" s="73"/>
      <c r="AX263" s="73"/>
      <c r="AY263" s="73"/>
      <c r="AZ263" s="73"/>
      <c r="BA263" s="73"/>
      <c r="BB263" s="73"/>
      <c r="BC263" s="73"/>
      <c r="BD263" s="73"/>
      <c r="BE263" s="73"/>
      <c r="BF263" s="73"/>
      <c r="BG263" s="73"/>
      <c r="BH263" s="73"/>
      <c r="BI263" s="73"/>
      <c r="BJ263" s="73"/>
      <c r="BK263" s="73"/>
      <c r="BL263" s="73"/>
      <c r="BM263" s="73"/>
      <c r="BN263" s="73"/>
      <c r="BO263" s="73"/>
      <c r="BP263" s="73"/>
      <c r="BQ263" s="73"/>
      <c r="BR263" s="73"/>
      <c r="BS263" s="73"/>
      <c r="BT263" s="73"/>
      <c r="BU263" s="73"/>
      <c r="BV263" s="73"/>
      <c r="BW263" s="73"/>
      <c r="BX263" s="73"/>
      <c r="BY263" s="73"/>
      <c r="BZ263" s="73"/>
      <c r="CA263" s="73"/>
      <c r="CB263" s="73"/>
      <c r="CC263" s="73"/>
      <c r="CD263" s="73"/>
      <c r="CE263" s="73"/>
      <c r="CF263" s="73"/>
      <c r="CG263" s="73"/>
      <c r="CH263" s="73"/>
      <c r="CI263" s="73"/>
      <c r="CJ263" s="73"/>
      <c r="CK263" s="73"/>
    </row>
    <row r="264" spans="1:89" ht="12.6" customHeight="1" x14ac:dyDescent="0.2">
      <c r="C264" s="2"/>
      <c r="D264" s="2"/>
      <c r="Y264" s="313"/>
    </row>
    <row r="265" spans="1:89" ht="12.6" customHeight="1" x14ac:dyDescent="0.2">
      <c r="B265" s="2" t="str">
        <f>VLOOKUP(37,Textbausteine_Menu[],Hilfsgrössen!$D$2,FALSE)</f>
        <v>Konzern Schweiz</v>
      </c>
      <c r="C265" s="2"/>
      <c r="D265" s="2"/>
      <c r="Y265" s="313"/>
    </row>
    <row r="266" spans="1:89" ht="12.6" customHeight="1" x14ac:dyDescent="0.2">
      <c r="C266" s="2" t="str">
        <f>VLOOKUP(191,Textbausteine_102[],Hilfsgrössen!$D$2,FALSE)</f>
        <v>Beschäftigungsgrad</v>
      </c>
      <c r="Y266" s="313"/>
    </row>
    <row r="267" spans="1:89" ht="12.6" customHeight="1" x14ac:dyDescent="0.2">
      <c r="C267" s="13" t="str">
        <f>VLOOKUP(192,Textbausteine_102[],Hilfsgrössen!$D$2,FALSE)</f>
        <v>Beschäftigungsgrad unter 50%, gesamt</v>
      </c>
      <c r="D267" s="1" t="str">
        <f>VLOOKUP(21,Textbausteine_102[],Hilfsgrössen!$D$2,FALSE)</f>
        <v>%</v>
      </c>
      <c r="E267" s="162" t="s">
        <v>94</v>
      </c>
      <c r="F267" s="9" t="s">
        <v>91</v>
      </c>
      <c r="H267" s="107">
        <v>23.5</v>
      </c>
      <c r="I267" s="110">
        <v>23.8</v>
      </c>
      <c r="J267" s="110">
        <v>23.4</v>
      </c>
      <c r="K267" s="110">
        <v>23.3</v>
      </c>
      <c r="L267" s="107">
        <v>22.8</v>
      </c>
      <c r="M267" s="107">
        <v>20.9</v>
      </c>
      <c r="N267" s="9">
        <v>26.4</v>
      </c>
      <c r="O267" s="9">
        <v>26.2</v>
      </c>
      <c r="P267" s="9">
        <v>25.4</v>
      </c>
      <c r="Q267" s="9">
        <v>25.2</v>
      </c>
      <c r="R267" s="9">
        <v>24.5</v>
      </c>
      <c r="S267" s="9">
        <v>24</v>
      </c>
      <c r="T267" s="9">
        <v>23.4</v>
      </c>
      <c r="U267" s="9">
        <v>23</v>
      </c>
      <c r="V267" s="9">
        <v>22</v>
      </c>
      <c r="W267" s="9">
        <v>20.7</v>
      </c>
      <c r="X267" s="307">
        <v>19.208270067920832</v>
      </c>
      <c r="Y267" s="313">
        <v>18.18740472941159</v>
      </c>
      <c r="Z267" s="335"/>
    </row>
    <row r="268" spans="1:89" ht="12.6" customHeight="1" x14ac:dyDescent="0.2">
      <c r="C268" s="13" t="str">
        <f>VLOOKUP(193,Textbausteine_102[],Hilfsgrössen!$D$2,FALSE)</f>
        <v>Beschäftigungsgrad 50% bis 89%, gesamt</v>
      </c>
      <c r="D268" s="1" t="str">
        <f>VLOOKUP(21,Textbausteine_102[],Hilfsgrössen!$D$2,FALSE)</f>
        <v>%</v>
      </c>
      <c r="E268" s="162" t="s">
        <v>94</v>
      </c>
      <c r="F268" s="9" t="s">
        <v>91</v>
      </c>
      <c r="H268" s="107">
        <v>18.100000000000001</v>
      </c>
      <c r="I268" s="110">
        <v>18.899999999999999</v>
      </c>
      <c r="J268" s="110">
        <v>19.899999999999999</v>
      </c>
      <c r="K268" s="110">
        <v>20.6</v>
      </c>
      <c r="L268" s="107">
        <v>21.5</v>
      </c>
      <c r="M268" s="107">
        <v>22.9</v>
      </c>
      <c r="N268" s="9">
        <v>21.6</v>
      </c>
      <c r="O268" s="9">
        <v>22.4</v>
      </c>
      <c r="P268" s="9">
        <v>23.2</v>
      </c>
      <c r="Q268" s="9">
        <v>23.9</v>
      </c>
      <c r="R268" s="9">
        <v>24.5</v>
      </c>
      <c r="S268" s="9">
        <v>24.8</v>
      </c>
      <c r="T268" s="9">
        <v>25.3</v>
      </c>
      <c r="U268" s="9">
        <v>25.6</v>
      </c>
      <c r="V268" s="9">
        <v>25.6</v>
      </c>
      <c r="W268" s="9">
        <v>26</v>
      </c>
      <c r="X268" s="307">
        <v>26.128631863596151</v>
      </c>
      <c r="Y268" s="313">
        <v>25.666993878740001</v>
      </c>
      <c r="Z268" s="335"/>
    </row>
    <row r="269" spans="1:89" ht="12.6" customHeight="1" x14ac:dyDescent="0.2">
      <c r="C269" s="13" t="str">
        <f>VLOOKUP(194,Textbausteine_102[],Hilfsgrössen!$D$2,FALSE)</f>
        <v>Beschäftigungsgrad ab 90% (Vollzeit), gesamt</v>
      </c>
      <c r="D269" s="1" t="str">
        <f>VLOOKUP(21,Textbausteine_102[],Hilfsgrössen!$D$2,FALSE)</f>
        <v>%</v>
      </c>
      <c r="E269" s="162" t="s">
        <v>94</v>
      </c>
      <c r="F269" s="9" t="s">
        <v>91</v>
      </c>
      <c r="H269" s="107">
        <v>58.4</v>
      </c>
      <c r="I269" s="107">
        <v>57.3</v>
      </c>
      <c r="J269" s="107">
        <v>56.7</v>
      </c>
      <c r="K269" s="107">
        <v>56.099999999999994</v>
      </c>
      <c r="L269" s="107">
        <v>55.7</v>
      </c>
      <c r="M269" s="107">
        <v>56.2</v>
      </c>
      <c r="N269" s="9">
        <v>52</v>
      </c>
      <c r="O269" s="9">
        <v>51.4</v>
      </c>
      <c r="P269" s="9">
        <v>51.4</v>
      </c>
      <c r="Q269" s="9">
        <v>50.9</v>
      </c>
      <c r="R269" s="9">
        <v>50.9</v>
      </c>
      <c r="S269" s="9">
        <v>51.2</v>
      </c>
      <c r="T269" s="9">
        <v>51.2</v>
      </c>
      <c r="U269" s="9">
        <v>51.4</v>
      </c>
      <c r="V269" s="9">
        <v>52.4</v>
      </c>
      <c r="W269" s="9">
        <v>53.3</v>
      </c>
      <c r="X269" s="307">
        <v>54.663098068483073</v>
      </c>
      <c r="Y269" s="313">
        <v>56.145601391848423</v>
      </c>
      <c r="Z269" s="335"/>
    </row>
    <row r="270" spans="1:89" ht="12.6" customHeight="1" x14ac:dyDescent="0.2">
      <c r="H270" s="110"/>
      <c r="I270" s="110"/>
      <c r="J270" s="110"/>
      <c r="K270" s="110"/>
      <c r="L270" s="107"/>
      <c r="M270" s="107"/>
      <c r="T270" s="9"/>
      <c r="U270" s="9"/>
      <c r="V270" s="9"/>
      <c r="W270" s="9"/>
      <c r="X270" s="307"/>
      <c r="Y270" s="313"/>
    </row>
    <row r="271" spans="1:89" ht="12.6" customHeight="1" x14ac:dyDescent="0.2">
      <c r="C271" s="2" t="str">
        <f>VLOOKUP(195,Textbausteine_102[],Hilfsgrössen!$D$2,FALSE)</f>
        <v>Beschäftigungsgrad Männer</v>
      </c>
      <c r="F271" s="9" t="s">
        <v>91</v>
      </c>
      <c r="H271" s="110"/>
      <c r="I271" s="110"/>
      <c r="J271" s="110"/>
      <c r="K271" s="110"/>
      <c r="L271" s="107"/>
      <c r="M271" s="107"/>
      <c r="T271" s="9"/>
      <c r="U271" s="9"/>
      <c r="V271" s="9"/>
      <c r="W271" s="9"/>
      <c r="X271" s="307"/>
      <c r="Y271" s="313"/>
    </row>
    <row r="272" spans="1:89" ht="12.6" customHeight="1" x14ac:dyDescent="0.2">
      <c r="C272" s="13" t="str">
        <f>VLOOKUP(196,Textbausteine_102[],Hilfsgrössen!$D$2,FALSE)</f>
        <v>Beschäftigungsgrad unter 50%, Männer</v>
      </c>
      <c r="D272" s="1" t="str">
        <f>VLOOKUP(21,Textbausteine_102[],Hilfsgrössen!$D$2,FALSE)</f>
        <v>%</v>
      </c>
      <c r="E272" s="162" t="s">
        <v>94</v>
      </c>
      <c r="F272" s="9" t="s">
        <v>91</v>
      </c>
      <c r="H272" s="133">
        <v>6.6</v>
      </c>
      <c r="I272" s="139">
        <v>6.9</v>
      </c>
      <c r="J272" s="139">
        <v>6.6</v>
      </c>
      <c r="K272" s="139">
        <v>6.8</v>
      </c>
      <c r="L272" s="133">
        <v>7.7</v>
      </c>
      <c r="M272" s="133">
        <v>7.2</v>
      </c>
      <c r="N272" s="9">
        <v>15.2</v>
      </c>
      <c r="O272" s="9">
        <v>16.3</v>
      </c>
      <c r="P272" s="9">
        <v>16.3</v>
      </c>
      <c r="Q272" s="9">
        <v>16.7</v>
      </c>
      <c r="R272" s="9">
        <v>16.5</v>
      </c>
      <c r="S272" s="9">
        <v>16.5</v>
      </c>
      <c r="T272" s="9">
        <v>16.3</v>
      </c>
      <c r="U272" s="9">
        <v>15.9</v>
      </c>
      <c r="V272" s="9">
        <v>15.4</v>
      </c>
      <c r="W272" s="9">
        <v>14.5</v>
      </c>
      <c r="X272" s="307">
        <v>13.547124725112953</v>
      </c>
      <c r="Y272" s="313">
        <v>12.995691790486417</v>
      </c>
      <c r="Z272" s="335"/>
    </row>
    <row r="273" spans="2:26" ht="12.6" customHeight="1" x14ac:dyDescent="0.2">
      <c r="C273" s="13" t="str">
        <f>VLOOKUP(197,Textbausteine_102[],Hilfsgrössen!$D$2,FALSE)</f>
        <v>Beschäftigungsgrad 50% bis 89%, Männer</v>
      </c>
      <c r="D273" s="1" t="str">
        <f>VLOOKUP(21,Textbausteine_102[],Hilfsgrössen!$D$2,FALSE)</f>
        <v>%</v>
      </c>
      <c r="E273" s="162" t="s">
        <v>94</v>
      </c>
      <c r="F273" s="9" t="s">
        <v>91</v>
      </c>
      <c r="H273" s="133">
        <v>7.1</v>
      </c>
      <c r="I273" s="139">
        <v>7.6</v>
      </c>
      <c r="J273" s="139">
        <v>8.1999999999999993</v>
      </c>
      <c r="K273" s="139">
        <v>9</v>
      </c>
      <c r="L273" s="133">
        <v>9.8000000000000007</v>
      </c>
      <c r="M273" s="133">
        <v>10.1</v>
      </c>
      <c r="N273" s="304">
        <v>9.3000000000000007</v>
      </c>
      <c r="O273" s="304">
        <v>9.8000000000000007</v>
      </c>
      <c r="P273" s="9">
        <v>10.3</v>
      </c>
      <c r="Q273" s="9">
        <v>10.8</v>
      </c>
      <c r="R273" s="9">
        <v>11.4</v>
      </c>
      <c r="S273" s="9">
        <v>11.3</v>
      </c>
      <c r="T273" s="9">
        <v>11.7</v>
      </c>
      <c r="U273" s="9">
        <v>12</v>
      </c>
      <c r="V273" s="9">
        <v>12.2</v>
      </c>
      <c r="W273" s="9">
        <v>12.7</v>
      </c>
      <c r="X273" s="307">
        <v>12.973974476632421</v>
      </c>
      <c r="Y273" s="313">
        <v>12.931119895318357</v>
      </c>
      <c r="Z273" s="335"/>
    </row>
    <row r="274" spans="2:26" ht="12.6" customHeight="1" x14ac:dyDescent="0.2">
      <c r="C274" s="13" t="str">
        <f>VLOOKUP(198,Textbausteine_102[],Hilfsgrössen!$D$2,FALSE)</f>
        <v>Beschäftigungsgrad ab 90% (Vollzeit), Männer</v>
      </c>
      <c r="D274" s="1" t="str">
        <f>VLOOKUP(21,Textbausteine_102[],Hilfsgrössen!$D$2,FALSE)</f>
        <v>%</v>
      </c>
      <c r="E274" s="162" t="s">
        <v>94</v>
      </c>
      <c r="F274" s="9" t="s">
        <v>91</v>
      </c>
      <c r="H274" s="107">
        <v>86.3</v>
      </c>
      <c r="I274" s="107">
        <v>85.5</v>
      </c>
      <c r="J274" s="107">
        <v>85.2</v>
      </c>
      <c r="K274" s="107">
        <v>84.2</v>
      </c>
      <c r="L274" s="107">
        <v>82.5</v>
      </c>
      <c r="M274" s="107">
        <v>82.7</v>
      </c>
      <c r="N274" s="9">
        <v>75.5</v>
      </c>
      <c r="O274" s="9">
        <v>73.900000000000006</v>
      </c>
      <c r="P274" s="9">
        <v>73.400000000000006</v>
      </c>
      <c r="Q274" s="9">
        <v>72.5</v>
      </c>
      <c r="R274" s="9">
        <v>72.099999999999994</v>
      </c>
      <c r="S274" s="9">
        <v>72.2</v>
      </c>
      <c r="T274" s="9">
        <v>72</v>
      </c>
      <c r="U274" s="9">
        <v>72</v>
      </c>
      <c r="V274" s="9">
        <v>72.400000000000006</v>
      </c>
      <c r="W274" s="9">
        <v>72.8</v>
      </c>
      <c r="X274" s="307">
        <v>73.478900798254472</v>
      </c>
      <c r="Y274" s="313">
        <v>74.073188314195107</v>
      </c>
      <c r="Z274" s="335"/>
    </row>
    <row r="275" spans="2:26" ht="12.6" customHeight="1" x14ac:dyDescent="0.2">
      <c r="H275" s="110"/>
      <c r="I275" s="110"/>
      <c r="J275" s="110"/>
      <c r="K275" s="110"/>
      <c r="L275" s="107"/>
      <c r="M275" s="107"/>
      <c r="T275" s="9"/>
      <c r="U275" s="9"/>
      <c r="V275" s="9"/>
      <c r="W275" s="9"/>
      <c r="X275" s="307"/>
      <c r="Y275" s="313"/>
    </row>
    <row r="276" spans="2:26" ht="12.6" customHeight="1" x14ac:dyDescent="0.2">
      <c r="C276" s="2" t="str">
        <f>VLOOKUP(199,Textbausteine_102[],Hilfsgrössen!$D$2,FALSE)</f>
        <v>Beschäftigungsgrad Frauen</v>
      </c>
      <c r="F276" s="9" t="s">
        <v>91</v>
      </c>
      <c r="H276" s="110"/>
      <c r="I276" s="110"/>
      <c r="J276" s="110"/>
      <c r="K276" s="110"/>
      <c r="L276" s="107"/>
      <c r="M276" s="107"/>
      <c r="T276" s="9"/>
      <c r="U276" s="9"/>
      <c r="V276" s="9"/>
      <c r="W276" s="9"/>
      <c r="X276" s="307"/>
      <c r="Y276" s="313"/>
    </row>
    <row r="277" spans="2:26" ht="12.6" customHeight="1" x14ac:dyDescent="0.2">
      <c r="C277" s="13" t="str">
        <f>VLOOKUP(200,Textbausteine_102[],Hilfsgrössen!$D$2,FALSE)</f>
        <v>Beschäftigungsgrad unter 50%, Frauen</v>
      </c>
      <c r="D277" s="1" t="str">
        <f>VLOOKUP(21,Textbausteine_102[],Hilfsgrössen!$D$2,FALSE)</f>
        <v>%</v>
      </c>
      <c r="E277" s="162" t="s">
        <v>94</v>
      </c>
      <c r="F277" s="9" t="s">
        <v>91</v>
      </c>
      <c r="H277" s="107">
        <v>41.6</v>
      </c>
      <c r="I277" s="110">
        <v>41.7</v>
      </c>
      <c r="J277" s="110">
        <v>41.1</v>
      </c>
      <c r="K277" s="110">
        <v>40.6</v>
      </c>
      <c r="L277" s="107">
        <v>38.700000000000003</v>
      </c>
      <c r="M277" s="107">
        <v>35.5</v>
      </c>
      <c r="N277" s="9">
        <v>38.4</v>
      </c>
      <c r="O277" s="9">
        <v>37.1</v>
      </c>
      <c r="P277" s="9">
        <v>35.6</v>
      </c>
      <c r="Q277" s="9">
        <v>34.6</v>
      </c>
      <c r="R277" s="9">
        <v>33.5</v>
      </c>
      <c r="S277" s="9">
        <v>32.4</v>
      </c>
      <c r="T277" s="9">
        <v>31.6</v>
      </c>
      <c r="U277" s="9">
        <v>31.3</v>
      </c>
      <c r="V277" s="9">
        <v>30.2</v>
      </c>
      <c r="W277" s="9">
        <v>28.6</v>
      </c>
      <c r="X277" s="307">
        <v>26.762542053310607</v>
      </c>
      <c r="Y277" s="313">
        <v>25.475403703472839</v>
      </c>
      <c r="Z277" s="335"/>
    </row>
    <row r="278" spans="2:26" ht="12.6" customHeight="1" x14ac:dyDescent="0.2">
      <c r="C278" s="13" t="str">
        <f>VLOOKUP(201,Textbausteine_102[],Hilfsgrössen!$D$2,FALSE)</f>
        <v>Beschäftigungsgrad 50% bis 89%, Frauen</v>
      </c>
      <c r="D278" s="1" t="str">
        <f>VLOOKUP(21,Textbausteine_102[],Hilfsgrössen!$D$2,FALSE)</f>
        <v>%</v>
      </c>
      <c r="E278" s="162" t="s">
        <v>94</v>
      </c>
      <c r="F278" s="9" t="s">
        <v>91</v>
      </c>
      <c r="H278" s="107">
        <v>30</v>
      </c>
      <c r="I278" s="110">
        <v>30.8</v>
      </c>
      <c r="J278" s="110">
        <v>32.1</v>
      </c>
      <c r="K278" s="110">
        <v>32.700000000000003</v>
      </c>
      <c r="L278" s="107">
        <v>33.9</v>
      </c>
      <c r="M278" s="107">
        <v>36.5</v>
      </c>
      <c r="N278" s="9">
        <v>35.1</v>
      </c>
      <c r="O278" s="9">
        <v>36.1</v>
      </c>
      <c r="P278" s="9">
        <v>37.4</v>
      </c>
      <c r="Q278" s="9">
        <v>38.4</v>
      </c>
      <c r="R278" s="9">
        <v>39.299999999999997</v>
      </c>
      <c r="S278" s="9">
        <v>40</v>
      </c>
      <c r="T278" s="9">
        <v>41</v>
      </c>
      <c r="U278" s="9">
        <v>41.6</v>
      </c>
      <c r="V278" s="9">
        <v>42.1</v>
      </c>
      <c r="W278" s="9">
        <v>42.94</v>
      </c>
      <c r="X278" s="307">
        <v>43.682298791082751</v>
      </c>
      <c r="Y278" s="313">
        <v>43.545300637388756</v>
      </c>
      <c r="Z278" s="335"/>
    </row>
    <row r="279" spans="2:26" ht="12.6" customHeight="1" x14ac:dyDescent="0.2">
      <c r="C279" s="13" t="str">
        <f>VLOOKUP(202,Textbausteine_102[],Hilfsgrössen!$D$2,FALSE)</f>
        <v>Beschäftigungsgrad ab 90% (Vollzeit), Frauen</v>
      </c>
      <c r="D279" s="1" t="str">
        <f>VLOOKUP(21,Textbausteine_102[],Hilfsgrössen!$D$2,FALSE)</f>
        <v>%</v>
      </c>
      <c r="E279" s="162" t="s">
        <v>94</v>
      </c>
      <c r="F279" s="9" t="s">
        <v>91</v>
      </c>
      <c r="H279" s="107">
        <v>28.400000000000006</v>
      </c>
      <c r="I279" s="107">
        <v>27.5</v>
      </c>
      <c r="J279" s="107">
        <v>26.799999999999997</v>
      </c>
      <c r="K279" s="107">
        <v>26.699999999999989</v>
      </c>
      <c r="L279" s="107">
        <v>27.400000000000006</v>
      </c>
      <c r="M279" s="107">
        <v>28</v>
      </c>
      <c r="N279" s="9">
        <v>26.5</v>
      </c>
      <c r="O279" s="9">
        <v>26.8</v>
      </c>
      <c r="P279" s="9">
        <v>27</v>
      </c>
      <c r="Q279" s="9">
        <v>27</v>
      </c>
      <c r="R279" s="9">
        <v>27.2</v>
      </c>
      <c r="S279" s="9">
        <v>27.6</v>
      </c>
      <c r="T279" s="9">
        <v>27.4</v>
      </c>
      <c r="U279" s="9">
        <v>27.1</v>
      </c>
      <c r="V279" s="9">
        <v>27.7</v>
      </c>
      <c r="W279" s="9">
        <v>28.4</v>
      </c>
      <c r="X279" s="307">
        <v>29.555159155606418</v>
      </c>
      <c r="Y279" s="313">
        <v>30.979295659138618</v>
      </c>
      <c r="Z279" s="335"/>
    </row>
    <row r="280" spans="2:26" ht="12.6" customHeight="1" x14ac:dyDescent="0.2">
      <c r="H280" s="110"/>
      <c r="I280" s="110"/>
      <c r="J280" s="110"/>
      <c r="K280" s="110"/>
      <c r="L280" s="107"/>
      <c r="M280" s="107"/>
      <c r="T280" s="9"/>
      <c r="U280" s="9"/>
      <c r="V280" s="9"/>
      <c r="W280" s="9"/>
      <c r="X280" s="307"/>
      <c r="Y280" s="313"/>
    </row>
    <row r="281" spans="2:26" ht="12.6" customHeight="1" x14ac:dyDescent="0.2">
      <c r="C281" s="2" t="str">
        <f>VLOOKUP(203,Textbausteine_102[],Hilfsgrössen!$D$2,FALSE)</f>
        <v>Beschäftigungsgrad Kader</v>
      </c>
      <c r="E281" s="9"/>
      <c r="F281" s="9" t="s">
        <v>91</v>
      </c>
      <c r="H281" s="110"/>
      <c r="I281" s="110"/>
      <c r="J281" s="110"/>
      <c r="K281" s="110"/>
      <c r="L281" s="107"/>
      <c r="M281" s="110"/>
      <c r="T281" s="9"/>
      <c r="U281" s="9"/>
      <c r="V281" s="9"/>
      <c r="W281" s="9"/>
      <c r="X281" s="307"/>
      <c r="Y281" s="313"/>
    </row>
    <row r="282" spans="2:26" ht="12.6" customHeight="1" x14ac:dyDescent="0.2">
      <c r="C282" s="13" t="str">
        <f>VLOOKUP(204,Textbausteine_102[],Hilfsgrössen!$D$2,FALSE)</f>
        <v>Beschäftigungsgrad unter 90% (Teilzeit), Kader</v>
      </c>
      <c r="D282" s="1" t="str">
        <f>VLOOKUP(21,Textbausteine_102[],Hilfsgrössen!$D$2,FALSE)</f>
        <v>%</v>
      </c>
      <c r="E282" s="9" t="s">
        <v>96</v>
      </c>
      <c r="F282" s="9" t="s">
        <v>91</v>
      </c>
      <c r="H282" s="102" t="s">
        <v>30</v>
      </c>
      <c r="I282" s="102" t="s">
        <v>30</v>
      </c>
      <c r="J282" s="102" t="s">
        <v>30</v>
      </c>
      <c r="K282" s="102" t="s">
        <v>30</v>
      </c>
      <c r="L282" s="234">
        <v>7.4321837240937825</v>
      </c>
      <c r="M282" s="234">
        <v>7.9040128065017621</v>
      </c>
      <c r="N282" s="220">
        <v>7.5500428422476169</v>
      </c>
      <c r="O282" s="220">
        <v>7.8</v>
      </c>
      <c r="P282" s="220">
        <v>7.6</v>
      </c>
      <c r="Q282" s="220">
        <v>7.8</v>
      </c>
      <c r="R282" s="220">
        <v>8.4</v>
      </c>
      <c r="S282" s="220">
        <v>8.6999999999999993</v>
      </c>
      <c r="T282" s="9">
        <v>11.9</v>
      </c>
      <c r="U282" s="9">
        <v>12.4</v>
      </c>
      <c r="V282" s="9">
        <v>12.2</v>
      </c>
      <c r="W282" s="9">
        <v>12.8</v>
      </c>
      <c r="X282" s="307">
        <v>12.936866672575265</v>
      </c>
      <c r="Y282" s="313">
        <v>13.697335253871071</v>
      </c>
      <c r="Z282" s="335"/>
    </row>
    <row r="283" spans="2:26" ht="12.6" customHeight="1" x14ac:dyDescent="0.2">
      <c r="C283" s="13" t="str">
        <f>VLOOKUP(205,Textbausteine_102[],Hilfsgrössen!$D$2,FALSE)</f>
        <v>Beschäftigungsgrad unter 90% (Teilzeit), Kader, Männer</v>
      </c>
      <c r="D283" s="1" t="str">
        <f>VLOOKUP(21,Textbausteine_102[],Hilfsgrössen!$D$2,FALSE)</f>
        <v>%</v>
      </c>
      <c r="E283" s="9" t="s">
        <v>96</v>
      </c>
      <c r="F283" s="9" t="s">
        <v>91</v>
      </c>
      <c r="H283" s="102" t="s">
        <v>30</v>
      </c>
      <c r="I283" s="102" t="s">
        <v>30</v>
      </c>
      <c r="J283" s="102" t="s">
        <v>30</v>
      </c>
      <c r="K283" s="102" t="s">
        <v>30</v>
      </c>
      <c r="L283" s="234">
        <v>3.7338018888644844</v>
      </c>
      <c r="M283" s="234">
        <v>3.7744993505612312</v>
      </c>
      <c r="N283" s="220">
        <v>3.2079841416262682</v>
      </c>
      <c r="O283" s="220">
        <v>3.2753661087866108</v>
      </c>
      <c r="P283" s="220">
        <v>3.6</v>
      </c>
      <c r="Q283" s="220">
        <v>3.6</v>
      </c>
      <c r="R283" s="220">
        <v>3.7</v>
      </c>
      <c r="S283" s="220">
        <v>3.8</v>
      </c>
      <c r="T283" s="220">
        <v>5.8</v>
      </c>
      <c r="U283" s="220">
        <v>6.4</v>
      </c>
      <c r="V283" s="220">
        <v>6.6</v>
      </c>
      <c r="W283" s="220">
        <v>7.2</v>
      </c>
      <c r="X283" s="278">
        <v>7.5256383523211925</v>
      </c>
      <c r="Y283" s="365">
        <v>8.1999999999999993</v>
      </c>
      <c r="Z283" s="335"/>
    </row>
    <row r="284" spans="2:26" ht="12.6" customHeight="1" x14ac:dyDescent="0.2">
      <c r="C284" s="13" t="str">
        <f>VLOOKUP(206,Textbausteine_102[],Hilfsgrössen!$D$2,FALSE)</f>
        <v>Beschäftigungsgrad unter 90% (Teilzeit), Kader, Frauen</v>
      </c>
      <c r="D284" s="1" t="str">
        <f>VLOOKUP(21,Textbausteine_102[],Hilfsgrössen!$D$2,FALSE)</f>
        <v>%</v>
      </c>
      <c r="E284" s="9" t="s">
        <v>96</v>
      </c>
      <c r="F284" s="9" t="s">
        <v>91</v>
      </c>
      <c r="H284" s="102" t="s">
        <v>30</v>
      </c>
      <c r="I284" s="102" t="s">
        <v>30</v>
      </c>
      <c r="J284" s="102" t="s">
        <v>30</v>
      </c>
      <c r="K284" s="102" t="s">
        <v>30</v>
      </c>
      <c r="L284" s="107">
        <v>22.319591803677003</v>
      </c>
      <c r="M284" s="107">
        <v>23.55229687266198</v>
      </c>
      <c r="N284" s="9">
        <v>23.28856624319419</v>
      </c>
      <c r="O284" s="9">
        <v>23.5</v>
      </c>
      <c r="P284" s="9">
        <v>22.1</v>
      </c>
      <c r="Q284" s="9">
        <v>22.2</v>
      </c>
      <c r="R284" s="9">
        <v>24.6</v>
      </c>
      <c r="S284" s="9">
        <v>25.3</v>
      </c>
      <c r="T284" s="9">
        <v>31.9</v>
      </c>
      <c r="U284" s="9">
        <v>32.1</v>
      </c>
      <c r="V284" s="9">
        <v>31</v>
      </c>
      <c r="W284" s="9">
        <v>31.2</v>
      </c>
      <c r="X284" s="307">
        <v>32.037470725995334</v>
      </c>
      <c r="Y284" s="313">
        <v>32.553683515031324</v>
      </c>
      <c r="Z284" s="335"/>
    </row>
    <row r="286" spans="2:26" ht="12.6" customHeight="1" x14ac:dyDescent="0.25">
      <c r="B286" s="302" t="str">
        <f>VLOOKUP(308,Textbausteine_102[],Hilfsgrössen!$D$2,FALSE)</f>
        <v>1) ohne Lernpersonal</v>
      </c>
      <c r="Z286" s="335"/>
    </row>
    <row r="287" spans="2:26" ht="12.6" customHeight="1" x14ac:dyDescent="0.25">
      <c r="B287" s="302" t="str">
        <f>VLOOKUP(309,Textbausteine_102[],Hilfsgrössen!$D$2,FALSE)</f>
        <v>2)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Z287" s="335"/>
    </row>
    <row r="288" spans="2:26" ht="12.6" customHeight="1" x14ac:dyDescent="0.25">
      <c r="B288" s="302" t="str">
        <f>VLOOKUP(310,Textbausteine_102[],Hilfsgrössen!$D$2,FALSE)</f>
        <v>3) Jahresdurchschnittswerte</v>
      </c>
      <c r="Z288" s="335"/>
    </row>
    <row r="289" spans="1:89" ht="12.6" customHeight="1" x14ac:dyDescent="0.25">
      <c r="B289" s="302" t="str">
        <f>VLOOKUP(311,Textbausteine_102[],Hilfsgrössen!$D$2,FALSE)</f>
        <v>4) Kader sind Mitarbeitende mit Leitungs-, Spezialisten- und höheren Sachbearbeitungsfunktionen.</v>
      </c>
      <c r="G289" s="33"/>
      <c r="Z289" s="335"/>
    </row>
    <row r="290" spans="1:89" ht="12.6" customHeight="1" x14ac:dyDescent="0.2">
      <c r="G290" s="33"/>
    </row>
    <row r="292" spans="1:89" s="42" customFormat="1" ht="12.6" customHeight="1" x14ac:dyDescent="0.2">
      <c r="A292" s="43" t="s">
        <v>27</v>
      </c>
      <c r="B292" s="405" t="str">
        <f>$C$15</f>
        <v>Anstellungsverhältnisse</v>
      </c>
      <c r="C292" s="405"/>
      <c r="D292" s="78" t="str">
        <f>VLOOKUP(32,Textbausteine_Menu[],Hilfsgrössen!$D$2,FALSE)</f>
        <v>Einheit</v>
      </c>
      <c r="E292" s="163" t="str">
        <f>VLOOKUP(33,Textbausteine_Menu[],Hilfsgrössen!$D$2,FALSE)</f>
        <v>Fussnoten</v>
      </c>
      <c r="F292" s="28" t="str">
        <f>VLOOKUP(34,Textbausteine_Menu[],Hilfsgrössen!$D$2,FALSE)</f>
        <v>GRI</v>
      </c>
      <c r="G292" s="33"/>
      <c r="H292" s="72">
        <v>2004</v>
      </c>
      <c r="I292" s="72">
        <v>2005</v>
      </c>
      <c r="J292" s="72">
        <v>2006</v>
      </c>
      <c r="K292" s="72">
        <v>2007</v>
      </c>
      <c r="L292" s="72">
        <v>2008</v>
      </c>
      <c r="M292" s="72">
        <v>2009</v>
      </c>
      <c r="N292" s="72">
        <v>2010</v>
      </c>
      <c r="O292" s="72">
        <v>2011</v>
      </c>
      <c r="P292" s="72">
        <v>2012</v>
      </c>
      <c r="Q292" s="72">
        <v>2013</v>
      </c>
      <c r="R292" s="72">
        <v>2014</v>
      </c>
      <c r="S292" s="72">
        <v>2015</v>
      </c>
      <c r="T292" s="74">
        <v>2016</v>
      </c>
      <c r="U292" s="74">
        <v>2017</v>
      </c>
      <c r="V292" s="74">
        <v>2018</v>
      </c>
      <c r="W292" s="74">
        <v>2019</v>
      </c>
      <c r="X292" s="273">
        <v>2020</v>
      </c>
      <c r="Y292" s="147">
        <v>2021</v>
      </c>
      <c r="Z292" s="361"/>
      <c r="AA292" s="73"/>
      <c r="AB292" s="73"/>
      <c r="AC292" s="73"/>
      <c r="AD292" s="73"/>
      <c r="AE292" s="73"/>
      <c r="AF292" s="73"/>
      <c r="AG292" s="73"/>
      <c r="AH292" s="73"/>
      <c r="AI292" s="73"/>
      <c r="AJ292" s="73"/>
      <c r="AK292" s="73"/>
      <c r="AL292" s="73"/>
      <c r="AM292" s="73"/>
      <c r="AN292" s="73"/>
      <c r="AO292" s="73"/>
      <c r="AP292" s="73"/>
      <c r="AQ292" s="73"/>
      <c r="AR292" s="73"/>
      <c r="AS292" s="73"/>
      <c r="AT292" s="73"/>
      <c r="AU292" s="73"/>
      <c r="AV292" s="73"/>
      <c r="AW292" s="73"/>
      <c r="AX292" s="73"/>
      <c r="AY292" s="73"/>
      <c r="AZ292" s="73"/>
      <c r="BA292" s="73"/>
      <c r="BB292" s="73"/>
      <c r="BC292" s="73"/>
      <c r="BD292" s="73"/>
      <c r="BE292" s="73"/>
      <c r="BF292" s="73"/>
      <c r="BG292" s="73"/>
      <c r="BH292" s="73"/>
      <c r="BI292" s="73"/>
      <c r="BJ292" s="73"/>
      <c r="BK292" s="73"/>
      <c r="BL292" s="73"/>
      <c r="BM292" s="73"/>
      <c r="BN292" s="73"/>
      <c r="BO292" s="73"/>
      <c r="BP292" s="73"/>
      <c r="BQ292" s="73"/>
      <c r="BR292" s="73"/>
      <c r="BS292" s="73"/>
      <c r="BT292" s="73"/>
      <c r="BU292" s="73"/>
      <c r="BV292" s="73"/>
      <c r="BW292" s="73"/>
      <c r="BX292" s="73"/>
      <c r="BY292" s="73"/>
      <c r="BZ292" s="73"/>
      <c r="CA292" s="73"/>
      <c r="CB292" s="73"/>
      <c r="CC292" s="73"/>
      <c r="CD292" s="73"/>
      <c r="CE292" s="73"/>
      <c r="CF292" s="73"/>
      <c r="CG292" s="73"/>
      <c r="CH292" s="73"/>
      <c r="CI292" s="73"/>
      <c r="CJ292" s="73"/>
      <c r="CK292" s="73"/>
    </row>
    <row r="293" spans="1:89" s="42" customFormat="1" ht="12.6" customHeight="1" x14ac:dyDescent="0.2">
      <c r="A293" s="57"/>
      <c r="B293" s="405"/>
      <c r="C293" s="405"/>
      <c r="D293" s="78"/>
      <c r="E293" s="162"/>
      <c r="F293" s="9"/>
      <c r="G293" s="34"/>
      <c r="H293" s="72"/>
      <c r="I293" s="72"/>
      <c r="J293" s="72"/>
      <c r="K293" s="72"/>
      <c r="L293" s="72"/>
      <c r="M293" s="72"/>
      <c r="N293" s="72"/>
      <c r="O293" s="72"/>
      <c r="P293" s="72"/>
      <c r="Q293" s="72"/>
      <c r="R293" s="72"/>
      <c r="S293" s="72"/>
      <c r="T293" s="74"/>
      <c r="U293" s="74"/>
      <c r="V293" s="74"/>
      <c r="W293" s="74"/>
      <c r="X293" s="273"/>
      <c r="Y293" s="147"/>
      <c r="Z293" s="361"/>
      <c r="AA293" s="73"/>
      <c r="AB293" s="73"/>
      <c r="AC293" s="73"/>
      <c r="AD293" s="73"/>
      <c r="AE293" s="73"/>
      <c r="AF293" s="73"/>
      <c r="AG293" s="73"/>
      <c r="AH293" s="73"/>
      <c r="AI293" s="73"/>
      <c r="AJ293" s="73"/>
      <c r="AK293" s="73"/>
      <c r="AL293" s="73"/>
      <c r="AM293" s="73"/>
      <c r="AN293" s="73"/>
      <c r="AO293" s="73"/>
      <c r="AP293" s="73"/>
      <c r="AQ293" s="73"/>
      <c r="AR293" s="73"/>
      <c r="AS293" s="73"/>
      <c r="AT293" s="73"/>
      <c r="AU293" s="73"/>
      <c r="AV293" s="73"/>
      <c r="AW293" s="73"/>
      <c r="AX293" s="73"/>
      <c r="AY293" s="73"/>
      <c r="AZ293" s="73"/>
      <c r="BA293" s="73"/>
      <c r="BB293" s="73"/>
      <c r="BC293" s="73"/>
      <c r="BD293" s="73"/>
      <c r="BE293" s="73"/>
      <c r="BF293" s="73"/>
      <c r="BG293" s="73"/>
      <c r="BH293" s="73"/>
      <c r="BI293" s="73"/>
      <c r="BJ293" s="73"/>
      <c r="BK293" s="73"/>
      <c r="BL293" s="73"/>
      <c r="BM293" s="73"/>
      <c r="BN293" s="73"/>
      <c r="BO293" s="73"/>
      <c r="BP293" s="73"/>
      <c r="BQ293" s="73"/>
      <c r="BR293" s="73"/>
      <c r="BS293" s="73"/>
      <c r="BT293" s="73"/>
      <c r="BU293" s="73"/>
      <c r="BV293" s="73"/>
      <c r="BW293" s="73"/>
      <c r="BX293" s="73"/>
      <c r="BY293" s="73"/>
      <c r="BZ293" s="73"/>
      <c r="CA293" s="73"/>
      <c r="CB293" s="73"/>
      <c r="CC293" s="73"/>
      <c r="CD293" s="73"/>
      <c r="CE293" s="73"/>
      <c r="CF293" s="73"/>
      <c r="CG293" s="73"/>
      <c r="CH293" s="73"/>
      <c r="CI293" s="73"/>
      <c r="CJ293" s="73"/>
      <c r="CK293" s="73"/>
    </row>
    <row r="294" spans="1:89" ht="12.6" customHeight="1" x14ac:dyDescent="0.2">
      <c r="C294" s="2"/>
      <c r="Y294" s="313"/>
    </row>
    <row r="295" spans="1:89" ht="12.6" customHeight="1" x14ac:dyDescent="0.2">
      <c r="B295" s="2" t="str">
        <f>VLOOKUP(37,Textbausteine_Menu[],Hilfsgrössen!$D$2,FALSE)</f>
        <v>Konzern Schweiz</v>
      </c>
      <c r="D295" s="2"/>
      <c r="E295" s="162" t="s">
        <v>97</v>
      </c>
      <c r="H295" s="7"/>
      <c r="I295" s="7"/>
      <c r="J295" s="7"/>
      <c r="K295" s="7"/>
      <c r="L295" s="7"/>
      <c r="M295" s="7"/>
      <c r="N295" s="7"/>
      <c r="O295" s="7"/>
      <c r="P295" s="7"/>
      <c r="Q295" s="7"/>
      <c r="R295" s="7"/>
      <c r="S295" s="7"/>
      <c r="T295" s="7"/>
      <c r="U295" s="7"/>
      <c r="V295" s="7"/>
      <c r="W295" s="7"/>
      <c r="X295" s="271"/>
      <c r="Y295" s="148"/>
    </row>
    <row r="296" spans="1:89" ht="12.6" customHeight="1" x14ac:dyDescent="0.2">
      <c r="C296" s="16" t="str">
        <f>VLOOKUP(211,Textbausteine_102[],Hilfsgrössen!$D$2,FALSE)</f>
        <v>Bundespersonalgesetz</v>
      </c>
      <c r="D296" s="16"/>
      <c r="T296" s="7"/>
      <c r="U296" s="7"/>
      <c r="V296" s="7"/>
      <c r="W296" s="7"/>
      <c r="X296" s="271"/>
      <c r="Y296" s="148"/>
    </row>
    <row r="297" spans="1:89" ht="12.6" customHeight="1" x14ac:dyDescent="0.2">
      <c r="C297" s="17" t="str">
        <f>VLOOKUP(212,Textbausteine_102[],Hilfsgrössen!$D$2,FALSE)</f>
        <v>GAV Post</v>
      </c>
      <c r="D297" s="16" t="str">
        <f>VLOOKUP(36,Textbausteine_102[],Hilfsgrössen!$D$2,FALSE)</f>
        <v>% der Personaleinheiten</v>
      </c>
      <c r="E297" s="162" t="s">
        <v>98</v>
      </c>
      <c r="F297" s="9" t="s">
        <v>99</v>
      </c>
      <c r="G297" s="37"/>
      <c r="H297" s="16">
        <v>88.9</v>
      </c>
      <c r="I297" s="16">
        <v>86.6</v>
      </c>
      <c r="J297" s="16">
        <v>80.599999999999994</v>
      </c>
      <c r="K297" s="16">
        <v>74.066146516605684</v>
      </c>
      <c r="L297" s="11">
        <v>71.2</v>
      </c>
      <c r="M297" s="11">
        <v>66.5</v>
      </c>
      <c r="N297" s="88">
        <v>65.400000000000006</v>
      </c>
      <c r="O297" s="9">
        <v>64.3</v>
      </c>
      <c r="P297" s="9">
        <v>62.7</v>
      </c>
      <c r="Q297" s="9">
        <v>62.8</v>
      </c>
      <c r="R297" s="9">
        <v>61.1</v>
      </c>
      <c r="S297" s="9">
        <v>61.5</v>
      </c>
      <c r="T297" s="88">
        <v>53.8</v>
      </c>
      <c r="U297" s="88">
        <v>53.2</v>
      </c>
      <c r="V297" s="88">
        <v>52.9</v>
      </c>
      <c r="W297" s="88">
        <v>53.7</v>
      </c>
      <c r="X297" s="282">
        <v>53.988992022345869</v>
      </c>
      <c r="Y297" s="313">
        <v>53.870908340161591</v>
      </c>
    </row>
    <row r="298" spans="1:89" ht="12.6" customHeight="1" x14ac:dyDescent="0.2">
      <c r="C298" s="16" t="str">
        <f>VLOOKUP(213,Textbausteine_102[],Hilfsgrössen!$D$2,FALSE)</f>
        <v>Obligationenrecht</v>
      </c>
      <c r="D298" s="16"/>
      <c r="G298" s="37"/>
      <c r="H298" s="16"/>
      <c r="I298" s="16"/>
      <c r="J298" s="16"/>
      <c r="K298" s="16"/>
      <c r="L298" s="11"/>
      <c r="M298" s="11"/>
      <c r="N298" s="100"/>
      <c r="T298" s="88"/>
      <c r="U298" s="88"/>
      <c r="V298" s="88"/>
      <c r="W298" s="88"/>
      <c r="X298" s="282"/>
      <c r="Y298" s="313"/>
    </row>
    <row r="299" spans="1:89" ht="12.6" customHeight="1" x14ac:dyDescent="0.2">
      <c r="C299" s="13" t="str">
        <f>VLOOKUP(214,Textbausteine_102[],Hilfsgrössen!$D$2,FALSE)</f>
        <v>GAV Aushilfen</v>
      </c>
      <c r="D299" s="16" t="str">
        <f>VLOOKUP(36,Textbausteine_102[],Hilfsgrössen!$D$2,FALSE)</f>
        <v>% der Personaleinheiten</v>
      </c>
      <c r="E299" s="162" t="s">
        <v>98</v>
      </c>
      <c r="F299" s="9" t="s">
        <v>99</v>
      </c>
      <c r="G299" s="37"/>
      <c r="H299" s="238">
        <v>2.1</v>
      </c>
      <c r="I299" s="238">
        <v>2.2999999999999998</v>
      </c>
      <c r="J299" s="238">
        <v>1.9</v>
      </c>
      <c r="K299" s="238">
        <v>1.8550484476052385</v>
      </c>
      <c r="L299" s="232">
        <v>2.2000000000000002</v>
      </c>
      <c r="M299" s="232">
        <v>1.5</v>
      </c>
      <c r="N299" s="239">
        <v>1.673</v>
      </c>
      <c r="O299" s="220">
        <v>2.9</v>
      </c>
      <c r="P299" s="220">
        <v>3.04</v>
      </c>
      <c r="Q299" s="220">
        <v>2.96435438158939</v>
      </c>
      <c r="R299" s="220">
        <v>2.7</v>
      </c>
      <c r="S299" s="220">
        <v>2.2999999999999998</v>
      </c>
      <c r="T299" s="229">
        <v>0.4</v>
      </c>
      <c r="U299" s="229">
        <v>0.4</v>
      </c>
      <c r="V299" s="229">
        <v>0.39</v>
      </c>
      <c r="W299" s="229">
        <v>0.4</v>
      </c>
      <c r="X299" s="283">
        <v>0.46973765834098841</v>
      </c>
      <c r="Y299" s="368">
        <v>0.46973765834098841</v>
      </c>
    </row>
    <row r="300" spans="1:89" ht="12.6" customHeight="1" x14ac:dyDescent="0.2">
      <c r="C300" s="13" t="str">
        <f>VLOOKUP(215,Textbausteine_102[],Hilfsgrössen!$D$2,FALSE)</f>
        <v>GAV Konzerngesellschaften</v>
      </c>
      <c r="D300" s="16" t="str">
        <f>VLOOKUP(36,Textbausteine_102[],Hilfsgrössen!$D$2,FALSE)</f>
        <v>% der Personaleinheiten</v>
      </c>
      <c r="E300" s="162" t="s">
        <v>100</v>
      </c>
      <c r="F300" s="9" t="s">
        <v>99</v>
      </c>
      <c r="H300" s="238">
        <v>0</v>
      </c>
      <c r="I300" s="238">
        <v>0.1</v>
      </c>
      <c r="J300" s="238">
        <v>1.8</v>
      </c>
      <c r="K300" s="238">
        <v>3.1715344426799232</v>
      </c>
      <c r="L300" s="232">
        <v>5.5</v>
      </c>
      <c r="M300" s="232">
        <v>7.3</v>
      </c>
      <c r="N300" s="220">
        <v>9.93</v>
      </c>
      <c r="O300" s="220">
        <v>10</v>
      </c>
      <c r="P300" s="220">
        <v>9.8569999999999993</v>
      </c>
      <c r="Q300" s="220">
        <v>9.4610747080829807</v>
      </c>
      <c r="R300" s="220">
        <v>10.7</v>
      </c>
      <c r="S300" s="220">
        <v>10.6</v>
      </c>
      <c r="T300" s="229">
        <v>17.100000000000001</v>
      </c>
      <c r="U300" s="229">
        <v>17.8</v>
      </c>
      <c r="V300" s="229">
        <v>17.899999999999999</v>
      </c>
      <c r="W300" s="229">
        <v>18.2</v>
      </c>
      <c r="X300" s="283">
        <v>18.485489176099186</v>
      </c>
      <c r="Y300" s="313">
        <v>17.552744449953266</v>
      </c>
    </row>
    <row r="301" spans="1:89" ht="12.6" customHeight="1" x14ac:dyDescent="0.2">
      <c r="C301" s="13" t="str">
        <f>VLOOKUP(216,Textbausteine_102[],Hilfsgrössen!$D$2,FALSE)</f>
        <v>Post CH AG</v>
      </c>
      <c r="D301" s="16" t="str">
        <f>VLOOKUP(36,Textbausteine_102[],Hilfsgrössen!$D$2,FALSE)</f>
        <v>% der Personaleinheiten</v>
      </c>
      <c r="E301" s="162" t="s">
        <v>101</v>
      </c>
      <c r="F301" s="9" t="s">
        <v>99</v>
      </c>
      <c r="H301" s="238">
        <v>1.2</v>
      </c>
      <c r="I301" s="238">
        <v>1.3</v>
      </c>
      <c r="J301" s="240">
        <v>1.3</v>
      </c>
      <c r="K301" s="240">
        <v>0.9942691431333287</v>
      </c>
      <c r="L301" s="232">
        <v>1.1000000000000001</v>
      </c>
      <c r="M301" s="232">
        <v>0.9</v>
      </c>
      <c r="N301" s="220">
        <v>0.9</v>
      </c>
      <c r="O301" s="220">
        <v>0.9</v>
      </c>
      <c r="P301" s="220">
        <v>1</v>
      </c>
      <c r="Q301" s="220">
        <v>0.67205740089936905</v>
      </c>
      <c r="R301" s="220">
        <v>0.8</v>
      </c>
      <c r="S301" s="220">
        <v>1</v>
      </c>
      <c r="T301" s="229">
        <v>4.4000000000000004</v>
      </c>
      <c r="U301" s="229">
        <v>4.5999999999999996</v>
      </c>
      <c r="V301" s="229">
        <v>4.8</v>
      </c>
      <c r="W301" s="229">
        <v>5</v>
      </c>
      <c r="X301" s="283">
        <v>5.1744201889975203</v>
      </c>
      <c r="Y301" s="368">
        <v>4.9000000000000004</v>
      </c>
    </row>
    <row r="302" spans="1:89" ht="12.6" customHeight="1" x14ac:dyDescent="0.2">
      <c r="C302" s="13" t="str">
        <f>VLOOKUP(217,Textbausteine_102[],Hilfsgrössen!$D$2,FALSE)</f>
        <v>PostFinance AG</v>
      </c>
      <c r="D302" s="16" t="str">
        <f>VLOOKUP(36,Textbausteine_102[],Hilfsgrössen!$D$2,FALSE)</f>
        <v>% der Personaleinheiten</v>
      </c>
      <c r="E302" s="162" t="s">
        <v>33</v>
      </c>
      <c r="F302" s="9" t="s">
        <v>99</v>
      </c>
      <c r="H302" s="233" t="s">
        <v>30</v>
      </c>
      <c r="I302" s="233" t="s">
        <v>30</v>
      </c>
      <c r="J302" s="233" t="s">
        <v>30</v>
      </c>
      <c r="K302" s="233" t="s">
        <v>30</v>
      </c>
      <c r="L302" s="233" t="s">
        <v>30</v>
      </c>
      <c r="M302" s="233" t="s">
        <v>30</v>
      </c>
      <c r="N302" s="227" t="s">
        <v>30</v>
      </c>
      <c r="O302" s="227" t="s">
        <v>30</v>
      </c>
      <c r="P302" s="231" t="s">
        <v>30</v>
      </c>
      <c r="Q302" s="220">
        <v>0.48265351623020802</v>
      </c>
      <c r="R302" s="220">
        <v>0.5</v>
      </c>
      <c r="S302" s="220">
        <v>0.5</v>
      </c>
      <c r="T302" s="229">
        <v>2.1</v>
      </c>
      <c r="U302" s="229">
        <v>2</v>
      </c>
      <c r="V302" s="229">
        <v>2.1</v>
      </c>
      <c r="W302" s="229">
        <v>2.2999999999999998</v>
      </c>
      <c r="X302" s="283">
        <v>2.5279376927761086</v>
      </c>
      <c r="Y302" s="368">
        <v>2.4</v>
      </c>
    </row>
    <row r="303" spans="1:89" ht="12.6" customHeight="1" x14ac:dyDescent="0.2">
      <c r="C303" s="13" t="str">
        <f>VLOOKUP(218,Textbausteine_102[],Hilfsgrössen!$D$2,FALSE)</f>
        <v>Konzerngesellschaften Schweiz</v>
      </c>
      <c r="D303" s="16" t="str">
        <f>VLOOKUP(36,Textbausteine_102[],Hilfsgrössen!$D$2,FALSE)</f>
        <v>% der Personaleinheiten</v>
      </c>
      <c r="E303" s="162" t="s">
        <v>98</v>
      </c>
      <c r="F303" s="9" t="s">
        <v>99</v>
      </c>
      <c r="H303" s="238">
        <v>5.0999999999999996</v>
      </c>
      <c r="I303" s="238">
        <v>6.4</v>
      </c>
      <c r="J303" s="240">
        <v>6.4</v>
      </c>
      <c r="K303" s="240">
        <v>7.1</v>
      </c>
      <c r="L303" s="232">
        <v>5.8</v>
      </c>
      <c r="M303" s="232">
        <v>8.1999999999999993</v>
      </c>
      <c r="N303" s="220">
        <v>6</v>
      </c>
      <c r="O303" s="220">
        <v>6.9</v>
      </c>
      <c r="P303" s="220">
        <v>8.6</v>
      </c>
      <c r="Q303" s="220">
        <v>8.2669597173411908</v>
      </c>
      <c r="R303" s="220">
        <v>7.2</v>
      </c>
      <c r="S303" s="220">
        <v>7.2</v>
      </c>
      <c r="T303" s="229">
        <v>5.5</v>
      </c>
      <c r="U303" s="229">
        <v>5.4</v>
      </c>
      <c r="V303" s="229">
        <v>4.0999999999999996</v>
      </c>
      <c r="W303" s="229">
        <v>4.4000000000000004</v>
      </c>
      <c r="X303" s="283">
        <v>4.4132194959215729</v>
      </c>
      <c r="Y303" s="368">
        <v>4.2</v>
      </c>
    </row>
    <row r="304" spans="1:89" ht="12.6" customHeight="1" x14ac:dyDescent="0.2">
      <c r="C304" s="1" t="str">
        <f>VLOOKUP(219,Textbausteine_102[],Hilfsgrössen!$D$2,FALSE)</f>
        <v>Ausländisches Arbeitsrecht</v>
      </c>
      <c r="D304" s="16" t="str">
        <f>VLOOKUP(36,Textbausteine_102[],Hilfsgrössen!$D$2,FALSE)</f>
        <v>% der Personaleinheiten</v>
      </c>
      <c r="E304" s="162" t="s">
        <v>98</v>
      </c>
      <c r="F304" s="9" t="s">
        <v>99</v>
      </c>
      <c r="H304" s="238">
        <v>2.7</v>
      </c>
      <c r="I304" s="238">
        <v>3.3</v>
      </c>
      <c r="J304" s="238">
        <v>8</v>
      </c>
      <c r="K304" s="238">
        <v>12.690740868604571</v>
      </c>
      <c r="L304" s="232">
        <v>14.2</v>
      </c>
      <c r="M304" s="232">
        <v>15.6</v>
      </c>
      <c r="N304" s="220">
        <v>16.100000000000001</v>
      </c>
      <c r="O304" s="220">
        <v>15</v>
      </c>
      <c r="P304" s="220">
        <v>14.8</v>
      </c>
      <c r="Q304" s="220">
        <v>15.4</v>
      </c>
      <c r="R304" s="220">
        <v>17.100000000000001</v>
      </c>
      <c r="S304" s="220">
        <v>16.899999999999999</v>
      </c>
      <c r="T304" s="229">
        <v>16.7</v>
      </c>
      <c r="U304" s="229">
        <v>16.600000000000001</v>
      </c>
      <c r="V304" s="229">
        <v>17.8</v>
      </c>
      <c r="W304" s="229">
        <v>16</v>
      </c>
      <c r="X304" s="283">
        <v>14.940203765518767</v>
      </c>
      <c r="Y304" s="313">
        <v>16.586359523817499</v>
      </c>
    </row>
    <row r="305" spans="1:89" ht="12.6" customHeight="1" x14ac:dyDescent="0.2">
      <c r="X305" s="282"/>
      <c r="Y305" s="313"/>
    </row>
    <row r="306" spans="1:89" ht="12.6" customHeight="1" x14ac:dyDescent="0.2">
      <c r="B306" s="2" t="str">
        <f>VLOOKUP(37,Textbausteine_Menu[],Hilfsgrössen!$D$2,FALSE)</f>
        <v>Konzern Schweiz</v>
      </c>
      <c r="D306" s="2"/>
      <c r="H306" s="7"/>
      <c r="I306" s="7"/>
      <c r="J306" s="7"/>
      <c r="K306" s="7"/>
      <c r="L306" s="7"/>
      <c r="M306" s="7"/>
      <c r="N306" s="7"/>
      <c r="O306" s="7"/>
      <c r="P306" s="7"/>
      <c r="Q306" s="7"/>
      <c r="R306" s="7"/>
      <c r="S306" s="7"/>
      <c r="T306" s="7"/>
      <c r="U306" s="7"/>
      <c r="V306" s="7"/>
      <c r="W306" s="7"/>
      <c r="X306" s="271"/>
      <c r="Y306" s="313"/>
    </row>
    <row r="307" spans="1:89" ht="12.6" customHeight="1" x14ac:dyDescent="0.2">
      <c r="C307" s="16" t="str">
        <f>VLOOKUP(209,Textbausteine_102[],Hilfsgrössen!$D$2,FALSE)</f>
        <v>Befristet</v>
      </c>
      <c r="D307" s="16" t="str">
        <f>VLOOKUP(37,Textbausteine_102[],Hilfsgrössen!$D$2,FALSE)</f>
        <v>% der Personen</v>
      </c>
      <c r="E307" s="162" t="s">
        <v>32</v>
      </c>
      <c r="F307" s="9" t="s">
        <v>91</v>
      </c>
      <c r="H307" s="9" t="s">
        <v>30</v>
      </c>
      <c r="I307" s="9" t="s">
        <v>30</v>
      </c>
      <c r="J307" s="9" t="s">
        <v>30</v>
      </c>
      <c r="K307" s="9" t="s">
        <v>30</v>
      </c>
      <c r="L307" s="9" t="s">
        <v>30</v>
      </c>
      <c r="M307" s="9" t="s">
        <v>30</v>
      </c>
      <c r="N307" s="9" t="s">
        <v>30</v>
      </c>
      <c r="O307" s="9" t="s">
        <v>30</v>
      </c>
      <c r="P307" s="9" t="s">
        <v>30</v>
      </c>
      <c r="Q307" s="9" t="s">
        <v>30</v>
      </c>
      <c r="R307" s="304">
        <v>1.2</v>
      </c>
      <c r="S307" s="304">
        <v>1.3</v>
      </c>
      <c r="T307" s="14">
        <v>1.2</v>
      </c>
      <c r="U307" s="14">
        <v>1.3</v>
      </c>
      <c r="V307" s="14">
        <v>1.84</v>
      </c>
      <c r="W307" s="14">
        <v>2.2000000000000002</v>
      </c>
      <c r="X307" s="284">
        <v>2.2855405108119431</v>
      </c>
      <c r="Y307" s="369">
        <v>1.7</v>
      </c>
    </row>
    <row r="308" spans="1:89" ht="12.6" customHeight="1" x14ac:dyDescent="0.2">
      <c r="C308" s="16" t="str">
        <f>VLOOKUP(210,Textbausteine_102[],Hilfsgrössen!$D$2,FALSE)</f>
        <v>Unbefristet</v>
      </c>
      <c r="D308" s="16" t="str">
        <f>VLOOKUP(37,Textbausteine_102[],Hilfsgrössen!$D$2,FALSE)</f>
        <v>% der Personen</v>
      </c>
      <c r="E308" s="162" t="s">
        <v>32</v>
      </c>
      <c r="F308" s="9" t="s">
        <v>91</v>
      </c>
      <c r="G308" s="37"/>
      <c r="H308" s="9" t="s">
        <v>30</v>
      </c>
      <c r="I308" s="9" t="s">
        <v>30</v>
      </c>
      <c r="J308" s="9" t="s">
        <v>30</v>
      </c>
      <c r="K308" s="9" t="s">
        <v>30</v>
      </c>
      <c r="L308" s="9" t="s">
        <v>30</v>
      </c>
      <c r="M308" s="9" t="s">
        <v>30</v>
      </c>
      <c r="N308" s="9" t="s">
        <v>30</v>
      </c>
      <c r="O308" s="9" t="s">
        <v>30</v>
      </c>
      <c r="P308" s="9" t="s">
        <v>30</v>
      </c>
      <c r="Q308" s="9" t="s">
        <v>30</v>
      </c>
      <c r="R308" s="304">
        <v>98.8</v>
      </c>
      <c r="S308" s="304">
        <v>98.7</v>
      </c>
      <c r="T308" s="14">
        <v>98.8</v>
      </c>
      <c r="U308" s="14">
        <v>98.7</v>
      </c>
      <c r="V308" s="14">
        <v>98.16</v>
      </c>
      <c r="W308" s="14">
        <v>97.8</v>
      </c>
      <c r="X308" s="284">
        <v>97.714459489188059</v>
      </c>
      <c r="Y308" s="313">
        <v>98.349156669146936</v>
      </c>
    </row>
    <row r="309" spans="1:89" ht="12.6" customHeight="1" x14ac:dyDescent="0.2">
      <c r="C309" s="16" t="str">
        <f>VLOOKUP(209,Textbausteine_102[],Hilfsgrössen!$D$2,FALSE)</f>
        <v>Befristet</v>
      </c>
      <c r="D309" s="16" t="str">
        <f>VLOOKUP(36,Textbausteine_102[],Hilfsgrössen!$D$2,FALSE)</f>
        <v>% der Personaleinheiten</v>
      </c>
      <c r="E309" s="162" t="s">
        <v>102</v>
      </c>
      <c r="F309" s="9" t="s">
        <v>91</v>
      </c>
      <c r="H309" s="9" t="s">
        <v>30</v>
      </c>
      <c r="I309" s="9" t="s">
        <v>30</v>
      </c>
      <c r="J309" s="9" t="s">
        <v>30</v>
      </c>
      <c r="K309" s="9" t="s">
        <v>30</v>
      </c>
      <c r="L309" s="9" t="s">
        <v>30</v>
      </c>
      <c r="M309" s="9" t="s">
        <v>30</v>
      </c>
      <c r="N309" s="9" t="s">
        <v>30</v>
      </c>
      <c r="O309" s="9" t="s">
        <v>30</v>
      </c>
      <c r="P309" s="9" t="s">
        <v>30</v>
      </c>
      <c r="Q309" s="9" t="s">
        <v>30</v>
      </c>
      <c r="R309" s="304">
        <v>1.3</v>
      </c>
      <c r="S309" s="304">
        <v>1.4</v>
      </c>
      <c r="T309" s="14">
        <v>1.3</v>
      </c>
      <c r="U309" s="14">
        <v>1.4</v>
      </c>
      <c r="V309" s="14">
        <v>2.0299999999999998</v>
      </c>
      <c r="W309" s="14">
        <v>2.2999999999999998</v>
      </c>
      <c r="X309" s="284">
        <v>2.3400080062285</v>
      </c>
      <c r="Y309" s="369">
        <v>1.7</v>
      </c>
    </row>
    <row r="310" spans="1:89" ht="12.6" customHeight="1" x14ac:dyDescent="0.2">
      <c r="C310" s="16" t="str">
        <f>VLOOKUP(210,Textbausteine_102[],Hilfsgrössen!$D$2,FALSE)</f>
        <v>Unbefristet</v>
      </c>
      <c r="D310" s="16" t="str">
        <f>VLOOKUP(36,Textbausteine_102[],Hilfsgrössen!$D$2,FALSE)</f>
        <v>% der Personaleinheiten</v>
      </c>
      <c r="E310" s="162" t="s">
        <v>102</v>
      </c>
      <c r="F310" s="9" t="s">
        <v>91</v>
      </c>
      <c r="H310" s="9" t="s">
        <v>30</v>
      </c>
      <c r="I310" s="9" t="s">
        <v>30</v>
      </c>
      <c r="J310" s="9" t="s">
        <v>30</v>
      </c>
      <c r="K310" s="9" t="s">
        <v>30</v>
      </c>
      <c r="L310" s="9" t="s">
        <v>30</v>
      </c>
      <c r="M310" s="9" t="s">
        <v>30</v>
      </c>
      <c r="N310" s="9" t="s">
        <v>30</v>
      </c>
      <c r="O310" s="9" t="s">
        <v>30</v>
      </c>
      <c r="P310" s="9" t="s">
        <v>30</v>
      </c>
      <c r="Q310" s="9" t="s">
        <v>30</v>
      </c>
      <c r="R310" s="304">
        <v>98.7</v>
      </c>
      <c r="S310" s="304">
        <v>98.6</v>
      </c>
      <c r="T310" s="14">
        <v>98.7</v>
      </c>
      <c r="U310" s="14">
        <v>98.6</v>
      </c>
      <c r="V310" s="14">
        <v>97.97</v>
      </c>
      <c r="W310" s="14">
        <v>97.7</v>
      </c>
      <c r="X310" s="284">
        <v>97.659991993771499</v>
      </c>
      <c r="Y310" s="313">
        <v>98.263925793339027</v>
      </c>
      <c r="Z310" s="335"/>
    </row>
    <row r="311" spans="1:89" ht="12.6" customHeight="1" x14ac:dyDescent="0.2">
      <c r="C311" s="17"/>
      <c r="E311" s="1"/>
      <c r="F311" s="1"/>
      <c r="G311" s="1"/>
      <c r="H311" s="1"/>
      <c r="I311" s="1"/>
      <c r="J311" s="1"/>
      <c r="K311" s="1"/>
      <c r="L311" s="1"/>
      <c r="M311" s="1"/>
      <c r="N311" s="1"/>
      <c r="O311" s="1"/>
      <c r="P311" s="1"/>
      <c r="Q311" s="1"/>
      <c r="R311" s="1"/>
      <c r="S311" s="1"/>
      <c r="T311" s="1"/>
      <c r="U311" s="1"/>
      <c r="V311" s="1"/>
      <c r="W311" s="1"/>
      <c r="X311" s="271"/>
      <c r="Y311" s="148"/>
    </row>
    <row r="312" spans="1:89" ht="12.6" customHeight="1" x14ac:dyDescent="0.25">
      <c r="B312" s="302" t="str">
        <f>VLOOKUP(318,Textbausteine_102[],Hilfsgrössen!$D$2,FALSE)</f>
        <v>1) ohne Lernpersonal</v>
      </c>
      <c r="Z312" s="335"/>
    </row>
    <row r="313" spans="1:89" ht="12.6" customHeight="1" x14ac:dyDescent="0.25">
      <c r="B313" s="302" t="str">
        <f>VLOOKUP(319,Textbausteine_102[],Hilfsgrössen!$D$2,FALSE)</f>
        <v>2) Jahresdurchschnittswerte</v>
      </c>
      <c r="Z313" s="335"/>
    </row>
    <row r="314" spans="1:89" ht="12.6" customHeight="1" x14ac:dyDescent="0.25">
      <c r="B314" s="302" t="str">
        <f>VLOOKUP(320,Textbausteine_102[],Hilfsgrössen!$D$2,FALSE)</f>
        <v>3) Eine Personaleinheit entspricht einer Vollzeitstelle.</v>
      </c>
      <c r="Z314" s="335"/>
    </row>
    <row r="315" spans="1:89" s="320" customFormat="1" ht="12.6" customHeight="1" x14ac:dyDescent="0.25">
      <c r="A315" s="352"/>
      <c r="B315" s="302" t="str">
        <f>VLOOKUP(321,Textbausteine_102[],Hilfsgrössen!$D$2,FALSE)</f>
        <v>4) Im Segment PostMail (ab dem 1.1.2021 neu im Segment Logistik-Services enthalten) wurde bei zwei Tochtergesellschaften die Berechnung des Durchschnittbestands auf Vollzeitstellen (ohne Lernpersonal) überarbeitet, was zur Anpassung des Werts 2018 führte. Im Segment PostAuto (ab dem 1.1.2021 neu im Segment Mobilitäts-Services enthalten) wurde das Jahr 2018 aufgrund der Klassifizierung der CarPostal-France-Gruppe als zur Veräusserung gehaltene Abgangsgruppe und aufgegebener Geschäftsbereich angepasst.</v>
      </c>
      <c r="E315" s="301"/>
      <c r="F315" s="322"/>
      <c r="G315" s="340"/>
      <c r="H315" s="322"/>
      <c r="I315" s="322"/>
      <c r="J315" s="322"/>
      <c r="K315" s="322"/>
      <c r="L315" s="322"/>
      <c r="M315" s="322"/>
      <c r="N315" s="322"/>
      <c r="O315" s="322"/>
      <c r="P315" s="322"/>
      <c r="Q315" s="322"/>
      <c r="R315" s="322"/>
      <c r="S315" s="322"/>
      <c r="T315" s="322"/>
      <c r="U315" s="322"/>
      <c r="V315" s="322"/>
      <c r="W315" s="322"/>
      <c r="X315" s="322"/>
      <c r="Y315" s="322"/>
      <c r="Z315" s="335"/>
      <c r="AA315" s="322"/>
      <c r="AB315" s="322"/>
      <c r="AC315" s="322"/>
      <c r="AD315" s="322"/>
      <c r="AE315" s="322"/>
      <c r="AF315" s="322"/>
      <c r="AG315" s="322"/>
      <c r="AH315" s="322"/>
      <c r="AI315" s="322"/>
      <c r="AJ315" s="322"/>
      <c r="AK315" s="322"/>
      <c r="AL315" s="322"/>
      <c r="AM315" s="322"/>
      <c r="AN315" s="322"/>
      <c r="AO315" s="322"/>
      <c r="AP315" s="322"/>
      <c r="AQ315" s="322"/>
      <c r="AR315" s="322"/>
      <c r="AS315" s="322"/>
      <c r="AT315" s="322"/>
      <c r="AU315" s="322"/>
      <c r="AV315" s="322"/>
      <c r="AW315" s="322"/>
      <c r="AX315" s="322"/>
      <c r="AY315" s="322"/>
      <c r="AZ315" s="322"/>
      <c r="BA315" s="322"/>
      <c r="BB315" s="322"/>
      <c r="BC315" s="322"/>
      <c r="BD315" s="322"/>
      <c r="BE315" s="322"/>
      <c r="BF315" s="322"/>
      <c r="BG315" s="322"/>
      <c r="BH315" s="322"/>
      <c r="BI315" s="322"/>
      <c r="BJ315" s="322"/>
      <c r="BK315" s="322"/>
      <c r="BL315" s="322"/>
      <c r="BM315" s="322"/>
      <c r="BN315" s="322"/>
      <c r="BO315" s="322"/>
      <c r="BP315" s="322"/>
      <c r="BQ315" s="322"/>
      <c r="BR315" s="322"/>
      <c r="BS315" s="322"/>
      <c r="BT315" s="322"/>
      <c r="BU315" s="322"/>
      <c r="BV315" s="322"/>
      <c r="BW315" s="322"/>
      <c r="BX315" s="322"/>
      <c r="BY315" s="322"/>
      <c r="BZ315" s="322"/>
      <c r="CA315" s="322"/>
      <c r="CB315" s="322"/>
      <c r="CC315" s="322"/>
      <c r="CD315" s="322"/>
      <c r="CE315" s="322"/>
      <c r="CF315" s="322"/>
      <c r="CG315" s="322"/>
      <c r="CH315" s="322"/>
      <c r="CI315" s="322"/>
      <c r="CJ315" s="322"/>
      <c r="CK315" s="322"/>
    </row>
    <row r="316" spans="1:89" ht="12.6" customHeight="1" x14ac:dyDescent="0.25">
      <c r="B316" s="302" t="str">
        <f>VLOOKUP(322,Textbausteine_102[],Hilfsgrössen!$D$2,FALSE)</f>
        <v>5) PostAuto AG, PostFinance AG, Swiss Post Solutions AG, SecurePost AG, Post Immobilien Management und Services AG, Post Company Cars AG, Presto Presse-Vertriebs AG</v>
      </c>
      <c r="Z316" s="335"/>
    </row>
    <row r="317" spans="1:89" ht="12.6" customHeight="1" x14ac:dyDescent="0.25">
      <c r="B317" s="302" t="str">
        <f>VLOOKUP(323,Textbausteine_102[],Hilfsgrössen!$D$2,FALSE)</f>
        <v>6) Anlässlich der Berichterstattung fürs Jahr 2013 wurden die entsprechenden Zahlen rückwirkend bis 2010 korrigiert, da die Presto Presse-Vertriebs AG bislang unter GAV Aushilfen ausgewiesen wurde.</v>
      </c>
      <c r="N317" s="392"/>
      <c r="Z317" s="335"/>
    </row>
    <row r="318" spans="1:89" ht="12.6" customHeight="1" x14ac:dyDescent="0.25">
      <c r="B318" s="302" t="str">
        <f>VLOOKUP(324,Textbausteine_102[],Hilfsgrössen!$D$2,FALSE)</f>
        <v>7) Post CH AG ohne in- und ausländische Konzerngesellschaften</v>
      </c>
      <c r="Z318" s="335"/>
    </row>
    <row r="319" spans="1:89" ht="12.6" customHeight="1" x14ac:dyDescent="0.25">
      <c r="B319" s="302" t="str">
        <f>VLOOKUP(325,Textbausteine_102[],Hilfsgrössen!$D$2,FALSE)</f>
        <v>8) PostFinance AG inkl. Debitoren Service AG und Twint AG</v>
      </c>
      <c r="Z319" s="335"/>
    </row>
    <row r="320" spans="1:89" ht="12.6" customHeight="1" x14ac:dyDescent="0.25">
      <c r="B320" s="302" t="str">
        <f>VLOOKUP(326,Textbausteine_102[],Hilfsgrössen!$D$2,FALSE)</f>
        <v>9)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Z320" s="335"/>
    </row>
    <row r="321" spans="1:89" ht="12.6" customHeight="1" x14ac:dyDescent="0.25">
      <c r="B321" s="302"/>
    </row>
    <row r="322" spans="1:89" ht="12.6" customHeight="1" x14ac:dyDescent="0.2">
      <c r="E322" s="161"/>
      <c r="F322" s="28"/>
      <c r="G322" s="33"/>
    </row>
    <row r="323" spans="1:89" s="78" customFormat="1" ht="12.6" customHeight="1" x14ac:dyDescent="0.2">
      <c r="A323" s="43" t="s">
        <v>27</v>
      </c>
      <c r="B323" s="401" t="str">
        <f>$C$16</f>
        <v>Lieferkette</v>
      </c>
      <c r="C323" s="401"/>
      <c r="D323" s="78" t="str">
        <f>VLOOKUP(32,Textbausteine_Menu[],Hilfsgrössen!$D$2,FALSE)</f>
        <v>Einheit</v>
      </c>
      <c r="E323" s="163" t="str">
        <f>VLOOKUP(33,Textbausteine_Menu[],Hilfsgrössen!$D$2,FALSE)</f>
        <v>Fussnoten</v>
      </c>
      <c r="F323" s="28" t="str">
        <f>VLOOKUP(34,Textbausteine_Menu[],Hilfsgrössen!$D$2,FALSE)</f>
        <v>GRI</v>
      </c>
      <c r="G323" s="33"/>
      <c r="H323" s="72">
        <v>2004</v>
      </c>
      <c r="I323" s="72">
        <v>2005</v>
      </c>
      <c r="J323" s="72">
        <v>2006</v>
      </c>
      <c r="K323" s="72">
        <v>2007</v>
      </c>
      <c r="L323" s="72">
        <v>2008</v>
      </c>
      <c r="M323" s="72">
        <v>2009</v>
      </c>
      <c r="N323" s="72">
        <v>2010</v>
      </c>
      <c r="O323" s="72">
        <v>2011</v>
      </c>
      <c r="P323" s="72">
        <v>2012</v>
      </c>
      <c r="Q323" s="72">
        <v>2013</v>
      </c>
      <c r="R323" s="72">
        <v>2014</v>
      </c>
      <c r="S323" s="72">
        <v>2015</v>
      </c>
      <c r="T323" s="74">
        <v>2016</v>
      </c>
      <c r="U323" s="74" t="s">
        <v>103</v>
      </c>
      <c r="V323" s="74">
        <v>2018</v>
      </c>
      <c r="W323" s="74">
        <v>2019</v>
      </c>
      <c r="X323" s="273">
        <v>2020</v>
      </c>
      <c r="Y323" s="147">
        <v>2021</v>
      </c>
      <c r="Z323" s="360"/>
      <c r="AA323" s="72"/>
      <c r="AB323" s="72"/>
      <c r="AC323" s="72"/>
      <c r="AD323" s="72"/>
      <c r="AE323" s="72"/>
      <c r="AF323" s="72"/>
      <c r="AG323" s="72"/>
      <c r="AH323" s="72"/>
      <c r="AI323" s="72"/>
      <c r="AJ323" s="72"/>
      <c r="AK323" s="72"/>
      <c r="AL323" s="72"/>
      <c r="AM323" s="72"/>
      <c r="AN323" s="72"/>
      <c r="AO323" s="72"/>
      <c r="AP323" s="72"/>
      <c r="AQ323" s="72"/>
      <c r="AR323" s="72"/>
      <c r="AS323" s="72"/>
      <c r="AT323" s="72"/>
      <c r="AU323" s="72"/>
      <c r="AV323" s="72"/>
      <c r="AW323" s="72"/>
      <c r="AX323" s="72"/>
      <c r="AY323" s="72"/>
      <c r="AZ323" s="72"/>
      <c r="BA323" s="72"/>
      <c r="BB323" s="72"/>
      <c r="BC323" s="72"/>
      <c r="BD323" s="72"/>
      <c r="BE323" s="72"/>
      <c r="BF323" s="72"/>
      <c r="BG323" s="72"/>
      <c r="BH323" s="72"/>
      <c r="BI323" s="72"/>
      <c r="BJ323" s="72"/>
      <c r="BK323" s="72"/>
      <c r="BL323" s="72"/>
      <c r="BM323" s="72"/>
      <c r="BN323" s="72"/>
      <c r="BO323" s="72"/>
      <c r="BP323" s="72"/>
      <c r="BQ323" s="72"/>
      <c r="BR323" s="72"/>
      <c r="BS323" s="72"/>
      <c r="BT323" s="72"/>
      <c r="BU323" s="72"/>
      <c r="BV323" s="72"/>
      <c r="BW323" s="72"/>
      <c r="BX323" s="72"/>
      <c r="BY323" s="72"/>
      <c r="BZ323" s="72"/>
      <c r="CA323" s="72"/>
      <c r="CB323" s="72"/>
      <c r="CC323" s="72"/>
      <c r="CD323" s="72"/>
      <c r="CE323" s="72"/>
      <c r="CF323" s="72"/>
      <c r="CG323" s="72"/>
      <c r="CH323" s="72"/>
      <c r="CI323" s="72"/>
      <c r="CJ323" s="72"/>
      <c r="CK323" s="72"/>
    </row>
    <row r="324" spans="1:89" s="42" customFormat="1" ht="12.6" customHeight="1" x14ac:dyDescent="0.2">
      <c r="A324" s="57"/>
      <c r="B324" s="401"/>
      <c r="C324" s="401"/>
      <c r="E324" s="161"/>
      <c r="F324" s="28"/>
      <c r="G324" s="34"/>
      <c r="H324" s="73"/>
      <c r="I324" s="73"/>
      <c r="J324" s="73"/>
      <c r="K324" s="73"/>
      <c r="L324" s="73"/>
      <c r="M324" s="73"/>
      <c r="N324" s="73"/>
      <c r="O324" s="73"/>
      <c r="P324" s="73"/>
      <c r="Q324" s="73"/>
      <c r="R324" s="73"/>
      <c r="S324" s="73"/>
      <c r="T324" s="75"/>
      <c r="U324" s="75"/>
      <c r="V324" s="75"/>
      <c r="W324" s="75"/>
      <c r="X324" s="274"/>
      <c r="Y324" s="312"/>
      <c r="Z324" s="361"/>
      <c r="AA324" s="73"/>
      <c r="AB324" s="73"/>
      <c r="AC324" s="73"/>
      <c r="AD324" s="73"/>
      <c r="AE324" s="73"/>
      <c r="AF324" s="73"/>
      <c r="AG324" s="73"/>
      <c r="AH324" s="73"/>
      <c r="AI324" s="73"/>
      <c r="AJ324" s="73"/>
      <c r="AK324" s="73"/>
      <c r="AL324" s="73"/>
      <c r="AM324" s="73"/>
      <c r="AN324" s="73"/>
      <c r="AO324" s="73"/>
      <c r="AP324" s="73"/>
      <c r="AQ324" s="73"/>
      <c r="AR324" s="73"/>
      <c r="AS324" s="73"/>
      <c r="AT324" s="73"/>
      <c r="AU324" s="73"/>
      <c r="AV324" s="73"/>
      <c r="AW324" s="73"/>
      <c r="AX324" s="73"/>
      <c r="AY324" s="73"/>
      <c r="AZ324" s="73"/>
      <c r="BA324" s="73"/>
      <c r="BB324" s="73"/>
      <c r="BC324" s="73"/>
      <c r="BD324" s="73"/>
      <c r="BE324" s="73"/>
      <c r="BF324" s="73"/>
      <c r="BG324" s="73"/>
      <c r="BH324" s="73"/>
      <c r="BI324" s="73"/>
      <c r="BJ324" s="73"/>
      <c r="BK324" s="73"/>
      <c r="BL324" s="73"/>
      <c r="BM324" s="73"/>
      <c r="BN324" s="73"/>
      <c r="BO324" s="73"/>
      <c r="BP324" s="73"/>
      <c r="BQ324" s="73"/>
      <c r="BR324" s="73"/>
      <c r="BS324" s="73"/>
      <c r="BT324" s="73"/>
      <c r="BU324" s="73"/>
      <c r="BV324" s="73"/>
      <c r="BW324" s="73"/>
      <c r="BX324" s="73"/>
      <c r="BY324" s="73"/>
      <c r="BZ324" s="73"/>
      <c r="CA324" s="73"/>
      <c r="CB324" s="73"/>
      <c r="CC324" s="73"/>
      <c r="CD324" s="73"/>
      <c r="CE324" s="73"/>
      <c r="CF324" s="73"/>
      <c r="CG324" s="73"/>
      <c r="CH324" s="73"/>
      <c r="CI324" s="73"/>
      <c r="CJ324" s="73"/>
      <c r="CK324" s="73"/>
    </row>
    <row r="325" spans="1:89" ht="12.6" customHeight="1" x14ac:dyDescent="0.2">
      <c r="B325" s="2"/>
      <c r="E325" s="164"/>
      <c r="G325" s="33"/>
      <c r="Y325" s="313"/>
    </row>
    <row r="326" spans="1:89" ht="12.6" customHeight="1" x14ac:dyDescent="0.2">
      <c r="B326" s="2" t="str">
        <f>VLOOKUP(37,Textbausteine_Menu[],Hilfsgrössen!$D$2,FALSE)</f>
        <v>Konzern Schweiz</v>
      </c>
      <c r="C326" s="2"/>
      <c r="E326" s="164"/>
      <c r="T326" s="9"/>
      <c r="U326" s="9"/>
      <c r="V326" s="9"/>
      <c r="W326" s="9"/>
      <c r="X326" s="307"/>
      <c r="Y326" s="314"/>
    </row>
    <row r="327" spans="1:89" ht="12.6" customHeight="1" x14ac:dyDescent="0.2">
      <c r="C327" s="16" t="str">
        <f>VLOOKUP(221,Textbausteine_102[],Hilfsgrössen!$D$2,FALSE)</f>
        <v>Anzahl Lieferanten Schweiz</v>
      </c>
      <c r="D327" s="16" t="str">
        <f>VLOOKUP(28,Textbausteine_102[],Hilfsgrössen!$D$2,FALSE)</f>
        <v>Anzahl</v>
      </c>
      <c r="E327" s="11" t="s">
        <v>97</v>
      </c>
      <c r="F327" s="9" t="s">
        <v>104</v>
      </c>
      <c r="H327" s="102" t="s">
        <v>30</v>
      </c>
      <c r="I327" s="102" t="s">
        <v>30</v>
      </c>
      <c r="J327" s="102" t="s">
        <v>30</v>
      </c>
      <c r="K327" s="102" t="s">
        <v>30</v>
      </c>
      <c r="L327" s="102" t="s">
        <v>30</v>
      </c>
      <c r="M327" s="102" t="s">
        <v>30</v>
      </c>
      <c r="N327" s="86" t="s">
        <v>30</v>
      </c>
      <c r="O327" s="9">
        <v>52154</v>
      </c>
      <c r="P327" s="9">
        <v>50306</v>
      </c>
      <c r="Q327" s="9">
        <v>48250</v>
      </c>
      <c r="R327" s="9">
        <v>45029</v>
      </c>
      <c r="S327" s="9">
        <v>47173</v>
      </c>
      <c r="T327" s="9">
        <v>43080</v>
      </c>
      <c r="U327" s="9">
        <v>40575</v>
      </c>
      <c r="V327" s="9">
        <v>40036</v>
      </c>
      <c r="W327" s="9">
        <v>28594</v>
      </c>
      <c r="X327" s="280">
        <v>21429</v>
      </c>
      <c r="Y327" s="267">
        <v>19656</v>
      </c>
      <c r="Z327" s="335"/>
    </row>
    <row r="328" spans="1:89" ht="12.6" customHeight="1" x14ac:dyDescent="0.2">
      <c r="C328" s="16" t="str">
        <f>VLOOKUP(222,Textbausteine_102[],Hilfsgrössen!$D$2,FALSE)</f>
        <v>Anzahl Lieferanten Ausland</v>
      </c>
      <c r="D328" s="16" t="str">
        <f>VLOOKUP(28,Textbausteine_102[],Hilfsgrössen!$D$2,FALSE)</f>
        <v>Anzahl</v>
      </c>
      <c r="E328" s="164" t="s">
        <v>38</v>
      </c>
      <c r="F328" s="9" t="s">
        <v>104</v>
      </c>
      <c r="H328" s="102" t="s">
        <v>30</v>
      </c>
      <c r="I328" s="102" t="s">
        <v>30</v>
      </c>
      <c r="J328" s="102" t="s">
        <v>30</v>
      </c>
      <c r="K328" s="102" t="s">
        <v>30</v>
      </c>
      <c r="L328" s="102" t="s">
        <v>30</v>
      </c>
      <c r="M328" s="102" t="s">
        <v>30</v>
      </c>
      <c r="N328" s="86" t="s">
        <v>30</v>
      </c>
      <c r="O328" s="9">
        <v>342</v>
      </c>
      <c r="P328" s="9">
        <v>339</v>
      </c>
      <c r="Q328" s="9">
        <v>340</v>
      </c>
      <c r="R328" s="9">
        <v>492</v>
      </c>
      <c r="S328" s="9">
        <v>2246</v>
      </c>
      <c r="T328" s="9">
        <v>2337</v>
      </c>
      <c r="U328" s="9">
        <v>2196</v>
      </c>
      <c r="V328" s="9">
        <v>2270</v>
      </c>
      <c r="W328" s="9">
        <v>1776</v>
      </c>
      <c r="X328" s="280">
        <v>1493</v>
      </c>
      <c r="Y328" s="267">
        <v>1490</v>
      </c>
      <c r="Z328" s="335"/>
    </row>
    <row r="329" spans="1:89" ht="12.6" customHeight="1" x14ac:dyDescent="0.2">
      <c r="C329" s="16" t="str">
        <f>VLOOKUP(223,Textbausteine_102[],Hilfsgrössen!$D$2,FALSE)</f>
        <v>Beschaffungsvolumen Konzern</v>
      </c>
      <c r="D329" s="1" t="str">
        <f>VLOOKUP(22,Textbausteine_102[],Hilfsgrössen!$D$2,FALSE)</f>
        <v>Mio. CHF</v>
      </c>
      <c r="F329" s="9" t="s">
        <v>104</v>
      </c>
      <c r="H329" s="102" t="s">
        <v>30</v>
      </c>
      <c r="I329" s="102" t="s">
        <v>30</v>
      </c>
      <c r="J329" s="102" t="s">
        <v>30</v>
      </c>
      <c r="K329" s="102" t="s">
        <v>30</v>
      </c>
      <c r="L329" s="102" t="s">
        <v>30</v>
      </c>
      <c r="M329" s="102" t="s">
        <v>30</v>
      </c>
      <c r="N329" s="11">
        <v>3082.31781</v>
      </c>
      <c r="O329" s="9">
        <v>3282.8308080000002</v>
      </c>
      <c r="P329" s="9">
        <v>3366.2399120199998</v>
      </c>
      <c r="Q329" s="9">
        <v>3379.8509565500003</v>
      </c>
      <c r="R329" s="9">
        <v>3399.09152606</v>
      </c>
      <c r="S329" s="9">
        <v>4752</v>
      </c>
      <c r="T329" s="9">
        <v>2961</v>
      </c>
      <c r="U329" s="9">
        <v>2947</v>
      </c>
      <c r="V329" s="9">
        <v>2946</v>
      </c>
      <c r="W329" s="9">
        <v>3001</v>
      </c>
      <c r="X329" s="280">
        <v>3052</v>
      </c>
      <c r="Y329" s="267">
        <v>2801</v>
      </c>
      <c r="Z329" s="335"/>
    </row>
    <row r="330" spans="1:89" ht="12.6" customHeight="1" x14ac:dyDescent="0.2">
      <c r="C330" s="13"/>
      <c r="H330" s="99"/>
      <c r="I330" s="99"/>
      <c r="J330" s="99"/>
      <c r="K330" s="99"/>
      <c r="L330" s="99"/>
      <c r="M330" s="99"/>
      <c r="N330" s="11"/>
      <c r="O330" s="11"/>
      <c r="R330" s="99"/>
      <c r="S330" s="99"/>
      <c r="T330" s="9"/>
      <c r="U330" s="9"/>
      <c r="V330" s="9"/>
      <c r="W330" s="9"/>
      <c r="X330" s="307"/>
      <c r="Y330" s="9"/>
    </row>
    <row r="331" spans="1:89" ht="12.6" customHeight="1" x14ac:dyDescent="0.25">
      <c r="B331" s="302" t="str">
        <f>VLOOKUP(328,Textbausteine_102[],Hilfsgrössen!$D$2,FALSE)</f>
        <v>1) Die Werte ab 1.1.2016 entsprechen dem beschaffungsrelevanten Rechnungsvolumen mit externen Kreditoren (ohne Steuern, Zölle, SUVA, Pensionskasse, sonstige Vorsorge, öffentliche Gebühren, Durchlaufposten, CPD-Sammelkonten, usw.).</v>
      </c>
      <c r="Z331" s="335"/>
    </row>
    <row r="332" spans="1:89" ht="12.6" customHeight="1" x14ac:dyDescent="0.25">
      <c r="B332" s="302" t="str">
        <f>VLOOKUP(329,Textbausteine_102[],Hilfsgrössen!$D$2,FALSE)</f>
        <v>2) Der vermehrte Einsatz von standardisierten Kreditorencordes (MDG-S) führte ab 2019 zur geringeren Anzahl beschaffungsrelevanter Lieferanten.</v>
      </c>
      <c r="Z332" s="335"/>
    </row>
    <row r="333" spans="1:89" ht="12.6" customHeight="1" x14ac:dyDescent="0.25">
      <c r="B333" s="302"/>
      <c r="Z333" s="335"/>
    </row>
    <row r="334" spans="1:89" ht="12.6" customHeight="1" x14ac:dyDescent="0.2">
      <c r="C334" s="13"/>
      <c r="H334" s="99"/>
      <c r="I334" s="99"/>
      <c r="J334" s="99"/>
      <c r="K334" s="99"/>
      <c r="L334" s="99"/>
      <c r="M334" s="99"/>
      <c r="N334" s="393"/>
      <c r="O334" s="11"/>
      <c r="R334" s="99"/>
      <c r="S334" s="99"/>
      <c r="T334" s="9"/>
      <c r="U334" s="9"/>
      <c r="V334" s="9"/>
      <c r="W334" s="9"/>
      <c r="X334" s="307"/>
      <c r="Y334" s="9"/>
    </row>
    <row r="335" spans="1:89" s="78" customFormat="1" ht="12.6" customHeight="1" x14ac:dyDescent="0.2">
      <c r="A335" s="43" t="s">
        <v>27</v>
      </c>
      <c r="B335" s="401" t="str">
        <f>$C$17</f>
        <v>Kundenzufriedenheit</v>
      </c>
      <c r="C335" s="401"/>
      <c r="D335" s="78" t="str">
        <f>VLOOKUP(32,Textbausteine_Menu[],Hilfsgrössen!$D$2,FALSE)</f>
        <v>Einheit</v>
      </c>
      <c r="E335" s="163" t="str">
        <f>VLOOKUP(33,Textbausteine_Menu[],Hilfsgrössen!$D$2,FALSE)</f>
        <v>Fussnoten</v>
      </c>
      <c r="F335" s="28" t="str">
        <f>VLOOKUP(34,Textbausteine_Menu[],Hilfsgrössen!$D$2,FALSE)</f>
        <v>GRI</v>
      </c>
      <c r="G335" s="33"/>
      <c r="H335" s="72">
        <v>2004</v>
      </c>
      <c r="I335" s="72">
        <v>2005</v>
      </c>
      <c r="J335" s="72">
        <v>2006</v>
      </c>
      <c r="K335" s="72">
        <v>2007</v>
      </c>
      <c r="L335" s="72">
        <v>2008</v>
      </c>
      <c r="M335" s="72">
        <v>2009</v>
      </c>
      <c r="N335" s="72">
        <v>2010</v>
      </c>
      <c r="O335" s="72">
        <v>2011</v>
      </c>
      <c r="P335" s="72">
        <v>2012</v>
      </c>
      <c r="Q335" s="72">
        <v>2013</v>
      </c>
      <c r="R335" s="72">
        <v>2014</v>
      </c>
      <c r="S335" s="72">
        <v>2015</v>
      </c>
      <c r="T335" s="74">
        <v>2016</v>
      </c>
      <c r="U335" s="74">
        <v>2017</v>
      </c>
      <c r="V335" s="74">
        <v>2018</v>
      </c>
      <c r="W335" s="74">
        <v>2019</v>
      </c>
      <c r="X335" s="273">
        <v>2020</v>
      </c>
      <c r="Y335" s="147">
        <v>2021</v>
      </c>
      <c r="Z335" s="360"/>
      <c r="AA335" s="72"/>
      <c r="AB335" s="72"/>
      <c r="AC335" s="72"/>
      <c r="AD335" s="72"/>
      <c r="AE335" s="72"/>
      <c r="AF335" s="72"/>
      <c r="AG335" s="72"/>
      <c r="AH335" s="72"/>
      <c r="AI335" s="72"/>
      <c r="AJ335" s="72"/>
      <c r="AK335" s="72"/>
      <c r="AL335" s="72"/>
      <c r="AM335" s="72"/>
      <c r="AN335" s="72"/>
      <c r="AO335" s="72"/>
      <c r="AP335" s="72"/>
      <c r="AQ335" s="72"/>
      <c r="AR335" s="72"/>
      <c r="AS335" s="72"/>
      <c r="AT335" s="72"/>
      <c r="AU335" s="72"/>
      <c r="AV335" s="72"/>
      <c r="AW335" s="72"/>
      <c r="AX335" s="72"/>
      <c r="AY335" s="72"/>
      <c r="AZ335" s="72"/>
      <c r="BA335" s="72"/>
      <c r="BB335" s="72"/>
      <c r="BC335" s="72"/>
      <c r="BD335" s="72"/>
      <c r="BE335" s="72"/>
      <c r="BF335" s="72"/>
      <c r="BG335" s="72"/>
      <c r="BH335" s="72"/>
      <c r="BI335" s="72"/>
      <c r="BJ335" s="72"/>
      <c r="BK335" s="72"/>
      <c r="BL335" s="72"/>
      <c r="BM335" s="72"/>
      <c r="BN335" s="72"/>
      <c r="BO335" s="72"/>
      <c r="BP335" s="72"/>
      <c r="BQ335" s="72"/>
      <c r="BR335" s="72"/>
      <c r="BS335" s="72"/>
      <c r="BT335" s="72"/>
      <c r="BU335" s="72"/>
      <c r="BV335" s="72"/>
      <c r="BW335" s="72"/>
      <c r="BX335" s="72"/>
      <c r="BY335" s="72"/>
      <c r="BZ335" s="72"/>
      <c r="CA335" s="72"/>
      <c r="CB335" s="72"/>
      <c r="CC335" s="72"/>
      <c r="CD335" s="72"/>
      <c r="CE335" s="72"/>
      <c r="CF335" s="72"/>
      <c r="CG335" s="72"/>
      <c r="CH335" s="72"/>
      <c r="CI335" s="72"/>
      <c r="CJ335" s="72"/>
      <c r="CK335" s="72"/>
    </row>
    <row r="336" spans="1:89" s="42" customFormat="1" ht="12.6" customHeight="1" x14ac:dyDescent="0.2">
      <c r="A336" s="57"/>
      <c r="B336" s="401"/>
      <c r="C336" s="401"/>
      <c r="E336" s="161"/>
      <c r="F336" s="28"/>
      <c r="G336" s="34"/>
      <c r="H336" s="73"/>
      <c r="I336" s="73"/>
      <c r="J336" s="73"/>
      <c r="K336" s="73"/>
      <c r="L336" s="73"/>
      <c r="M336" s="73"/>
      <c r="N336" s="73"/>
      <c r="O336" s="73"/>
      <c r="P336" s="73"/>
      <c r="Q336" s="73"/>
      <c r="R336" s="73"/>
      <c r="S336" s="73"/>
      <c r="T336" s="75"/>
      <c r="U336" s="75"/>
      <c r="V336" s="75"/>
      <c r="W336" s="75"/>
      <c r="X336" s="274"/>
      <c r="Y336" s="312"/>
      <c r="Z336" s="361"/>
      <c r="AA336" s="73"/>
      <c r="AB336" s="73"/>
      <c r="AC336" s="73"/>
      <c r="AD336" s="73"/>
      <c r="AE336" s="73"/>
      <c r="AF336" s="73"/>
      <c r="AG336" s="73"/>
      <c r="AH336" s="73"/>
      <c r="AI336" s="73"/>
      <c r="AJ336" s="73"/>
      <c r="AK336" s="73"/>
      <c r="AL336" s="73"/>
      <c r="AM336" s="73"/>
      <c r="AN336" s="73"/>
      <c r="AO336" s="73"/>
      <c r="AP336" s="73"/>
      <c r="AQ336" s="73"/>
      <c r="AR336" s="73"/>
      <c r="AS336" s="73"/>
      <c r="AT336" s="73"/>
      <c r="AU336" s="73"/>
      <c r="AV336" s="73"/>
      <c r="AW336" s="73"/>
      <c r="AX336" s="73"/>
      <c r="AY336" s="73"/>
      <c r="AZ336" s="73"/>
      <c r="BA336" s="73"/>
      <c r="BB336" s="73"/>
      <c r="BC336" s="73"/>
      <c r="BD336" s="73"/>
      <c r="BE336" s="73"/>
      <c r="BF336" s="73"/>
      <c r="BG336" s="73"/>
      <c r="BH336" s="73"/>
      <c r="BI336" s="73"/>
      <c r="BJ336" s="73"/>
      <c r="BK336" s="73"/>
      <c r="BL336" s="73"/>
      <c r="BM336" s="73"/>
      <c r="BN336" s="73"/>
      <c r="BO336" s="73"/>
      <c r="BP336" s="73"/>
      <c r="BQ336" s="73"/>
      <c r="BR336" s="73"/>
      <c r="BS336" s="73"/>
      <c r="BT336" s="73"/>
      <c r="BU336" s="73"/>
      <c r="BV336" s="73"/>
      <c r="BW336" s="73"/>
      <c r="BX336" s="73"/>
      <c r="BY336" s="73"/>
      <c r="BZ336" s="73"/>
      <c r="CA336" s="73"/>
      <c r="CB336" s="73"/>
      <c r="CC336" s="73"/>
      <c r="CD336" s="73"/>
      <c r="CE336" s="73"/>
      <c r="CF336" s="73"/>
      <c r="CG336" s="73"/>
      <c r="CH336" s="73"/>
      <c r="CI336" s="73"/>
      <c r="CJ336" s="73"/>
      <c r="CK336" s="73"/>
    </row>
    <row r="337" spans="2:26" ht="12.6" customHeight="1" x14ac:dyDescent="0.2">
      <c r="B337" s="2"/>
      <c r="E337" s="164"/>
      <c r="G337" s="33"/>
      <c r="T337" s="75"/>
      <c r="U337" s="75"/>
      <c r="V337" s="75"/>
      <c r="W337" s="75"/>
      <c r="X337" s="274"/>
      <c r="Y337" s="312"/>
    </row>
    <row r="338" spans="2:26" ht="12.6" customHeight="1" x14ac:dyDescent="0.2">
      <c r="B338" s="2" t="str">
        <f>VLOOKUP(231,Textbausteine_102[],Hilfsgrössen!$D$2,FALSE)</f>
        <v>Privatkunden</v>
      </c>
      <c r="E338" s="164"/>
      <c r="T338" s="75"/>
      <c r="U338" s="75"/>
      <c r="V338" s="75"/>
      <c r="W338" s="75"/>
      <c r="X338" s="274"/>
      <c r="Y338" s="312"/>
    </row>
    <row r="339" spans="2:26" ht="12.6" customHeight="1" x14ac:dyDescent="0.2">
      <c r="B339" s="2"/>
      <c r="C339" s="1" t="str">
        <f>VLOOKUP(47,Textbausteine_Menu[],Hilfsgrössen!$D$2,FALSE)</f>
        <v>PostNetz</v>
      </c>
      <c r="E339" s="164"/>
      <c r="T339" s="75"/>
      <c r="U339" s="75"/>
      <c r="V339" s="75"/>
      <c r="W339" s="75"/>
      <c r="X339" s="274"/>
      <c r="Y339" s="312"/>
    </row>
    <row r="340" spans="2:26" ht="12.6" customHeight="1" x14ac:dyDescent="0.2">
      <c r="C340" s="13" t="str">
        <f>VLOOKUP(231,Textbausteine_102[],Hilfsgrössen!$D$2,FALSE)</f>
        <v>Privatkunden</v>
      </c>
      <c r="D340" s="1" t="str">
        <f>VLOOKUP(38,Textbausteine_102[],Hilfsgrössen!$D$2,FALSE)</f>
        <v>Index</v>
      </c>
      <c r="E340" s="162" t="s">
        <v>97</v>
      </c>
      <c r="F340" s="9" t="s">
        <v>105</v>
      </c>
      <c r="H340" s="197">
        <v>84</v>
      </c>
      <c r="I340" s="197">
        <v>86</v>
      </c>
      <c r="J340" s="197">
        <v>87</v>
      </c>
      <c r="K340" s="197">
        <v>88</v>
      </c>
      <c r="L340" s="197">
        <v>86</v>
      </c>
      <c r="M340" s="197">
        <v>87</v>
      </c>
      <c r="N340" s="212">
        <v>87</v>
      </c>
      <c r="O340" s="212">
        <v>87</v>
      </c>
      <c r="P340" s="198">
        <v>86</v>
      </c>
      <c r="Q340" s="198">
        <v>86</v>
      </c>
      <c r="R340" s="197">
        <v>86</v>
      </c>
      <c r="S340" s="197">
        <v>87</v>
      </c>
      <c r="T340" s="224">
        <v>88</v>
      </c>
      <c r="U340" s="224">
        <v>89</v>
      </c>
      <c r="V340" s="224">
        <v>77</v>
      </c>
      <c r="W340" s="224">
        <v>78</v>
      </c>
      <c r="X340" s="285">
        <v>78</v>
      </c>
      <c r="Y340" s="305">
        <v>78</v>
      </c>
      <c r="Z340" s="335"/>
    </row>
    <row r="341" spans="2:26" ht="12.6" customHeight="1" x14ac:dyDescent="0.2">
      <c r="C341" s="13" t="str">
        <f>VLOOKUP(232,Textbausteine_102[],Hilfsgrössen!$D$2,FALSE)</f>
        <v>Kleine und mittlere Unternehmen</v>
      </c>
      <c r="D341" s="1" t="str">
        <f>VLOOKUP(38,Textbausteine_102[],Hilfsgrössen!$D$2,FALSE)</f>
        <v>Index</v>
      </c>
      <c r="E341" s="162" t="s">
        <v>95</v>
      </c>
      <c r="F341" s="9" t="s">
        <v>105</v>
      </c>
      <c r="H341" s="197">
        <v>79</v>
      </c>
      <c r="I341" s="197">
        <v>80</v>
      </c>
      <c r="J341" s="197">
        <v>81</v>
      </c>
      <c r="K341" s="197">
        <v>83</v>
      </c>
      <c r="L341" s="197">
        <v>80</v>
      </c>
      <c r="M341" s="197">
        <v>80</v>
      </c>
      <c r="N341" s="212">
        <v>81</v>
      </c>
      <c r="O341" s="212">
        <v>81</v>
      </c>
      <c r="P341" s="198">
        <v>80</v>
      </c>
      <c r="Q341" s="198">
        <v>82</v>
      </c>
      <c r="R341" s="197">
        <v>82</v>
      </c>
      <c r="S341" s="197">
        <v>82</v>
      </c>
      <c r="T341" s="224">
        <v>85</v>
      </c>
      <c r="U341" s="224">
        <v>86</v>
      </c>
      <c r="V341" s="224" t="s">
        <v>75</v>
      </c>
      <c r="W341" s="224" t="s">
        <v>75</v>
      </c>
      <c r="X341" s="286">
        <v>77</v>
      </c>
      <c r="Y341" s="305">
        <v>75</v>
      </c>
      <c r="Z341" s="335"/>
    </row>
    <row r="342" spans="2:26" ht="12.6" customHeight="1" x14ac:dyDescent="0.2">
      <c r="C342" s="1" t="str">
        <f>VLOOKUP(49,Textbausteine_Menu[],Hilfsgrössen!$D$2,FALSE)</f>
        <v>PostFinance</v>
      </c>
      <c r="D342" s="16" t="str">
        <f>VLOOKUP(38,Textbausteine_102[],Hilfsgrössen!$D$2,FALSE)</f>
        <v>Index</v>
      </c>
      <c r="E342" s="164" t="s">
        <v>106</v>
      </c>
      <c r="F342" s="9" t="s">
        <v>105</v>
      </c>
      <c r="H342" s="212">
        <v>82</v>
      </c>
      <c r="I342" s="212">
        <v>84</v>
      </c>
      <c r="J342" s="212">
        <v>84</v>
      </c>
      <c r="K342" s="212">
        <v>84</v>
      </c>
      <c r="L342" s="212">
        <v>85</v>
      </c>
      <c r="M342" s="212">
        <v>84</v>
      </c>
      <c r="N342" s="212">
        <v>85</v>
      </c>
      <c r="O342" s="198">
        <v>86</v>
      </c>
      <c r="P342" s="198">
        <v>85</v>
      </c>
      <c r="Q342" s="198">
        <v>85</v>
      </c>
      <c r="R342" s="198">
        <v>84</v>
      </c>
      <c r="S342" s="198">
        <v>80</v>
      </c>
      <c r="T342" s="224">
        <v>83</v>
      </c>
      <c r="U342" s="224">
        <v>84</v>
      </c>
      <c r="V342" s="224">
        <v>82</v>
      </c>
      <c r="W342" s="224">
        <v>80</v>
      </c>
      <c r="X342" s="285">
        <v>81</v>
      </c>
      <c r="Y342" s="305">
        <v>80</v>
      </c>
      <c r="Z342" s="335"/>
    </row>
    <row r="343" spans="2:26" ht="12.6" customHeight="1" x14ac:dyDescent="0.2">
      <c r="C343" s="1" t="str">
        <f>VLOOKUP(55,Textbausteine_Menu[],Hilfsgrössen!$D$2,FALSE)</f>
        <v>Mobilitäts-Services</v>
      </c>
      <c r="D343" s="16"/>
      <c r="E343" s="164" t="s">
        <v>50</v>
      </c>
      <c r="H343" s="102" t="s">
        <v>30</v>
      </c>
      <c r="I343" s="102" t="s">
        <v>30</v>
      </c>
      <c r="J343" s="102" t="s">
        <v>30</v>
      </c>
      <c r="K343" s="102" t="s">
        <v>30</v>
      </c>
      <c r="L343" s="102" t="s">
        <v>30</v>
      </c>
      <c r="M343" s="102" t="s">
        <v>30</v>
      </c>
      <c r="N343" s="102" t="s">
        <v>30</v>
      </c>
      <c r="O343" s="102" t="s">
        <v>30</v>
      </c>
      <c r="P343" s="102" t="s">
        <v>30</v>
      </c>
      <c r="Q343" s="102" t="s">
        <v>30</v>
      </c>
      <c r="R343" s="102" t="s">
        <v>30</v>
      </c>
      <c r="S343" s="102" t="s">
        <v>30</v>
      </c>
      <c r="T343" s="102" t="s">
        <v>30</v>
      </c>
      <c r="U343" s="102" t="s">
        <v>30</v>
      </c>
      <c r="V343" s="102" t="s">
        <v>30</v>
      </c>
      <c r="W343" s="102" t="s">
        <v>30</v>
      </c>
      <c r="X343" s="102" t="s">
        <v>30</v>
      </c>
      <c r="Y343" s="305">
        <v>81</v>
      </c>
      <c r="Z343" s="335"/>
    </row>
    <row r="344" spans="2:26" ht="12.6" customHeight="1" x14ac:dyDescent="0.2">
      <c r="C344" s="50" t="str">
        <f>VLOOKUP(233,Textbausteine_102[],Hilfsgrössen!$D$2,FALSE)</f>
        <v>Freizeitreisende (PostAuto)</v>
      </c>
      <c r="D344" s="16" t="str">
        <f>VLOOKUP(38,Textbausteine_102[],Hilfsgrössen!$D$2,FALSE)</f>
        <v>Index</v>
      </c>
      <c r="E344" s="164" t="s">
        <v>107</v>
      </c>
      <c r="F344" s="9" t="s">
        <v>105</v>
      </c>
      <c r="H344" s="212">
        <v>83</v>
      </c>
      <c r="I344" s="212">
        <v>81</v>
      </c>
      <c r="J344" s="212">
        <v>81</v>
      </c>
      <c r="K344" s="212">
        <v>82</v>
      </c>
      <c r="L344" s="212">
        <v>82</v>
      </c>
      <c r="M344" s="212">
        <v>81</v>
      </c>
      <c r="N344" s="212">
        <v>83</v>
      </c>
      <c r="O344" s="198">
        <v>83</v>
      </c>
      <c r="P344" s="198">
        <v>83</v>
      </c>
      <c r="Q344" s="198">
        <v>83</v>
      </c>
      <c r="R344" s="198">
        <v>84</v>
      </c>
      <c r="S344" s="198">
        <v>83</v>
      </c>
      <c r="T344" s="224">
        <v>85</v>
      </c>
      <c r="U344" s="224">
        <v>86</v>
      </c>
      <c r="V344" s="224">
        <v>84</v>
      </c>
      <c r="W344" s="224">
        <v>85</v>
      </c>
      <c r="X344" s="285">
        <v>85</v>
      </c>
      <c r="Y344" s="305" t="s">
        <v>30</v>
      </c>
      <c r="Z344" s="335"/>
    </row>
    <row r="345" spans="2:26" ht="12.6" customHeight="1" x14ac:dyDescent="0.2">
      <c r="C345" s="13" t="str">
        <f>VLOOKUP(234,Textbausteine_102[],Hilfsgrössen!$D$2,FALSE)</f>
        <v>Pendler (PostAuto)</v>
      </c>
      <c r="D345" s="1" t="str">
        <f>VLOOKUP(38,Textbausteine_102[],Hilfsgrössen!$D$2,FALSE)</f>
        <v>Index</v>
      </c>
      <c r="E345" s="164" t="s">
        <v>107</v>
      </c>
      <c r="F345" s="9" t="s">
        <v>105</v>
      </c>
      <c r="H345" s="197">
        <v>75</v>
      </c>
      <c r="I345" s="197">
        <v>73</v>
      </c>
      <c r="J345" s="197">
        <v>73</v>
      </c>
      <c r="K345" s="197">
        <v>73</v>
      </c>
      <c r="L345" s="197">
        <v>75</v>
      </c>
      <c r="M345" s="197">
        <v>73</v>
      </c>
      <c r="N345" s="212">
        <v>75</v>
      </c>
      <c r="O345" s="212">
        <v>75</v>
      </c>
      <c r="P345" s="198">
        <v>74</v>
      </c>
      <c r="Q345" s="198">
        <v>74</v>
      </c>
      <c r="R345" s="197">
        <v>76</v>
      </c>
      <c r="S345" s="197">
        <v>74</v>
      </c>
      <c r="T345" s="224">
        <v>78</v>
      </c>
      <c r="U345" s="224">
        <v>77</v>
      </c>
      <c r="V345" s="224">
        <v>77</v>
      </c>
      <c r="W345" s="224">
        <v>77</v>
      </c>
      <c r="X345" s="285">
        <v>79</v>
      </c>
      <c r="Y345" s="305" t="s">
        <v>30</v>
      </c>
      <c r="Z345" s="335"/>
    </row>
    <row r="346" spans="2:26" ht="12.6" customHeight="1" x14ac:dyDescent="0.2">
      <c r="C346" s="13"/>
      <c r="H346" s="197"/>
      <c r="I346" s="197"/>
      <c r="J346" s="197"/>
      <c r="K346" s="197"/>
      <c r="L346" s="197"/>
      <c r="M346" s="197"/>
      <c r="N346" s="212"/>
      <c r="O346" s="212"/>
      <c r="P346" s="198"/>
      <c r="Q346" s="198"/>
      <c r="R346" s="197"/>
      <c r="S346" s="197"/>
      <c r="T346" s="224"/>
      <c r="U346" s="224"/>
      <c r="V346" s="224"/>
      <c r="W346" s="224"/>
      <c r="X346" s="285"/>
      <c r="Y346" s="305"/>
    </row>
    <row r="347" spans="2:26" ht="12.6" customHeight="1" x14ac:dyDescent="0.2">
      <c r="B347" s="2" t="str">
        <f>VLOOKUP(235,Textbausteine_102[],Hilfsgrössen!$D$2,FALSE)</f>
        <v>Geschäftskunden</v>
      </c>
      <c r="C347" s="13"/>
      <c r="H347" s="197"/>
      <c r="I347" s="197"/>
      <c r="J347" s="197"/>
      <c r="K347" s="197"/>
      <c r="L347" s="197"/>
      <c r="M347" s="197"/>
      <c r="N347" s="212"/>
      <c r="O347" s="212"/>
      <c r="P347" s="198"/>
      <c r="Q347" s="198"/>
      <c r="R347" s="197"/>
      <c r="S347" s="197"/>
      <c r="T347" s="224"/>
      <c r="U347" s="224"/>
      <c r="V347" s="224"/>
      <c r="W347" s="224"/>
      <c r="X347" s="285"/>
      <c r="Y347" s="305"/>
    </row>
    <row r="348" spans="2:26" ht="12.6" customHeight="1" x14ac:dyDescent="0.2">
      <c r="C348" s="1" t="str">
        <f>VLOOKUP(45,Textbausteine_Menu[],Hilfsgrössen!$D$2,FALSE)</f>
        <v>Logistik-Services</v>
      </c>
      <c r="D348" s="1" t="str">
        <f>VLOOKUP(38,Textbausteine_102[],Hilfsgrössen!$D$2,FALSE)</f>
        <v>Index</v>
      </c>
      <c r="E348" s="164" t="s">
        <v>108</v>
      </c>
      <c r="F348" s="9" t="s">
        <v>105</v>
      </c>
      <c r="H348" s="102" t="s">
        <v>30</v>
      </c>
      <c r="I348" s="102" t="s">
        <v>30</v>
      </c>
      <c r="J348" s="102" t="s">
        <v>30</v>
      </c>
      <c r="K348" s="102" t="s">
        <v>30</v>
      </c>
      <c r="L348" s="102" t="s">
        <v>30</v>
      </c>
      <c r="M348" s="102" t="s">
        <v>30</v>
      </c>
      <c r="N348" s="102" t="s">
        <v>30</v>
      </c>
      <c r="O348" s="102" t="s">
        <v>30</v>
      </c>
      <c r="P348" s="102" t="s">
        <v>30</v>
      </c>
      <c r="Q348" s="102" t="s">
        <v>30</v>
      </c>
      <c r="R348" s="102" t="s">
        <v>30</v>
      </c>
      <c r="S348" s="102" t="s">
        <v>30</v>
      </c>
      <c r="T348" s="102" t="s">
        <v>30</v>
      </c>
      <c r="U348" s="102" t="s">
        <v>30</v>
      </c>
      <c r="V348" s="102" t="s">
        <v>30</v>
      </c>
      <c r="W348" s="102" t="s">
        <v>30</v>
      </c>
      <c r="X348" s="102" t="s">
        <v>30</v>
      </c>
      <c r="Y348" s="305">
        <v>78</v>
      </c>
      <c r="Z348" s="335"/>
    </row>
    <row r="349" spans="2:26" ht="12.6" customHeight="1" x14ac:dyDescent="0.2">
      <c r="C349" s="1" t="str">
        <f>VLOOKUP(48,Textbausteine_Menu[],Hilfsgrössen!$D$2,FALSE)</f>
        <v>Kommunikations-Services</v>
      </c>
      <c r="D349" s="1" t="str">
        <f>VLOOKUP(38,Textbausteine_102[],Hilfsgrössen!$D$2,FALSE)</f>
        <v>Index</v>
      </c>
      <c r="E349" s="367" t="s">
        <v>109</v>
      </c>
      <c r="F349" s="9" t="s">
        <v>105</v>
      </c>
      <c r="H349" s="102" t="s">
        <v>30</v>
      </c>
      <c r="I349" s="102" t="s">
        <v>30</v>
      </c>
      <c r="J349" s="102" t="s">
        <v>30</v>
      </c>
      <c r="K349" s="102" t="s">
        <v>30</v>
      </c>
      <c r="L349" s="102" t="s">
        <v>30</v>
      </c>
      <c r="M349" s="102" t="s">
        <v>30</v>
      </c>
      <c r="N349" s="102" t="s">
        <v>30</v>
      </c>
      <c r="O349" s="102" t="s">
        <v>30</v>
      </c>
      <c r="P349" s="102" t="s">
        <v>30</v>
      </c>
      <c r="Q349" s="102" t="s">
        <v>30</v>
      </c>
      <c r="R349" s="102" t="s">
        <v>30</v>
      </c>
      <c r="S349" s="102" t="s">
        <v>30</v>
      </c>
      <c r="T349" s="102" t="s">
        <v>30</v>
      </c>
      <c r="U349" s="102" t="s">
        <v>30</v>
      </c>
      <c r="V349" s="102" t="s">
        <v>30</v>
      </c>
      <c r="W349" s="102" t="s">
        <v>30</v>
      </c>
      <c r="X349" s="102" t="s">
        <v>30</v>
      </c>
      <c r="Y349" s="305" t="s">
        <v>30</v>
      </c>
      <c r="Z349" s="335"/>
    </row>
    <row r="350" spans="2:26" ht="12.6" customHeight="1" x14ac:dyDescent="0.2">
      <c r="C350" s="1" t="str">
        <f>VLOOKUP(46,Textbausteine_Menu[],Hilfsgrössen!$D$2,FALSE)</f>
        <v>Swiss Post Solutions</v>
      </c>
      <c r="D350" s="1" t="str">
        <f>VLOOKUP(38,Textbausteine_102[],Hilfsgrössen!$D$2,FALSE)</f>
        <v>Index</v>
      </c>
      <c r="E350" s="162" t="s">
        <v>110</v>
      </c>
      <c r="F350" s="9" t="s">
        <v>105</v>
      </c>
      <c r="H350" s="197">
        <v>72</v>
      </c>
      <c r="I350" s="197">
        <v>76</v>
      </c>
      <c r="J350" s="197">
        <v>76</v>
      </c>
      <c r="K350" s="197">
        <v>75</v>
      </c>
      <c r="L350" s="197">
        <v>77</v>
      </c>
      <c r="M350" s="197">
        <v>78</v>
      </c>
      <c r="N350" s="212">
        <v>81</v>
      </c>
      <c r="O350" s="212">
        <v>82</v>
      </c>
      <c r="P350" s="198">
        <v>83</v>
      </c>
      <c r="Q350" s="198">
        <v>80</v>
      </c>
      <c r="R350" s="197">
        <v>82</v>
      </c>
      <c r="S350" s="197">
        <v>79</v>
      </c>
      <c r="T350" s="224">
        <v>86</v>
      </c>
      <c r="U350" s="224">
        <v>87</v>
      </c>
      <c r="V350" s="224">
        <v>87</v>
      </c>
      <c r="W350" s="224">
        <v>88</v>
      </c>
      <c r="X350" s="285">
        <v>88</v>
      </c>
      <c r="Y350" s="305">
        <v>90</v>
      </c>
      <c r="Z350" s="335"/>
    </row>
    <row r="351" spans="2:26" ht="12.6" customHeight="1" x14ac:dyDescent="0.2">
      <c r="C351" s="1" t="str">
        <f>VLOOKUP(49,Textbausteine_Menu[],Hilfsgrössen!$D$2,FALSE)</f>
        <v>PostFinance</v>
      </c>
      <c r="D351" s="1" t="str">
        <f>VLOOKUP(38,Textbausteine_102[],Hilfsgrössen!$D$2,FALSE)</f>
        <v>Index</v>
      </c>
      <c r="E351" s="162">
        <v>1</v>
      </c>
      <c r="F351" s="9" t="s">
        <v>105</v>
      </c>
      <c r="H351" s="197">
        <v>80</v>
      </c>
      <c r="I351" s="197">
        <v>81</v>
      </c>
      <c r="J351" s="197">
        <v>82</v>
      </c>
      <c r="K351" s="197">
        <v>82</v>
      </c>
      <c r="L351" s="197">
        <v>82</v>
      </c>
      <c r="M351" s="197">
        <v>83</v>
      </c>
      <c r="N351" s="212">
        <v>83</v>
      </c>
      <c r="O351" s="212">
        <v>83</v>
      </c>
      <c r="P351" s="198">
        <v>84</v>
      </c>
      <c r="Q351" s="198">
        <v>83</v>
      </c>
      <c r="R351" s="197">
        <v>82</v>
      </c>
      <c r="S351" s="197">
        <v>79</v>
      </c>
      <c r="T351" s="224">
        <v>81</v>
      </c>
      <c r="U351" s="224">
        <v>80</v>
      </c>
      <c r="V351" s="224">
        <v>80</v>
      </c>
      <c r="W351" s="224">
        <v>76</v>
      </c>
      <c r="X351" s="285">
        <v>78</v>
      </c>
      <c r="Y351" s="305">
        <v>77</v>
      </c>
      <c r="Z351" s="335"/>
    </row>
    <row r="352" spans="2:26" ht="12.6" customHeight="1" x14ac:dyDescent="0.2">
      <c r="C352" s="13"/>
      <c r="H352" s="99"/>
      <c r="I352" s="99"/>
      <c r="J352" s="99"/>
      <c r="K352" s="99"/>
      <c r="L352" s="99"/>
      <c r="M352" s="99"/>
      <c r="N352" s="11"/>
      <c r="O352" s="11"/>
      <c r="R352" s="99"/>
      <c r="S352" s="99"/>
      <c r="T352" s="9"/>
      <c r="U352" s="9"/>
      <c r="V352" s="9"/>
      <c r="W352" s="9"/>
      <c r="X352" s="307"/>
      <c r="Y352" s="9"/>
    </row>
    <row r="353" spans="2:26" ht="12.6" customHeight="1" x14ac:dyDescent="0.25">
      <c r="B353" s="302" t="str">
        <f>VLOOKUP(338,Textbausteine_102[],Hilfsgrössen!$D$2,FALSE)</f>
        <v>1) Mit der Kundenzufriedenheitsmessung werden die Kundinnen und Kunden jährlich über ihre Zufriedenheit mit den Dienstleistungen der Post befragt. Die Resultate wurden bis 31.12.2015 in einem durchschnittlichen Indexwert aus Erwartungserfüllung, Nähe zum idealen Dienstleister und Gesamtzufriedenheit abgebildet. Ab 1.1.2016 wird der Indexwert der Gesamtzufriedenheit ausgewiesen.</v>
      </c>
      <c r="Z353" s="335"/>
    </row>
    <row r="354" spans="2:26" ht="12.6" customHeight="1" x14ac:dyDescent="0.25">
      <c r="B354" s="302" t="str">
        <f>VLOOKUP(339,Textbausteine_102[],Hilfsgrössen!$D$2,FALSE)</f>
        <v>2) Seit 2019 befragt PostNetz seine Kundinnen und Kunden nur noch online. Der Vorjahreswert 2018 wurde zur besseren Vergleichbarkeit angepasst. Die Werte vor 2018 sind nicht vergleichbar.</v>
      </c>
      <c r="Z354" s="335"/>
    </row>
    <row r="355" spans="2:26" ht="12.6" customHeight="1" x14ac:dyDescent="0.25">
      <c r="B355" s="302" t="str">
        <f>VLOOKUP(340,Textbausteine_102[],Hilfsgrössen!$D$2,FALSE)</f>
        <v>3) Aufgrund einer neuen Erhebungsmethode 2018 kann hier kein zum Vorjahr vergleichbarer Wert ausgewiesen werden.</v>
      </c>
      <c r="Z355" s="335"/>
    </row>
    <row r="356" spans="2:26" ht="12.6" customHeight="1" x14ac:dyDescent="0.25">
      <c r="B356" s="302" t="str">
        <f>VLOOKUP(341,Textbausteine_102[],Hilfsgrössen!$D$2,FALSE)</f>
        <v>4) Aufgrund von Änderungen in der Stichprobenziehung sind die Resultate des Jahres 2015 nicht mit jenen der Vorjahre vergleichbar.</v>
      </c>
      <c r="Z356" s="335"/>
    </row>
    <row r="357" spans="2:26" ht="12.6" customHeight="1" x14ac:dyDescent="0.25">
      <c r="B357" s="302" t="str">
        <f>VLOOKUP(342,Textbausteine_102[],Hilfsgrössen!$D$2,FALSE)</f>
        <v>5)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v>
      </c>
      <c r="C357" s="302"/>
      <c r="Z357" s="335"/>
    </row>
    <row r="358" spans="2:26" ht="12.6" customHeight="1" x14ac:dyDescent="0.25">
      <c r="B358" s="302" t="str">
        <f>VLOOKUP(343,Textbausteine_102[],Hilfsgrössen!$D$2,FALSE)</f>
        <v>6) Kommunikations-Services erfasst die Kundenzufriedenheit noch nicht systematisch.</v>
      </c>
      <c r="C358" s="302"/>
      <c r="Z358" s="335"/>
    </row>
    <row r="359" spans="2:26" ht="12.6" customHeight="1" x14ac:dyDescent="0.25">
      <c r="B359" s="302" t="str">
        <f>VLOOKUP(344,Textbausteine_102[],Hilfsgrössen!$D$2,FALSE)</f>
        <v xml:space="preserve">7) Aufgrund einer Änderung in der Stichprobenzusammensetzung lassen sich ab 2021 die beiden Kundentypen Freizeitreisende und Pendler nicht mehr unterscheiden, es wird nur noch ein Wert PostAuto ausgewiesen. Kein Vergleich zum Vorjahr möglich. </v>
      </c>
      <c r="Z359" s="335"/>
    </row>
    <row r="360" spans="2:26" ht="12.6" customHeight="1" x14ac:dyDescent="0.25">
      <c r="B360" s="302" t="str">
        <f>VLOOKUP(345,Textbausteine_102[],Hilfsgrössen!$D$2,FALSE)</f>
        <v xml:space="preserve">8) Das Segment Logistik-Services ist seit dem 1.1.2021 operativ. Die bisherigen Segmente PostMail und PostLogistics wurden in diesem neuen Segment zusammengeführt. </v>
      </c>
      <c r="Z360" s="335"/>
    </row>
  </sheetData>
  <sheetProtection algorithmName="SHA-512" hashValue="ATJrwM10m6pMG+tPGbXvgOrR+iRU4Xj5CuEeyRu1V4L527FbWLcejuqqKOhfEwo9tgy+CZPcTEV55mLuXT5d9g==" saltValue="FBnqTfIjBvrhZbLLM6IUMA==" spinCount="100000" sheet="1" objects="1" scenarios="1"/>
  <mergeCells count="14">
    <mergeCell ref="B335:C336"/>
    <mergeCell ref="D2:E2"/>
    <mergeCell ref="B262:C263"/>
    <mergeCell ref="B292:C293"/>
    <mergeCell ref="B2:C2"/>
    <mergeCell ref="B3:C3"/>
    <mergeCell ref="B210:C211"/>
    <mergeCell ref="B248:C249"/>
    <mergeCell ref="B20:C21"/>
    <mergeCell ref="B323:C324"/>
    <mergeCell ref="B46:C47"/>
    <mergeCell ref="B58:C59"/>
    <mergeCell ref="B73:C74"/>
    <mergeCell ref="B189:C190"/>
  </mergeCells>
  <conditionalFormatting sqref="H20:CE23 H25:X26 Z24:CE26 H34:W34 Z34:CE34 H62:Y64 H68:Y68 Y67 H81:X82 H92:S92 H132 N132:X132 H97:Y97 H131:X131 H145:X147 H138:CE139 H151:X151 H140:X142 H152:CE153 Z52:CE52 H53:CE61 Z62:CE68 Z106:CE111 H112:CE130 Y140:CE151 H159:Y159 H154:Y157 H94:S94 H133:X137 Z85:CE97 K216:W216 H214:W215 Y81:Y84 Y86 Y107:Y111 Y131:CE137 Z154:CE159 H93:T93 H98:CE105 X214:CE216 H27:CE33 H35:CE51 H69:CE76 H77:Y80 AA77:CE84 H160:CE213 H282:K283 H307:Q310 H348:X349 H274:X281 N272:X272 P273:X273 H267:X271 H352:CE10014 T282:Y282 H284:Y284 H305:Y306 Y300 Y304 Y308 H343:X343 Y267:CE281 Z282:CE284 H285:CE296 Y310:CE310 H311:CE339 H217:CE266 H297:Y298 Z340:CE351 Z297:CE309">
    <cfRule type="expression" dxfId="1002" priority="1121">
      <formula>AND($D20&lt;&gt;"",H$20&lt;&gt;"",H20="")</formula>
    </cfRule>
    <cfRule type="expression" dxfId="1001" priority="1155">
      <formula>AND($A20="",ABS(H20)=0)</formula>
    </cfRule>
    <cfRule type="expression" dxfId="1000" priority="1157">
      <formula>AND($A20="",ABS(H20)&lt;10)</formula>
    </cfRule>
    <cfRule type="expression" dxfId="999" priority="1158">
      <formula>AND($A20="",ABS(H20)&lt;100)</formula>
    </cfRule>
    <cfRule type="expression" dxfId="998" priority="1159">
      <formula>AND($A20="",ABS(H20)&gt;=100)</formula>
    </cfRule>
  </conditionalFormatting>
  <conditionalFormatting sqref="Y25:Y26">
    <cfRule type="expression" dxfId="997" priority="851">
      <formula>AND($D25&lt;&gt;"",Y$20&lt;&gt;"",Y25="")</formula>
    </cfRule>
    <cfRule type="expression" dxfId="996" priority="852">
      <formula>AND($A25="",ABS(Y25)=0)</formula>
    </cfRule>
    <cfRule type="expression" dxfId="995" priority="853">
      <formula>AND($A25="",ABS(Y25)&lt;10)</formula>
    </cfRule>
    <cfRule type="expression" dxfId="994" priority="854">
      <formula>AND($A25="",ABS(Y25)&lt;100)</formula>
    </cfRule>
    <cfRule type="expression" dxfId="993" priority="855">
      <formula>AND($A25="",ABS(Y25)&gt;=100)</formula>
    </cfRule>
  </conditionalFormatting>
  <conditionalFormatting sqref="U94">
    <cfRule type="expression" dxfId="992" priority="46">
      <formula>AND($D94&lt;&gt;"",U$20&lt;&gt;"",U94="")</formula>
    </cfRule>
    <cfRule type="expression" dxfId="991" priority="47">
      <formula>AND($A94="",ABS(U94)=0)</formula>
    </cfRule>
    <cfRule type="expression" dxfId="990" priority="48">
      <formula>AND($A94="",ABS(U94)&lt;10)</formula>
    </cfRule>
    <cfRule type="expression" dxfId="989" priority="49">
      <formula>AND($A94="",ABS(U94)&lt;100)</formula>
    </cfRule>
    <cfRule type="expression" dxfId="988" priority="50">
      <formula>AND($A94="",ABS(U94)&gt;=100)</formula>
    </cfRule>
  </conditionalFormatting>
  <conditionalFormatting sqref="U95">
    <cfRule type="expression" dxfId="987" priority="41">
      <formula>AND($D95&lt;&gt;"",U$20&lt;&gt;"",U95="")</formula>
    </cfRule>
    <cfRule type="expression" dxfId="986" priority="42">
      <formula>AND($A95="",ABS(U95)=0)</formula>
    </cfRule>
    <cfRule type="expression" dxfId="985" priority="43">
      <formula>AND($A95="",ABS(U95)&lt;10)</formula>
    </cfRule>
    <cfRule type="expression" dxfId="984" priority="44">
      <formula>AND($A95="",ABS(U95)&lt;100)</formula>
    </cfRule>
    <cfRule type="expression" dxfId="983" priority="45">
      <formula>AND($A95="",ABS(U95)&gt;=100)</formula>
    </cfRule>
  </conditionalFormatting>
  <conditionalFormatting sqref="V94">
    <cfRule type="expression" dxfId="982" priority="36">
      <formula>AND($D94&lt;&gt;"",V$20&lt;&gt;"",V94="")</formula>
    </cfRule>
    <cfRule type="expression" dxfId="981" priority="37">
      <formula>AND($A94="",ABS(V94)=0)</formula>
    </cfRule>
    <cfRule type="expression" dxfId="980" priority="38">
      <formula>AND($A94="",ABS(V94)&lt;10)</formula>
    </cfRule>
    <cfRule type="expression" dxfId="979" priority="39">
      <formula>AND($A94="",ABS(V94)&lt;100)</formula>
    </cfRule>
    <cfRule type="expression" dxfId="978" priority="40">
      <formula>AND($A94="",ABS(V94)&gt;=100)</formula>
    </cfRule>
  </conditionalFormatting>
  <conditionalFormatting sqref="V95">
    <cfRule type="expression" dxfId="977" priority="31">
      <formula>AND($D95&lt;&gt;"",V$20&lt;&gt;"",V95="")</formula>
    </cfRule>
    <cfRule type="expression" dxfId="976" priority="32">
      <formula>AND($A95="",ABS(V95)=0)</formula>
    </cfRule>
    <cfRule type="expression" dxfId="975" priority="33">
      <formula>AND($A95="",ABS(V95)&lt;10)</formula>
    </cfRule>
    <cfRule type="expression" dxfId="974" priority="34">
      <formula>AND($A95="",ABS(V95)&lt;100)</formula>
    </cfRule>
    <cfRule type="expression" dxfId="973" priority="35">
      <formula>AND($A95="",ABS(V95)&gt;=100)</formula>
    </cfRule>
  </conditionalFormatting>
  <conditionalFormatting sqref="W94">
    <cfRule type="expression" dxfId="972" priority="26">
      <formula>AND($D94&lt;&gt;"",W$20&lt;&gt;"",W94="")</formula>
    </cfRule>
    <cfRule type="expression" dxfId="971" priority="27">
      <formula>AND($A94="",ABS(W94)=0)</formula>
    </cfRule>
    <cfRule type="expression" dxfId="970" priority="28">
      <formula>AND($A94="",ABS(W94)&lt;10)</formula>
    </cfRule>
    <cfRule type="expression" dxfId="969" priority="29">
      <formula>AND($A94="",ABS(W94)&lt;100)</formula>
    </cfRule>
    <cfRule type="expression" dxfId="968" priority="30">
      <formula>AND($A94="",ABS(W94)&gt;=100)</formula>
    </cfRule>
  </conditionalFormatting>
  <conditionalFormatting sqref="W95">
    <cfRule type="expression" dxfId="967" priority="21">
      <formula>AND($D95&lt;&gt;"",W$20&lt;&gt;"",W95="")</formula>
    </cfRule>
    <cfRule type="expression" dxfId="966" priority="22">
      <formula>AND($A95="",ABS(W95)=0)</formula>
    </cfRule>
    <cfRule type="expression" dxfId="965" priority="23">
      <formula>AND($A95="",ABS(W95)&lt;10)</formula>
    </cfRule>
    <cfRule type="expression" dxfId="964" priority="24">
      <formula>AND($A95="",ABS(W95)&lt;100)</formula>
    </cfRule>
    <cfRule type="expression" dxfId="963" priority="25">
      <formula>AND($A95="",ABS(W95)&gt;=100)</formula>
    </cfRule>
  </conditionalFormatting>
  <conditionalFormatting sqref="X94">
    <cfRule type="expression" dxfId="962" priority="16">
      <formula>AND($D94&lt;&gt;"",X$20&lt;&gt;"",X94="")</formula>
    </cfRule>
    <cfRule type="expression" dxfId="961" priority="17">
      <formula>AND($A94="",ABS(X94)=0)</formula>
    </cfRule>
    <cfRule type="expression" dxfId="960" priority="18">
      <formula>AND($A94="",ABS(X94)&lt;10)</formula>
    </cfRule>
    <cfRule type="expression" dxfId="959" priority="19">
      <formula>AND($A94="",ABS(X94)&lt;100)</formula>
    </cfRule>
    <cfRule type="expression" dxfId="958" priority="20">
      <formula>AND($A94="",ABS(X94)&gt;=100)</formula>
    </cfRule>
  </conditionalFormatting>
  <conditionalFormatting sqref="X95">
    <cfRule type="expression" dxfId="957" priority="11">
      <formula>AND($D95&lt;&gt;"",X$20&lt;&gt;"",X95="")</formula>
    </cfRule>
    <cfRule type="expression" dxfId="956" priority="12">
      <formula>AND($A95="",ABS(X95)=0)</formula>
    </cfRule>
    <cfRule type="expression" dxfId="955" priority="13">
      <formula>AND($A95="",ABS(X95)&lt;10)</formula>
    </cfRule>
    <cfRule type="expression" dxfId="954" priority="14">
      <formula>AND($A95="",ABS(X95)&lt;100)</formula>
    </cfRule>
    <cfRule type="expression" dxfId="953" priority="15">
      <formula>AND($A95="",ABS(X95)&gt;=100)</formula>
    </cfRule>
  </conditionalFormatting>
  <conditionalFormatting sqref="Z77:Z84">
    <cfRule type="expression" dxfId="952" priority="6">
      <formula>AND($D77&lt;&gt;"",Z$20&lt;&gt;"",Z77="")</formula>
    </cfRule>
    <cfRule type="expression" dxfId="951" priority="7">
      <formula>AND($A77="",ABS(Z77)=0)</formula>
    </cfRule>
    <cfRule type="expression" dxfId="950" priority="8">
      <formula>AND($A77="",ABS(Z77)&lt;10)</formula>
    </cfRule>
    <cfRule type="expression" dxfId="949" priority="9">
      <formula>AND($A77="",ABS(Z77)&lt;100)</formula>
    </cfRule>
    <cfRule type="expression" dxfId="948" priority="10">
      <formula>AND($A77="",ABS(Z77)&gt;=100)</formula>
    </cfRule>
  </conditionalFormatting>
  <dataValidations count="2">
    <dataValidation type="list" allowBlank="1" showInputMessage="1" showErrorMessage="1" sqref="G2" xr:uid="{00000000-0002-0000-0100-000000000000}">
      <formula1>Sprache</formula1>
    </dataValidation>
    <dataValidation allowBlank="1" showInputMessage="1" showErrorMessage="1" sqref="F2" xr:uid="{E3C9188C-227E-4A86-9CA8-B2C7F4C1BDA2}"/>
  </dataValidations>
  <hyperlinks>
    <hyperlink ref="D2" location="Home" display="Home" xr:uid="{00000000-0004-0000-0100-000000000000}"/>
    <hyperlink ref="A210" location="GRI_102" display="Ó" xr:uid="{00000000-0004-0000-0100-000001000000}"/>
    <hyperlink ref="A248" location="GRI_102" display="Ó" xr:uid="{00000000-0004-0000-0100-000002000000}"/>
    <hyperlink ref="A292" location="GRI_102" display="Ó" xr:uid="{00000000-0004-0000-0100-000003000000}"/>
    <hyperlink ref="A262" location="GRI_102" display="Ó" xr:uid="{00000000-0004-0000-0100-000004000000}"/>
    <hyperlink ref="C12" location="GRI_102_8a" display="GRI_102_8a" xr:uid="{00000000-0004-0000-0100-000005000000}"/>
    <hyperlink ref="C13" location="GRI_102_8b" display="GRI_102_8b" xr:uid="{00000000-0004-0000-0100-000006000000}"/>
    <hyperlink ref="C14" location="GRI_102_8c" display="GRI_102_8c" xr:uid="{00000000-0004-0000-0100-000007000000}"/>
    <hyperlink ref="C15" location="GRI_102_8d" display="GRI_102_8d" xr:uid="{00000000-0004-0000-0100-000008000000}"/>
    <hyperlink ref="A323" location="GRI_102" display="Ó" xr:uid="{00000000-0004-0000-0100-000009000000}"/>
    <hyperlink ref="A46" location="GRI_102" display="Ó" xr:uid="{00000000-0004-0000-0100-00000A000000}"/>
    <hyperlink ref="A58" location="GRI_102" display="Ó" xr:uid="{00000000-0004-0000-0100-00000B000000}"/>
    <hyperlink ref="A73" location="GRI_102" display="Ó" xr:uid="{00000000-0004-0000-0100-00000C000000}"/>
    <hyperlink ref="A189" location="GRI_102" display="Ó" xr:uid="{00000000-0004-0000-0100-00000D000000}"/>
    <hyperlink ref="A335" location="GRI_102" display="Ó" xr:uid="{00000000-0004-0000-0100-00000E000000}"/>
    <hyperlink ref="C8" location="GRI_102_7a" display="Finanzierung" xr:uid="{00000000-0004-0000-0100-00000F000000}"/>
    <hyperlink ref="C9" location="GRI_102_7b" display="Cashflow und Investitionen" xr:uid="{00000000-0004-0000-0100-000010000000}"/>
    <hyperlink ref="C10" location="GRI_102_7c" display="Mengenentwicklung Konzern, in den Segmenten und Bereichen" xr:uid="{00000000-0004-0000-0100-000011000000}"/>
    <hyperlink ref="C11" location="GRI_102_7d" display="Volumen Zahlungsverkehr" xr:uid="{00000000-0004-0000-0100-000012000000}"/>
    <hyperlink ref="A20" location="GRI_102" display="Ó" xr:uid="{00000000-0004-0000-0100-000013000000}"/>
    <hyperlink ref="C7" location="GRI_102_6a" display="GRI_102_6a" xr:uid="{00000000-0004-0000-0100-000014000000}"/>
    <hyperlink ref="C16" location="GRI_102_9a" display="Lieferkette" xr:uid="{00000000-0004-0000-0100-000015000000}"/>
    <hyperlink ref="C17" location="GRI_102_43a" display="Kundenzufriedenheit" xr:uid="{00000000-0004-0000-0100-000016000000}"/>
  </hyperlinks>
  <pageMargins left="0.7" right="0.7" top="0.78740157499999996" bottom="0.78740157499999996" header="0.3" footer="0.3"/>
  <pageSetup paperSize="9" orientation="portrait" r:id="rId1"/>
  <ignoredErrors>
    <ignoredError sqref="E31 E254:E255 E267:E284 E301:E306 E26" twoDigitTextYear="1"/>
    <ignoredError sqref="C253 C308:C309" formula="1"/>
    <ignoredError sqref="E298 E127 E159 E156 E114 E119 E121:E123 E116:E117" numberStoredAsText="1"/>
    <ignoredError sqref="E307:E308" twoDigitTextYear="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523178"/>
  </sheetPr>
  <dimension ref="A2:AF165"/>
  <sheetViews>
    <sheetView showGridLines="0" showRowColHeaders="0" zoomScaleNormal="100" workbookViewId="0">
      <pane xSplit="7" topLeftCell="H1" activePane="topRight" state="frozen"/>
      <selection activeCell="B3" sqref="B3:C3"/>
      <selection pane="topRight" activeCell="C44" sqref="C44"/>
    </sheetView>
  </sheetViews>
  <sheetFormatPr baseColWidth="10" defaultColWidth="10.85546875" defaultRowHeight="12.95" customHeight="1" x14ac:dyDescent="0.2"/>
  <cols>
    <col min="1" max="1" width="2.42578125" style="61" customWidth="1"/>
    <col min="2" max="2" width="2.42578125" style="1" customWidth="1"/>
    <col min="3" max="3" width="44.140625" style="1" customWidth="1"/>
    <col min="4" max="4" width="10.28515625" style="1" customWidth="1"/>
    <col min="5" max="5" width="9.42578125" style="9" customWidth="1"/>
    <col min="6" max="6" width="14.140625" style="9" customWidth="1"/>
    <col min="7" max="7" width="2.42578125" style="34" customWidth="1"/>
    <col min="8" max="21" width="11.85546875" style="1" customWidth="1"/>
    <col min="22" max="23" width="12" style="11" customWidth="1"/>
    <col min="24" max="42" width="11.85546875" style="1" customWidth="1"/>
    <col min="43" max="16384" width="10.85546875" style="1"/>
  </cols>
  <sheetData>
    <row r="2" spans="1:30" s="97" customFormat="1" ht="26.1" customHeight="1" x14ac:dyDescent="0.2">
      <c r="A2" s="58"/>
      <c r="B2" s="406" t="str">
        <f>UPPER(RIGHT(Inhaltsverzeichnis!$C$12,LEN(Inhaltsverzeichnis!$C$12)-FIND(" – ",Inhaltsverzeichnis!$C$12,1)-2))</f>
        <v>WIRTSCHAFTLICHE LEISTUNG</v>
      </c>
      <c r="C2" s="406"/>
      <c r="D2" s="402" t="str">
        <f>VLOOKUP(35,Textbausteine_Menu[],Hilfsgrössen!$D$2,FALSE)</f>
        <v>zurück zum Inhaltsverzeichnis</v>
      </c>
      <c r="E2" s="403"/>
      <c r="F2" s="91" t="s">
        <v>0</v>
      </c>
      <c r="G2" s="104"/>
      <c r="V2" s="71"/>
      <c r="W2" s="71"/>
    </row>
    <row r="3" spans="1:30" s="98" customFormat="1" ht="26.1" customHeight="1" x14ac:dyDescent="0.2">
      <c r="A3" s="59"/>
      <c r="B3" s="407" t="str">
        <f>UPPER("GRI "&amp;LEFT(Inhaltsverzeichnis!$C$12,3))</f>
        <v>GRI 201</v>
      </c>
      <c r="C3" s="407"/>
      <c r="E3" s="27"/>
      <c r="F3" s="27"/>
      <c r="G3" s="32"/>
      <c r="V3" s="71"/>
      <c r="W3" s="71"/>
    </row>
    <row r="6" spans="1:30" s="6" customFormat="1" ht="12.95" customHeight="1" x14ac:dyDescent="0.2">
      <c r="A6" s="60"/>
      <c r="B6" s="6" t="str">
        <f>VLOOKUP(31,Textbausteine_Menu[],Hilfsgrössen!$D$2,FALSE)</f>
        <v>Offenlegungen</v>
      </c>
      <c r="E6" s="28"/>
      <c r="F6" s="28"/>
      <c r="G6" s="33"/>
      <c r="V6" s="11"/>
      <c r="W6" s="11"/>
    </row>
    <row r="7" spans="1:30" ht="12.95" customHeight="1" x14ac:dyDescent="0.2">
      <c r="B7" s="2"/>
      <c r="C7" s="3" t="str">
        <f>VLOOKUP(1,Textbausteine_201[],Hilfsgrössen!$D$2,FALSE)</f>
        <v>Finanzielles Ergebnis</v>
      </c>
      <c r="D7" s="4"/>
    </row>
    <row r="8" spans="1:30" ht="12.95" customHeight="1" x14ac:dyDescent="0.2">
      <c r="B8" s="2"/>
      <c r="C8" s="3" t="str">
        <f>VLOOKUP(3,Textbausteine_201[],Hilfsgrössen!$D$2,FALSE)</f>
        <v>Verteilung der Wertschöpfung</v>
      </c>
      <c r="D8" s="4"/>
    </row>
    <row r="9" spans="1:30" ht="12.95" customHeight="1" x14ac:dyDescent="0.2">
      <c r="B9" s="2"/>
      <c r="C9" s="5" t="str">
        <f>VLOOKUP(2,Textbausteine_201[],Hilfsgrössen!$D$2,FALSE)</f>
        <v>Pensionskasse</v>
      </c>
    </row>
    <row r="10" spans="1:30" ht="12.95" customHeight="1" x14ac:dyDescent="0.2">
      <c r="B10" s="2"/>
    </row>
    <row r="11" spans="1:30" ht="12.95" customHeight="1" x14ac:dyDescent="0.2">
      <c r="B11" s="2"/>
    </row>
    <row r="12" spans="1:30" s="6" customFormat="1" ht="12.95" customHeight="1" x14ac:dyDescent="0.2">
      <c r="A12" s="56" t="s">
        <v>27</v>
      </c>
      <c r="B12" s="401" t="str">
        <f>$C$7</f>
        <v>Finanzielles Ergebnis</v>
      </c>
      <c r="C12" s="401"/>
      <c r="D12" s="6" t="str">
        <f>VLOOKUP(32,Textbausteine_Menu[],Hilfsgrössen!$D$2,FALSE)</f>
        <v>Einheit</v>
      </c>
      <c r="E12" s="28" t="str">
        <f>VLOOKUP(33,Textbausteine_Menu[],Hilfsgrössen!$D$2,FALSE)</f>
        <v>Fussnoten</v>
      </c>
      <c r="F12" s="28" t="str">
        <f>VLOOKUP(34,Textbausteine_Menu[],Hilfsgrössen!$D$2,FALSE)</f>
        <v>GRI</v>
      </c>
      <c r="G12" s="33"/>
      <c r="H12" s="2">
        <v>2004</v>
      </c>
      <c r="I12" s="2">
        <v>2005</v>
      </c>
      <c r="J12" s="2">
        <v>2006</v>
      </c>
      <c r="K12" s="2">
        <v>2007</v>
      </c>
      <c r="L12" s="2">
        <v>2008</v>
      </c>
      <c r="M12" s="2">
        <v>2009</v>
      </c>
      <c r="N12" s="2">
        <v>2010</v>
      </c>
      <c r="O12" s="2">
        <v>2011</v>
      </c>
      <c r="P12" s="7">
        <v>2012</v>
      </c>
      <c r="Q12" s="2">
        <v>2013</v>
      </c>
      <c r="R12" s="7" t="s">
        <v>111</v>
      </c>
      <c r="S12" s="2">
        <v>2014</v>
      </c>
      <c r="T12" s="2">
        <v>2015</v>
      </c>
      <c r="U12" s="7" t="s">
        <v>112</v>
      </c>
      <c r="V12" s="7">
        <v>2016</v>
      </c>
      <c r="W12" s="7">
        <v>2017</v>
      </c>
      <c r="X12" s="7" t="s">
        <v>113</v>
      </c>
      <c r="Y12" s="7">
        <v>2018</v>
      </c>
      <c r="Z12" s="7">
        <v>2019</v>
      </c>
      <c r="AA12" s="7" t="s">
        <v>114</v>
      </c>
      <c r="AB12" s="149">
        <v>2021</v>
      </c>
      <c r="AC12" s="149" t="s">
        <v>115</v>
      </c>
    </row>
    <row r="13" spans="1:30" s="6" customFormat="1" ht="12.95" customHeight="1" x14ac:dyDescent="0.2">
      <c r="A13" s="61"/>
      <c r="B13" s="401"/>
      <c r="C13" s="401"/>
      <c r="E13" s="28"/>
      <c r="F13" s="28"/>
      <c r="G13" s="33"/>
      <c r="H13" s="2"/>
      <c r="I13" s="2"/>
      <c r="J13" s="2"/>
      <c r="K13" s="2"/>
      <c r="L13" s="2"/>
      <c r="M13" s="2"/>
      <c r="N13" s="2"/>
      <c r="O13" s="2"/>
      <c r="P13" s="7"/>
      <c r="Q13" s="2"/>
      <c r="R13" s="7"/>
      <c r="S13" s="2"/>
      <c r="T13" s="2"/>
      <c r="U13" s="7"/>
      <c r="V13" s="11"/>
      <c r="W13" s="11"/>
      <c r="X13" s="11"/>
      <c r="Y13" s="11"/>
      <c r="Z13" s="11"/>
      <c r="AA13" s="11"/>
      <c r="AB13" s="315"/>
      <c r="AC13" s="204"/>
    </row>
    <row r="14" spans="1:30" ht="12.95" customHeight="1" x14ac:dyDescent="0.2">
      <c r="B14" s="2"/>
      <c r="E14" s="10"/>
      <c r="H14" s="2"/>
      <c r="I14" s="2"/>
      <c r="J14" s="2"/>
      <c r="K14" s="2"/>
      <c r="L14" s="2"/>
      <c r="M14" s="2"/>
      <c r="N14" s="68"/>
      <c r="O14" s="68"/>
      <c r="P14" s="9"/>
      <c r="Q14" s="9"/>
      <c r="R14" s="9"/>
      <c r="S14" s="9"/>
      <c r="T14" s="9"/>
      <c r="U14" s="9"/>
      <c r="X14" s="11"/>
      <c r="Y14" s="11"/>
      <c r="Z14" s="11"/>
      <c r="AA14" s="11"/>
      <c r="AB14" s="315"/>
      <c r="AC14" s="205"/>
    </row>
    <row r="15" spans="1:30" ht="12.95" customHeight="1" x14ac:dyDescent="0.2">
      <c r="B15" s="2" t="str">
        <f>VLOOKUP(36,Textbausteine_Menu[],Hilfsgrössen!$D$2,FALSE)</f>
        <v>Konzern</v>
      </c>
      <c r="N15" s="9"/>
      <c r="O15" s="9"/>
      <c r="P15" s="9"/>
      <c r="Q15" s="9"/>
      <c r="R15" s="9"/>
      <c r="S15" s="9"/>
      <c r="T15" s="9"/>
      <c r="U15" s="9"/>
      <c r="X15" s="11"/>
      <c r="Y15" s="11"/>
      <c r="Z15" s="11"/>
      <c r="AA15" s="11"/>
      <c r="AB15" s="315"/>
      <c r="AC15" s="205"/>
    </row>
    <row r="16" spans="1:30" ht="12.95" customHeight="1" x14ac:dyDescent="0.2">
      <c r="C16" s="1" t="str">
        <f>VLOOKUP(31,Textbausteine_201[],Hilfsgrössen!$D$2,FALSE)</f>
        <v>Betriebsertrag</v>
      </c>
      <c r="D16" s="1" t="str">
        <f>VLOOKUP(11,Textbausteine_201[],Hilfsgrössen!$D$2,FALSE)</f>
        <v>Mio. CHF</v>
      </c>
      <c r="F16" s="9" t="s">
        <v>116</v>
      </c>
      <c r="H16" s="102" t="s">
        <v>30</v>
      </c>
      <c r="I16" s="12">
        <v>7499</v>
      </c>
      <c r="J16" s="12">
        <v>7895</v>
      </c>
      <c r="K16" s="12">
        <v>8712</v>
      </c>
      <c r="L16" s="12">
        <v>8980</v>
      </c>
      <c r="M16" s="12">
        <v>8558</v>
      </c>
      <c r="N16" s="12">
        <v>8736</v>
      </c>
      <c r="O16" s="12">
        <v>8599</v>
      </c>
      <c r="P16" s="12">
        <v>8576</v>
      </c>
      <c r="Q16" s="214">
        <v>8470</v>
      </c>
      <c r="R16" s="214">
        <v>8575</v>
      </c>
      <c r="S16" s="11" t="s">
        <v>117</v>
      </c>
      <c r="T16" s="12">
        <v>8224</v>
      </c>
      <c r="U16" s="12">
        <v>8224</v>
      </c>
      <c r="V16" s="12">
        <v>8188</v>
      </c>
      <c r="W16" s="12">
        <v>8007</v>
      </c>
      <c r="X16" s="12">
        <v>8064</v>
      </c>
      <c r="Y16" s="12">
        <v>7254</v>
      </c>
      <c r="Z16" s="12">
        <v>7168</v>
      </c>
      <c r="AA16" s="12">
        <v>6548</v>
      </c>
      <c r="AB16" s="370">
        <v>6877</v>
      </c>
      <c r="AC16" s="370">
        <v>6877</v>
      </c>
      <c r="AD16" s="338"/>
    </row>
    <row r="17" spans="1:30" ht="12.95" customHeight="1" x14ac:dyDescent="0.2">
      <c r="A17" s="44"/>
      <c r="C17" s="13" t="str">
        <f>VLOOKUP(32,Textbausteine_201[],Hilfsgrössen!$D$2,FALSE)</f>
        <v>im Ausland und grenzüberschreitend erwirtschaftet</v>
      </c>
      <c r="D17" s="1" t="str">
        <f>VLOOKUP(11,Textbausteine_201[],Hilfsgrössen!$D$2,FALSE)</f>
        <v>Mio. CHF</v>
      </c>
      <c r="E17" s="9">
        <v>1</v>
      </c>
      <c r="F17" s="9" t="s">
        <v>116</v>
      </c>
      <c r="H17" s="102" t="s">
        <v>30</v>
      </c>
      <c r="I17" s="12">
        <v>1089</v>
      </c>
      <c r="J17" s="12">
        <v>1391</v>
      </c>
      <c r="K17" s="12">
        <v>1741</v>
      </c>
      <c r="L17" s="12">
        <v>1608</v>
      </c>
      <c r="M17" s="12">
        <v>1391</v>
      </c>
      <c r="N17" s="12">
        <v>1218</v>
      </c>
      <c r="O17" s="12">
        <v>1095</v>
      </c>
      <c r="P17" s="12">
        <v>1025</v>
      </c>
      <c r="Q17" s="11" t="s">
        <v>118</v>
      </c>
      <c r="R17" s="11" t="s">
        <v>118</v>
      </c>
      <c r="S17" s="261">
        <v>1233</v>
      </c>
      <c r="T17" s="12">
        <v>1149</v>
      </c>
      <c r="U17" s="12">
        <v>1149</v>
      </c>
      <c r="V17" s="12">
        <v>1124</v>
      </c>
      <c r="W17" s="12">
        <v>1153</v>
      </c>
      <c r="X17" s="12">
        <v>1153</v>
      </c>
      <c r="Y17" s="12">
        <v>1061</v>
      </c>
      <c r="Z17" s="12">
        <v>1060</v>
      </c>
      <c r="AA17" s="12">
        <v>622</v>
      </c>
      <c r="AB17" s="370">
        <v>685</v>
      </c>
      <c r="AC17" s="370">
        <v>685</v>
      </c>
      <c r="AD17" s="338"/>
    </row>
    <row r="18" spans="1:30" ht="12.95" customHeight="1" x14ac:dyDescent="0.2">
      <c r="A18" s="62"/>
      <c r="C18" s="26" t="str">
        <f>VLOOKUP(37,Textbausteine_201[],Hilfsgrössen!$D$2,FALSE)</f>
        <v>als Anteil des Betriebsertrages</v>
      </c>
      <c r="D18" s="1" t="str">
        <f>VLOOKUP(12,Textbausteine_201[],Hilfsgrössen!$D$2,FALSE)</f>
        <v>%</v>
      </c>
      <c r="F18" s="9" t="s">
        <v>116</v>
      </c>
      <c r="H18" s="102" t="s">
        <v>30</v>
      </c>
      <c r="I18" s="1">
        <v>14.1</v>
      </c>
      <c r="J18" s="1">
        <v>17.600000000000001</v>
      </c>
      <c r="K18" s="1">
        <v>20</v>
      </c>
      <c r="L18" s="1">
        <v>17.899999999999999</v>
      </c>
      <c r="M18" s="11">
        <v>16.3</v>
      </c>
      <c r="N18" s="11">
        <v>13.9</v>
      </c>
      <c r="O18" s="11">
        <v>12.7</v>
      </c>
      <c r="P18" s="242">
        <f>P17/P16*100</f>
        <v>11.95195895522388</v>
      </c>
      <c r="Q18" s="85">
        <v>13.4</v>
      </c>
      <c r="R18" s="85">
        <v>13.2</v>
      </c>
      <c r="S18" s="85">
        <v>14.7</v>
      </c>
      <c r="T18" s="85">
        <v>14</v>
      </c>
      <c r="U18" s="85">
        <v>14</v>
      </c>
      <c r="V18" s="75">
        <v>13.9</v>
      </c>
      <c r="W18" s="75">
        <v>14.4</v>
      </c>
      <c r="X18" s="75">
        <v>14.3</v>
      </c>
      <c r="Y18" s="75">
        <v>14.6</v>
      </c>
      <c r="Z18" s="75">
        <v>14.8</v>
      </c>
      <c r="AA18" s="248">
        <v>9.5</v>
      </c>
      <c r="AB18" s="372">
        <f>AB17/AB16*100</f>
        <v>9.9607386941980511</v>
      </c>
      <c r="AC18" s="372">
        <f>AC17/AC16*100</f>
        <v>9.9607386941980511</v>
      </c>
      <c r="AD18" s="338"/>
    </row>
    <row r="19" spans="1:30" ht="12.95" customHeight="1" x14ac:dyDescent="0.2">
      <c r="C19" s="13" t="str">
        <f>VLOOKUP(33,Textbausteine_201[],Hilfsgrössen!$D$2,FALSE)</f>
        <v>reservierte Dienste</v>
      </c>
      <c r="D19" s="1" t="str">
        <f>VLOOKUP(11,Textbausteine_201[],Hilfsgrössen!$D$2,FALSE)</f>
        <v>Mio. CHF</v>
      </c>
      <c r="E19" s="9">
        <v>2</v>
      </c>
      <c r="F19" s="9" t="s">
        <v>116</v>
      </c>
      <c r="H19" s="102" t="s">
        <v>30</v>
      </c>
      <c r="I19" s="244">
        <v>2395</v>
      </c>
      <c r="J19" s="244">
        <v>2028</v>
      </c>
      <c r="K19" s="244">
        <v>1893</v>
      </c>
      <c r="L19" s="244">
        <v>1835</v>
      </c>
      <c r="M19" s="12">
        <v>1641</v>
      </c>
      <c r="N19" s="12">
        <v>1469</v>
      </c>
      <c r="O19" s="12">
        <v>1378</v>
      </c>
      <c r="P19" s="214">
        <v>1360</v>
      </c>
      <c r="Q19" s="214">
        <v>1237</v>
      </c>
      <c r="R19" s="214">
        <v>1237</v>
      </c>
      <c r="S19" s="214">
        <v>1213</v>
      </c>
      <c r="T19" s="214">
        <v>1225</v>
      </c>
      <c r="U19" s="214">
        <v>1225</v>
      </c>
      <c r="V19" s="12">
        <v>1161</v>
      </c>
      <c r="W19" s="12">
        <v>1153</v>
      </c>
      <c r="X19" s="12">
        <v>1153</v>
      </c>
      <c r="Y19" s="12">
        <v>1106</v>
      </c>
      <c r="Z19" s="12">
        <v>1046</v>
      </c>
      <c r="AA19" s="12">
        <v>994</v>
      </c>
      <c r="AB19" s="370">
        <v>957</v>
      </c>
      <c r="AC19" s="370">
        <v>957</v>
      </c>
      <c r="AD19" s="338"/>
    </row>
    <row r="20" spans="1:30" ht="12.95" customHeight="1" x14ac:dyDescent="0.2">
      <c r="C20" s="26" t="str">
        <f>VLOOKUP(37,Textbausteine_201[],Hilfsgrössen!$D$2,FALSE)</f>
        <v>als Anteil des Betriebsertrages</v>
      </c>
      <c r="D20" s="1" t="str">
        <f>VLOOKUP(12,Textbausteine_201[],Hilfsgrössen!$D$2,FALSE)</f>
        <v>%</v>
      </c>
      <c r="F20" s="9" t="s">
        <v>116</v>
      </c>
      <c r="H20" s="102" t="s">
        <v>30</v>
      </c>
      <c r="I20" s="1">
        <v>31.9</v>
      </c>
      <c r="J20" s="1">
        <v>25.7</v>
      </c>
      <c r="K20" s="241">
        <v>21.728650137741045</v>
      </c>
      <c r="L20" s="1">
        <v>20.399999999999999</v>
      </c>
      <c r="M20" s="11">
        <v>19.2</v>
      </c>
      <c r="N20" s="11">
        <v>16.8</v>
      </c>
      <c r="O20" s="232">
        <v>16</v>
      </c>
      <c r="P20" s="242">
        <f>P19/P16*100</f>
        <v>15.858208955223882</v>
      </c>
      <c r="Q20" s="242">
        <f>Q19/Q16*100</f>
        <v>14.604486422668241</v>
      </c>
      <c r="R20" s="242">
        <f>R19/R16*100</f>
        <v>14.425655976676385</v>
      </c>
      <c r="S20" s="242">
        <f>S19/8371*100</f>
        <v>14.490502926770995</v>
      </c>
      <c r="T20" s="85">
        <v>14.9</v>
      </c>
      <c r="U20" s="85">
        <v>14.9</v>
      </c>
      <c r="V20" s="9">
        <v>14.2</v>
      </c>
      <c r="W20" s="9">
        <v>14.4</v>
      </c>
      <c r="X20" s="9">
        <v>14.3</v>
      </c>
      <c r="Y20" s="11">
        <v>15.2</v>
      </c>
      <c r="Z20" s="9">
        <v>14.6</v>
      </c>
      <c r="AA20" s="14">
        <f>AA19/AA16*100</f>
        <v>15.18020769700672</v>
      </c>
      <c r="AB20" s="372">
        <v>13.9159517231351</v>
      </c>
      <c r="AC20" s="372">
        <v>13.915951723135089</v>
      </c>
      <c r="AD20" s="338"/>
    </row>
    <row r="21" spans="1:30" ht="12.95" customHeight="1" x14ac:dyDescent="0.2">
      <c r="C21" s="8" t="str">
        <f>VLOOKUP(34,Textbausteine_201[],Hilfsgrössen!$D$2,FALSE)</f>
        <v>Betriebsaufwand</v>
      </c>
      <c r="D21" s="1" t="str">
        <f>VLOOKUP(11,Textbausteine_201[],Hilfsgrössen!$D$2,FALSE)</f>
        <v>Mio. CHF</v>
      </c>
      <c r="F21" s="9" t="s">
        <v>116</v>
      </c>
      <c r="H21" s="102" t="s">
        <v>30</v>
      </c>
      <c r="I21" s="244">
        <v>6694</v>
      </c>
      <c r="J21" s="12">
        <v>7072</v>
      </c>
      <c r="K21" s="12">
        <v>7846</v>
      </c>
      <c r="L21" s="12">
        <v>8168</v>
      </c>
      <c r="M21" s="12">
        <v>7837</v>
      </c>
      <c r="N21" s="12">
        <v>7806</v>
      </c>
      <c r="O21" s="12">
        <v>7691</v>
      </c>
      <c r="P21" s="214">
        <v>7717</v>
      </c>
      <c r="Q21" s="214">
        <v>7229</v>
      </c>
      <c r="R21" s="214">
        <v>7664</v>
      </c>
      <c r="S21" s="214">
        <v>7654</v>
      </c>
      <c r="T21" s="15">
        <v>7348</v>
      </c>
      <c r="U21" s="15">
        <v>7401</v>
      </c>
      <c r="V21" s="15">
        <v>7484</v>
      </c>
      <c r="W21" s="15">
        <v>7346</v>
      </c>
      <c r="X21" s="15">
        <v>7346</v>
      </c>
      <c r="Y21" s="15">
        <v>6749</v>
      </c>
      <c r="Z21" s="15">
        <v>6718</v>
      </c>
      <c r="AA21" s="12">
        <v>6290</v>
      </c>
      <c r="AB21" s="370">
        <v>6231</v>
      </c>
      <c r="AC21" s="370">
        <v>6362</v>
      </c>
      <c r="AD21" s="338"/>
    </row>
    <row r="22" spans="1:30" ht="12.95" customHeight="1" x14ac:dyDescent="0.2">
      <c r="C22" s="13" t="str">
        <f>VLOOKUP(35,Textbausteine_201[],Hilfsgrössen!$D$2,FALSE)</f>
        <v>Personalaufwand</v>
      </c>
      <c r="D22" s="1" t="str">
        <f>VLOOKUP(11,Textbausteine_201[],Hilfsgrössen!$D$2,FALSE)</f>
        <v>Mio. CHF</v>
      </c>
      <c r="F22" s="9" t="s">
        <v>116</v>
      </c>
      <c r="H22" s="102" t="s">
        <v>30</v>
      </c>
      <c r="I22" s="244">
        <v>3704</v>
      </c>
      <c r="J22" s="12">
        <v>3711</v>
      </c>
      <c r="K22" s="12">
        <v>3851</v>
      </c>
      <c r="L22" s="12">
        <v>3873</v>
      </c>
      <c r="M22" s="12">
        <v>4032</v>
      </c>
      <c r="N22" s="12">
        <v>4076</v>
      </c>
      <c r="O22" s="12">
        <v>4026</v>
      </c>
      <c r="P22" s="214">
        <v>4161</v>
      </c>
      <c r="Q22" s="214">
        <v>3701</v>
      </c>
      <c r="R22" s="214">
        <v>4131</v>
      </c>
      <c r="S22" s="214">
        <v>4108</v>
      </c>
      <c r="T22" s="15">
        <v>4022</v>
      </c>
      <c r="U22" s="15">
        <v>4074</v>
      </c>
      <c r="V22" s="15">
        <v>4034</v>
      </c>
      <c r="W22" s="15">
        <v>3989</v>
      </c>
      <c r="X22" s="15">
        <v>3989</v>
      </c>
      <c r="Y22" s="15">
        <v>3802</v>
      </c>
      <c r="Z22" s="15">
        <v>3764</v>
      </c>
      <c r="AA22" s="12">
        <v>3529</v>
      </c>
      <c r="AB22" s="370">
        <v>3317</v>
      </c>
      <c r="AC22" s="370">
        <v>3448</v>
      </c>
      <c r="AD22" s="338"/>
    </row>
    <row r="23" spans="1:30" ht="12.95" customHeight="1" x14ac:dyDescent="0.2">
      <c r="C23" s="8" t="str">
        <f>VLOOKUP(36,Textbausteine_201[],Hilfsgrössen!$D$2,FALSE)</f>
        <v>Betriebsergebnis</v>
      </c>
      <c r="D23" s="1" t="str">
        <f>VLOOKUP(11,Textbausteine_201[],Hilfsgrössen!$D$2,FALSE)</f>
        <v>Mio. CHF</v>
      </c>
      <c r="F23" s="9" t="s">
        <v>116</v>
      </c>
      <c r="H23" s="102" t="s">
        <v>30</v>
      </c>
      <c r="I23" s="1">
        <v>805</v>
      </c>
      <c r="J23" s="1">
        <v>823</v>
      </c>
      <c r="K23" s="1">
        <v>866</v>
      </c>
      <c r="L23" s="1">
        <v>812</v>
      </c>
      <c r="M23" s="11">
        <v>721</v>
      </c>
      <c r="N23" s="11">
        <v>930</v>
      </c>
      <c r="O23" s="11">
        <v>908</v>
      </c>
      <c r="P23" s="85">
        <v>860</v>
      </c>
      <c r="Q23" s="85">
        <v>1241</v>
      </c>
      <c r="R23" s="85">
        <v>911</v>
      </c>
      <c r="S23" s="85">
        <v>803</v>
      </c>
      <c r="T23" s="9">
        <v>876</v>
      </c>
      <c r="U23" s="9">
        <v>823</v>
      </c>
      <c r="V23" s="9">
        <v>704</v>
      </c>
      <c r="W23" s="9">
        <v>661</v>
      </c>
      <c r="X23" s="9">
        <v>718</v>
      </c>
      <c r="Y23" s="9">
        <v>505</v>
      </c>
      <c r="Z23" s="9">
        <v>450</v>
      </c>
      <c r="AA23" s="11">
        <v>258</v>
      </c>
      <c r="AB23" s="370">
        <v>646</v>
      </c>
      <c r="AC23" s="370">
        <v>515</v>
      </c>
      <c r="AD23" s="338"/>
    </row>
    <row r="24" spans="1:30" ht="12.95" customHeight="1" x14ac:dyDescent="0.2">
      <c r="C24" s="13" t="str">
        <f>VLOOKUP(37,Textbausteine_201[],Hilfsgrössen!$D$2,FALSE)</f>
        <v>als Anteil des Betriebsertrages</v>
      </c>
      <c r="D24" s="1" t="str">
        <f>VLOOKUP(12,Textbausteine_201[],Hilfsgrössen!$D$2,FALSE)</f>
        <v>%</v>
      </c>
      <c r="F24" s="9" t="s">
        <v>116</v>
      </c>
      <c r="H24" s="231" t="s">
        <v>30</v>
      </c>
      <c r="I24" s="241">
        <v>10.7</v>
      </c>
      <c r="J24" s="241">
        <v>10.4</v>
      </c>
      <c r="K24" s="241">
        <v>9.9</v>
      </c>
      <c r="L24" s="241">
        <v>9</v>
      </c>
      <c r="M24" s="232">
        <v>8.3000000000000007</v>
      </c>
      <c r="N24" s="232">
        <v>10.7</v>
      </c>
      <c r="O24" s="232">
        <v>10.6</v>
      </c>
      <c r="P24" s="242">
        <f>P23/P16*100</f>
        <v>10.027985074626866</v>
      </c>
      <c r="Q24" s="242">
        <v>14.651711924439201</v>
      </c>
      <c r="R24" s="242">
        <f>R23/R16*100</f>
        <v>10.623906705539358</v>
      </c>
      <c r="S24" s="220">
        <v>9.6</v>
      </c>
      <c r="T24" s="220">
        <v>10.7</v>
      </c>
      <c r="U24" s="220">
        <v>10</v>
      </c>
      <c r="V24" s="220">
        <v>8.6</v>
      </c>
      <c r="W24" s="220">
        <v>8.3000000000000007</v>
      </c>
      <c r="X24" s="220">
        <v>8.9</v>
      </c>
      <c r="Y24" s="220">
        <v>7</v>
      </c>
      <c r="Z24" s="220">
        <v>6.3</v>
      </c>
      <c r="AA24" s="232">
        <v>3.9401343921808185</v>
      </c>
      <c r="AB24" s="373">
        <v>9.3936309437254621</v>
      </c>
      <c r="AC24" s="373">
        <v>7.4887305511123996</v>
      </c>
      <c r="AD24" s="338"/>
    </row>
    <row r="25" spans="1:30" ht="12.95" customHeight="1" x14ac:dyDescent="0.2">
      <c r="C25" s="13" t="str">
        <f>VLOOKUP(39,Textbausteine_201[],Hilfsgrössen!$D$2,FALSE)</f>
        <v>im Ausland und grenzüberschreitend erwirtschaftet</v>
      </c>
      <c r="D25" s="1" t="str">
        <f>VLOOKUP(11,Textbausteine_201[],Hilfsgrössen!$D$2,FALSE)</f>
        <v>Mio. CHF</v>
      </c>
      <c r="E25" s="9">
        <v>1</v>
      </c>
      <c r="F25" s="9" t="s">
        <v>116</v>
      </c>
      <c r="H25" s="102" t="s">
        <v>30</v>
      </c>
      <c r="I25" s="1">
        <v>38</v>
      </c>
      <c r="J25" s="1">
        <v>54.2</v>
      </c>
      <c r="K25" s="1">
        <v>60.6</v>
      </c>
      <c r="L25" s="1">
        <v>32.700000000000003</v>
      </c>
      <c r="M25" s="1">
        <v>35</v>
      </c>
      <c r="N25" s="11">
        <v>24.4</v>
      </c>
      <c r="O25" s="11">
        <v>52</v>
      </c>
      <c r="P25" s="85">
        <v>35</v>
      </c>
      <c r="Q25" s="11" t="s">
        <v>119</v>
      </c>
      <c r="R25" s="11" t="s">
        <v>119</v>
      </c>
      <c r="S25" s="85">
        <v>72</v>
      </c>
      <c r="T25" s="9">
        <v>57</v>
      </c>
      <c r="U25" s="9">
        <v>57</v>
      </c>
      <c r="V25" s="9">
        <v>64</v>
      </c>
      <c r="W25" s="9">
        <v>82</v>
      </c>
      <c r="X25" s="9">
        <v>82</v>
      </c>
      <c r="Y25" s="9">
        <v>91</v>
      </c>
      <c r="Z25" s="9">
        <v>67</v>
      </c>
      <c r="AA25" s="11">
        <v>42</v>
      </c>
      <c r="AB25" s="374">
        <v>57</v>
      </c>
      <c r="AC25" s="374">
        <v>57</v>
      </c>
      <c r="AD25" s="338"/>
    </row>
    <row r="26" spans="1:30" ht="12.95" customHeight="1" x14ac:dyDescent="0.2">
      <c r="C26" s="26" t="str">
        <f>VLOOKUP(38,Textbausteine_201[],Hilfsgrössen!$D$2,FALSE)</f>
        <v>als Anteil des Betriebsergebnisses</v>
      </c>
      <c r="D26" s="1" t="str">
        <f>VLOOKUP(12,Textbausteine_201[],Hilfsgrössen!$D$2,FALSE)</f>
        <v>%</v>
      </c>
      <c r="F26" s="9" t="s">
        <v>116</v>
      </c>
      <c r="H26" s="231" t="s">
        <v>30</v>
      </c>
      <c r="I26" s="241">
        <v>4.7</v>
      </c>
      <c r="J26" s="241">
        <v>6.6</v>
      </c>
      <c r="K26" s="241">
        <v>7</v>
      </c>
      <c r="L26" s="241">
        <v>4</v>
      </c>
      <c r="M26" s="232">
        <v>4.9000000000000004</v>
      </c>
      <c r="N26" s="232">
        <v>2.6</v>
      </c>
      <c r="O26" s="232">
        <v>5.7</v>
      </c>
      <c r="P26" s="242">
        <f>P25/P23*100</f>
        <v>4.0697674418604652</v>
      </c>
      <c r="Q26" s="242">
        <v>4.8</v>
      </c>
      <c r="R26" s="242">
        <v>6.6</v>
      </c>
      <c r="S26" s="242">
        <v>9</v>
      </c>
      <c r="T26" s="220">
        <v>6.5</v>
      </c>
      <c r="U26" s="220">
        <v>6.9</v>
      </c>
      <c r="V26" s="220">
        <v>9.1</v>
      </c>
      <c r="W26" s="220">
        <v>12.4</v>
      </c>
      <c r="X26" s="220">
        <v>11.4</v>
      </c>
      <c r="Y26" s="220">
        <v>18</v>
      </c>
      <c r="Z26" s="220">
        <v>14.9</v>
      </c>
      <c r="AA26" s="232">
        <v>16.2790697674419</v>
      </c>
      <c r="AB26" s="373">
        <v>8.8000000000000007</v>
      </c>
      <c r="AC26" s="373">
        <v>11.0679611650485</v>
      </c>
      <c r="AD26" s="338"/>
    </row>
    <row r="27" spans="1:30" ht="12.95" customHeight="1" x14ac:dyDescent="0.2">
      <c r="C27" s="1" t="str">
        <f>VLOOKUP(40,Textbausteine_201[],Hilfsgrössen!$D$2,FALSE)</f>
        <v>Konzerngewinn</v>
      </c>
      <c r="D27" s="1" t="str">
        <f>VLOOKUP(11,Textbausteine_201[],Hilfsgrössen!$D$2,FALSE)</f>
        <v>Mio. CHF</v>
      </c>
      <c r="F27" s="9" t="s">
        <v>116</v>
      </c>
      <c r="H27" s="102" t="s">
        <v>30</v>
      </c>
      <c r="I27" s="1">
        <v>811</v>
      </c>
      <c r="J27" s="1">
        <v>837</v>
      </c>
      <c r="K27" s="1">
        <v>909</v>
      </c>
      <c r="L27" s="1">
        <v>825</v>
      </c>
      <c r="M27" s="11">
        <v>728</v>
      </c>
      <c r="N27" s="11">
        <v>910</v>
      </c>
      <c r="O27" s="11">
        <v>904</v>
      </c>
      <c r="P27" s="85">
        <v>772</v>
      </c>
      <c r="Q27" s="85">
        <v>1751</v>
      </c>
      <c r="R27" s="85">
        <v>626</v>
      </c>
      <c r="S27" s="85">
        <v>638</v>
      </c>
      <c r="T27" s="9">
        <v>631</v>
      </c>
      <c r="U27" s="9">
        <v>645</v>
      </c>
      <c r="V27" s="9">
        <v>558</v>
      </c>
      <c r="W27" s="9">
        <v>482</v>
      </c>
      <c r="X27" s="9">
        <v>527</v>
      </c>
      <c r="Y27" s="9">
        <v>404</v>
      </c>
      <c r="Z27" s="9">
        <v>255</v>
      </c>
      <c r="AA27" s="11">
        <v>178</v>
      </c>
      <c r="AB27" s="370">
        <v>565</v>
      </c>
      <c r="AC27" s="370">
        <v>457</v>
      </c>
      <c r="AD27" s="338"/>
    </row>
    <row r="28" spans="1:30" ht="12.95" customHeight="1" x14ac:dyDescent="0.2">
      <c r="C28" s="1" t="str">
        <f>VLOOKUP(41,Textbausteine_201[],Hilfsgrössen!$D$2,FALSE)</f>
        <v>Geldfluss aus operativer Geschäftstätigkeit</v>
      </c>
      <c r="D28" s="1" t="str">
        <f>VLOOKUP(11,Textbausteine_201[],Hilfsgrössen!$D$2,FALSE)</f>
        <v>Mio. CHF</v>
      </c>
      <c r="F28" s="9" t="s">
        <v>116</v>
      </c>
      <c r="H28" s="102" t="s">
        <v>30</v>
      </c>
      <c r="I28" s="244">
        <v>3603</v>
      </c>
      <c r="J28" s="244">
        <v>3247</v>
      </c>
      <c r="K28" s="244">
        <v>-3312</v>
      </c>
      <c r="L28" s="244">
        <v>8281</v>
      </c>
      <c r="M28" s="12">
        <v>-357</v>
      </c>
      <c r="N28" s="12">
        <v>-2271</v>
      </c>
      <c r="O28" s="12">
        <v>19679</v>
      </c>
      <c r="P28" s="214">
        <v>13424</v>
      </c>
      <c r="Q28" s="214">
        <v>-367</v>
      </c>
      <c r="R28" s="214">
        <v>-367</v>
      </c>
      <c r="S28" s="214">
        <v>-1925</v>
      </c>
      <c r="T28" s="15">
        <v>-2990</v>
      </c>
      <c r="U28" s="15">
        <v>-2990</v>
      </c>
      <c r="V28" s="15">
        <v>-385</v>
      </c>
      <c r="W28" s="15">
        <v>1941</v>
      </c>
      <c r="X28" s="15">
        <v>1941</v>
      </c>
      <c r="Y28" s="15">
        <v>-1309</v>
      </c>
      <c r="Z28" s="15">
        <v>10261</v>
      </c>
      <c r="AA28" s="12">
        <v>-7995</v>
      </c>
      <c r="AB28" s="370">
        <v>8252</v>
      </c>
      <c r="AC28" s="370">
        <v>8252</v>
      </c>
      <c r="AD28" s="338"/>
    </row>
    <row r="29" spans="1:30" ht="12.95" customHeight="1" x14ac:dyDescent="0.2">
      <c r="A29" s="41"/>
      <c r="C29" s="1" t="str">
        <f>VLOOKUP(42,Textbausteine_201[],Hilfsgrössen!$D$2,FALSE)</f>
        <v>Unternehmensmehrwert</v>
      </c>
      <c r="D29" s="1" t="str">
        <f>VLOOKUP(11,Textbausteine_201[],Hilfsgrössen!$D$2,FALSE)</f>
        <v>Mio. CHF</v>
      </c>
      <c r="E29" s="9">
        <v>3</v>
      </c>
      <c r="F29" s="9" t="s">
        <v>116</v>
      </c>
      <c r="H29" s="102" t="s">
        <v>30</v>
      </c>
      <c r="I29" s="1">
        <v>532</v>
      </c>
      <c r="J29" s="1">
        <v>532</v>
      </c>
      <c r="K29" s="1">
        <v>559</v>
      </c>
      <c r="L29" s="1">
        <v>416</v>
      </c>
      <c r="M29" s="11">
        <v>272</v>
      </c>
      <c r="N29" s="11">
        <v>452</v>
      </c>
      <c r="O29" s="11">
        <v>390</v>
      </c>
      <c r="P29" s="85">
        <v>269</v>
      </c>
      <c r="Q29" s="11" t="s">
        <v>120</v>
      </c>
      <c r="R29" s="11" t="s">
        <v>120</v>
      </c>
      <c r="S29" s="9">
        <v>207</v>
      </c>
      <c r="T29" s="9">
        <v>169</v>
      </c>
      <c r="U29" s="9">
        <v>169</v>
      </c>
      <c r="V29" s="9">
        <v>121</v>
      </c>
      <c r="W29" s="9">
        <v>102</v>
      </c>
      <c r="X29" s="9">
        <v>102</v>
      </c>
      <c r="Y29" s="9">
        <v>-24</v>
      </c>
      <c r="Z29" s="9">
        <v>-17</v>
      </c>
      <c r="AA29" s="11">
        <v>-125</v>
      </c>
      <c r="AB29" s="370">
        <v>-19</v>
      </c>
      <c r="AC29" s="370">
        <v>-19</v>
      </c>
      <c r="AD29" s="338"/>
    </row>
    <row r="30" spans="1:30" ht="12.95" customHeight="1" x14ac:dyDescent="0.2">
      <c r="M30" s="11"/>
      <c r="N30" s="9"/>
      <c r="O30" s="9"/>
      <c r="P30" s="9"/>
      <c r="Q30" s="9"/>
      <c r="R30" s="9"/>
      <c r="S30" s="9"/>
      <c r="T30" s="9"/>
      <c r="U30" s="9"/>
      <c r="V30" s="9"/>
      <c r="W30" s="9"/>
      <c r="X30" s="9"/>
      <c r="Y30" s="9"/>
      <c r="Z30" s="9"/>
      <c r="AA30" s="9"/>
      <c r="AB30" s="317"/>
      <c r="AC30" s="317"/>
    </row>
    <row r="31" spans="1:30" ht="12.95" customHeight="1" x14ac:dyDescent="0.2">
      <c r="B31" s="2" t="str">
        <f>VLOOKUP(45,Textbausteine_Menu[],Hilfsgrössen!$D$2,FALSE)</f>
        <v>Logistik-Services</v>
      </c>
      <c r="E31" s="9">
        <v>8</v>
      </c>
      <c r="F31" s="11"/>
      <c r="G31" s="303"/>
      <c r="L31" s="9"/>
      <c r="M31" s="11"/>
      <c r="N31" s="9"/>
      <c r="O31" s="9"/>
      <c r="P31" s="11"/>
      <c r="Q31" s="11"/>
      <c r="R31" s="11"/>
      <c r="S31" s="11"/>
      <c r="T31" s="11"/>
      <c r="U31" s="11"/>
      <c r="V31" s="9"/>
      <c r="W31" s="9"/>
      <c r="X31" s="9"/>
      <c r="Y31" s="9"/>
      <c r="Z31" s="9"/>
      <c r="AA31" s="9"/>
      <c r="AB31" s="317"/>
      <c r="AC31" s="317"/>
    </row>
    <row r="32" spans="1:30" ht="12.95" customHeight="1" x14ac:dyDescent="0.2">
      <c r="C32" s="1" t="str">
        <f>VLOOKUP(31,Textbausteine_201[],Hilfsgrössen!$D$2,FALSE)</f>
        <v>Betriebsertrag</v>
      </c>
      <c r="D32" s="1" t="str">
        <f>VLOOKUP(11,Textbausteine_201[],Hilfsgrössen!$D$2,FALSE)</f>
        <v>Mio. CHF</v>
      </c>
      <c r="F32" s="9" t="s">
        <v>116</v>
      </c>
      <c r="H32" s="102" t="s">
        <v>30</v>
      </c>
      <c r="I32" s="102" t="s">
        <v>30</v>
      </c>
      <c r="J32" s="102" t="s">
        <v>30</v>
      </c>
      <c r="K32" s="102" t="s">
        <v>30</v>
      </c>
      <c r="L32" s="102" t="s">
        <v>30</v>
      </c>
      <c r="M32" s="102" t="s">
        <v>30</v>
      </c>
      <c r="N32" s="102" t="s">
        <v>30</v>
      </c>
      <c r="O32" s="102" t="s">
        <v>30</v>
      </c>
      <c r="P32" s="102" t="s">
        <v>30</v>
      </c>
      <c r="Q32" s="102" t="s">
        <v>30</v>
      </c>
      <c r="R32" s="102" t="s">
        <v>30</v>
      </c>
      <c r="S32" s="102" t="s">
        <v>30</v>
      </c>
      <c r="T32" s="102" t="s">
        <v>30</v>
      </c>
      <c r="U32" s="102" t="s">
        <v>30</v>
      </c>
      <c r="V32" s="102" t="s">
        <v>30</v>
      </c>
      <c r="W32" s="102" t="s">
        <v>30</v>
      </c>
      <c r="X32" s="102" t="s">
        <v>30</v>
      </c>
      <c r="Y32" s="102" t="s">
        <v>30</v>
      </c>
      <c r="Z32" s="102" t="s">
        <v>30</v>
      </c>
      <c r="AA32" s="218">
        <v>4049</v>
      </c>
      <c r="AB32" s="370">
        <v>4176</v>
      </c>
      <c r="AC32" s="370">
        <v>4176</v>
      </c>
      <c r="AD32" s="338"/>
    </row>
    <row r="33" spans="2:31" ht="12.95" customHeight="1" x14ac:dyDescent="0.2">
      <c r="C33" s="13" t="str">
        <f>VLOOKUP(33,Textbausteine_201[],Hilfsgrössen!$D$2,FALSE)</f>
        <v>reservierte Dienste</v>
      </c>
      <c r="D33" s="1" t="str">
        <f>VLOOKUP(12,Textbausteine_201[],Hilfsgrössen!$D$2,FALSE)</f>
        <v>%</v>
      </c>
      <c r="F33" s="9" t="s">
        <v>116</v>
      </c>
      <c r="H33" s="102" t="s">
        <v>30</v>
      </c>
      <c r="I33" s="102" t="s">
        <v>30</v>
      </c>
      <c r="J33" s="102" t="s">
        <v>30</v>
      </c>
      <c r="K33" s="102" t="s">
        <v>30</v>
      </c>
      <c r="L33" s="102" t="s">
        <v>30</v>
      </c>
      <c r="M33" s="102" t="s">
        <v>30</v>
      </c>
      <c r="N33" s="102" t="s">
        <v>30</v>
      </c>
      <c r="O33" s="102" t="s">
        <v>30</v>
      </c>
      <c r="P33" s="102" t="s">
        <v>30</v>
      </c>
      <c r="Q33" s="102" t="s">
        <v>30</v>
      </c>
      <c r="R33" s="102" t="s">
        <v>30</v>
      </c>
      <c r="S33" s="102" t="s">
        <v>30</v>
      </c>
      <c r="T33" s="102" t="s">
        <v>30</v>
      </c>
      <c r="U33" s="102" t="s">
        <v>30</v>
      </c>
      <c r="V33" s="102" t="s">
        <v>30</v>
      </c>
      <c r="W33" s="102" t="s">
        <v>30</v>
      </c>
      <c r="X33" s="102" t="s">
        <v>30</v>
      </c>
      <c r="Y33" s="102" t="s">
        <v>30</v>
      </c>
      <c r="Z33" s="102" t="s">
        <v>30</v>
      </c>
      <c r="AA33" s="152">
        <v>24.549271425043219</v>
      </c>
      <c r="AB33" s="384">
        <v>22.916666666666664</v>
      </c>
      <c r="AC33" s="384">
        <v>22.916666666666664</v>
      </c>
      <c r="AD33" s="338"/>
    </row>
    <row r="34" spans="2:31" ht="12.95" customHeight="1" x14ac:dyDescent="0.2">
      <c r="C34" s="1" t="str">
        <f>VLOOKUP(36,Textbausteine_201[],Hilfsgrössen!$D$2,FALSE)</f>
        <v>Betriebsergebnis</v>
      </c>
      <c r="D34" s="1" t="str">
        <f>VLOOKUP(11,Textbausteine_201[],Hilfsgrössen!$D$2,FALSE)</f>
        <v>Mio. CHF</v>
      </c>
      <c r="F34" s="9" t="s">
        <v>116</v>
      </c>
      <c r="H34" s="102" t="s">
        <v>30</v>
      </c>
      <c r="I34" s="102" t="s">
        <v>30</v>
      </c>
      <c r="J34" s="102" t="s">
        <v>30</v>
      </c>
      <c r="K34" s="102" t="s">
        <v>30</v>
      </c>
      <c r="L34" s="102" t="s">
        <v>30</v>
      </c>
      <c r="M34" s="102" t="s">
        <v>30</v>
      </c>
      <c r="N34" s="102" t="s">
        <v>30</v>
      </c>
      <c r="O34" s="102" t="s">
        <v>30</v>
      </c>
      <c r="P34" s="102" t="s">
        <v>30</v>
      </c>
      <c r="Q34" s="102" t="s">
        <v>30</v>
      </c>
      <c r="R34" s="102" t="s">
        <v>30</v>
      </c>
      <c r="S34" s="102" t="s">
        <v>30</v>
      </c>
      <c r="T34" s="102" t="s">
        <v>30</v>
      </c>
      <c r="U34" s="102" t="s">
        <v>30</v>
      </c>
      <c r="V34" s="102" t="s">
        <v>30</v>
      </c>
      <c r="W34" s="102" t="s">
        <v>30</v>
      </c>
      <c r="X34" s="102" t="s">
        <v>30</v>
      </c>
      <c r="Y34" s="102" t="s">
        <v>30</v>
      </c>
      <c r="Z34" s="102" t="s">
        <v>30</v>
      </c>
      <c r="AA34" s="86">
        <v>470</v>
      </c>
      <c r="AB34" s="315">
        <v>465</v>
      </c>
      <c r="AC34" s="370">
        <v>538</v>
      </c>
      <c r="AD34" s="338"/>
    </row>
    <row r="35" spans="2:31" ht="12.95" customHeight="1" x14ac:dyDescent="0.2">
      <c r="F35" s="11"/>
      <c r="G35" s="303"/>
      <c r="L35" s="9"/>
      <c r="M35" s="9"/>
      <c r="N35" s="9"/>
      <c r="O35" s="9"/>
      <c r="P35" s="11"/>
      <c r="Q35" s="88"/>
      <c r="R35" s="88"/>
      <c r="S35" s="11"/>
      <c r="T35" s="11"/>
      <c r="U35" s="11"/>
      <c r="V35" s="9"/>
      <c r="W35" s="9"/>
      <c r="X35" s="9"/>
      <c r="Y35" s="9"/>
      <c r="Z35" s="9"/>
      <c r="AA35" s="9"/>
      <c r="AB35" s="317"/>
      <c r="AC35" s="317"/>
    </row>
    <row r="36" spans="2:31" ht="12.95" customHeight="1" x14ac:dyDescent="0.2">
      <c r="B36" s="2" t="str">
        <f>VLOOKUP(46,Textbausteine_Menu[],Hilfsgrössen!$D$2,FALSE)</f>
        <v>Swiss Post Solutions</v>
      </c>
      <c r="D36" s="2"/>
      <c r="E36" s="11"/>
      <c r="F36" s="11"/>
      <c r="G36" s="303"/>
      <c r="L36" s="9"/>
      <c r="M36" s="11"/>
      <c r="N36" s="11"/>
      <c r="O36" s="11"/>
      <c r="P36" s="11"/>
      <c r="Q36" s="88"/>
      <c r="R36" s="88"/>
      <c r="S36" s="11"/>
      <c r="T36" s="11"/>
      <c r="U36" s="11"/>
      <c r="V36" s="9"/>
      <c r="W36" s="9"/>
      <c r="X36" s="9"/>
      <c r="Y36" s="9"/>
      <c r="Z36" s="9"/>
      <c r="AA36" s="9"/>
      <c r="AB36" s="317"/>
      <c r="AC36" s="317"/>
    </row>
    <row r="37" spans="2:31" ht="12.95" customHeight="1" x14ac:dyDescent="0.2">
      <c r="C37" s="1" t="str">
        <f>VLOOKUP(31,Textbausteine_201[],Hilfsgrössen!$D$2,FALSE)</f>
        <v>Betriebsertrag</v>
      </c>
      <c r="D37" s="16" t="str">
        <f>VLOOKUP(11,Textbausteine_201[],Hilfsgrössen!$D$2,FALSE)</f>
        <v>Mio. CHF</v>
      </c>
      <c r="E37" s="11" t="s">
        <v>121</v>
      </c>
      <c r="F37" s="9" t="s">
        <v>116</v>
      </c>
      <c r="H37" s="102" t="s">
        <v>30</v>
      </c>
      <c r="I37" s="102" t="s">
        <v>30</v>
      </c>
      <c r="J37" s="102" t="s">
        <v>30</v>
      </c>
      <c r="K37" s="1">
        <v>692</v>
      </c>
      <c r="L37" s="9">
        <v>708</v>
      </c>
      <c r="M37" s="11">
        <v>696</v>
      </c>
      <c r="N37" s="11">
        <v>665</v>
      </c>
      <c r="O37" s="11">
        <v>549</v>
      </c>
      <c r="P37" s="9">
        <v>549</v>
      </c>
      <c r="Q37" s="85">
        <v>616</v>
      </c>
      <c r="R37" s="85">
        <v>616</v>
      </c>
      <c r="S37" s="9">
        <v>659</v>
      </c>
      <c r="T37" s="9">
        <v>609</v>
      </c>
      <c r="U37" s="9">
        <v>609</v>
      </c>
      <c r="V37" s="9">
        <v>558</v>
      </c>
      <c r="W37" s="9">
        <v>551</v>
      </c>
      <c r="X37" s="9">
        <v>551</v>
      </c>
      <c r="Y37" s="9">
        <v>583</v>
      </c>
      <c r="Z37" s="9">
        <v>599</v>
      </c>
      <c r="AA37" s="9">
        <v>539</v>
      </c>
      <c r="AB37" s="315" t="s">
        <v>122</v>
      </c>
      <c r="AC37" s="315" t="s">
        <v>122</v>
      </c>
      <c r="AD37" s="338"/>
      <c r="AE37" s="320"/>
    </row>
    <row r="38" spans="2:31" ht="12.95" customHeight="1" x14ac:dyDescent="0.2">
      <c r="C38" s="1" t="str">
        <f>VLOOKUP(36,Textbausteine_201[],Hilfsgrössen!$D$2,FALSE)</f>
        <v>Betriebsergebnis</v>
      </c>
      <c r="D38" s="16" t="str">
        <f>VLOOKUP(11,Textbausteine_201[],Hilfsgrössen!$D$2,FALSE)</f>
        <v>Mio. CHF</v>
      </c>
      <c r="E38" s="11" t="s">
        <v>121</v>
      </c>
      <c r="F38" s="9" t="s">
        <v>116</v>
      </c>
      <c r="H38" s="102" t="s">
        <v>30</v>
      </c>
      <c r="I38" s="102" t="s">
        <v>30</v>
      </c>
      <c r="J38" s="226" t="s">
        <v>30</v>
      </c>
      <c r="K38" s="225">
        <v>-1</v>
      </c>
      <c r="L38" s="198">
        <v>9</v>
      </c>
      <c r="M38" s="212">
        <v>-25</v>
      </c>
      <c r="N38" s="212">
        <v>7</v>
      </c>
      <c r="O38" s="212">
        <v>11</v>
      </c>
      <c r="P38" s="198">
        <v>3</v>
      </c>
      <c r="Q38" s="243">
        <v>15</v>
      </c>
      <c r="R38" s="243">
        <v>5</v>
      </c>
      <c r="S38" s="198">
        <v>12</v>
      </c>
      <c r="T38" s="198">
        <v>16</v>
      </c>
      <c r="U38" s="198">
        <v>15</v>
      </c>
      <c r="V38" s="198">
        <v>20</v>
      </c>
      <c r="W38" s="198">
        <v>25</v>
      </c>
      <c r="X38" s="198">
        <v>25</v>
      </c>
      <c r="Y38" s="198">
        <v>31</v>
      </c>
      <c r="Z38" s="198">
        <v>32</v>
      </c>
      <c r="AA38" s="198">
        <v>25</v>
      </c>
      <c r="AB38" s="375" t="s">
        <v>122</v>
      </c>
      <c r="AC38" s="375" t="s">
        <v>122</v>
      </c>
      <c r="AD38" s="338"/>
      <c r="AE38" s="320"/>
    </row>
    <row r="39" spans="2:31" ht="12.95" customHeight="1" x14ac:dyDescent="0.2">
      <c r="F39" s="11"/>
      <c r="G39" s="303"/>
      <c r="L39" s="9"/>
      <c r="M39" s="9"/>
      <c r="N39" s="9"/>
      <c r="O39" s="9"/>
      <c r="P39" s="11"/>
      <c r="Q39" s="88"/>
      <c r="R39" s="88"/>
      <c r="S39" s="11"/>
      <c r="T39" s="11"/>
      <c r="U39" s="11"/>
      <c r="V39" s="9"/>
      <c r="W39" s="9"/>
      <c r="X39" s="9"/>
      <c r="Y39" s="9"/>
      <c r="Z39" s="9"/>
      <c r="AA39" s="9"/>
      <c r="AB39" s="317"/>
      <c r="AC39" s="317"/>
    </row>
    <row r="40" spans="2:31" ht="12.95" customHeight="1" x14ac:dyDescent="0.2">
      <c r="B40" s="2" t="str">
        <f>VLOOKUP(47,Textbausteine_Menu[],Hilfsgrössen!$D$2,FALSE)</f>
        <v>PostNetz</v>
      </c>
      <c r="E40" s="11"/>
      <c r="F40" s="11"/>
      <c r="G40" s="303"/>
      <c r="L40" s="9"/>
      <c r="M40" s="11"/>
      <c r="N40" s="11"/>
      <c r="O40" s="11"/>
      <c r="P40" s="11"/>
      <c r="Q40" s="88"/>
      <c r="R40" s="88"/>
      <c r="S40" s="11"/>
      <c r="T40" s="11"/>
      <c r="U40" s="11"/>
      <c r="V40" s="9"/>
      <c r="W40" s="9"/>
      <c r="X40" s="9"/>
      <c r="Y40" s="9"/>
      <c r="Z40" s="9"/>
      <c r="AA40" s="9"/>
      <c r="AB40" s="317"/>
      <c r="AC40" s="317"/>
    </row>
    <row r="41" spans="2:31" ht="12.95" customHeight="1" x14ac:dyDescent="0.2">
      <c r="C41" s="1" t="str">
        <f>VLOOKUP(31,Textbausteine_201[],Hilfsgrössen!$D$2,FALSE)</f>
        <v>Betriebsertrag</v>
      </c>
      <c r="D41" s="1" t="str">
        <f>VLOOKUP(11,Textbausteine_201[],Hilfsgrössen!$D$2,FALSE)</f>
        <v>Mio. CHF</v>
      </c>
      <c r="E41" s="11"/>
      <c r="F41" s="9" t="s">
        <v>116</v>
      </c>
      <c r="H41" s="102" t="s">
        <v>30</v>
      </c>
      <c r="I41" s="12">
        <v>1875</v>
      </c>
      <c r="J41" s="12">
        <v>1651</v>
      </c>
      <c r="K41" s="12">
        <v>1736</v>
      </c>
      <c r="L41" s="12">
        <v>1337</v>
      </c>
      <c r="M41" s="12">
        <v>1359</v>
      </c>
      <c r="N41" s="12">
        <v>1769</v>
      </c>
      <c r="O41" s="12">
        <v>1706</v>
      </c>
      <c r="P41" s="12">
        <v>1509</v>
      </c>
      <c r="Q41" s="12">
        <v>1592</v>
      </c>
      <c r="R41" s="12">
        <v>1697</v>
      </c>
      <c r="S41" s="12">
        <v>1663</v>
      </c>
      <c r="T41" s="12">
        <v>1601</v>
      </c>
      <c r="U41" s="12">
        <v>1601</v>
      </c>
      <c r="V41" s="12">
        <v>1196</v>
      </c>
      <c r="W41" s="12">
        <v>1102</v>
      </c>
      <c r="X41" s="12">
        <v>1102</v>
      </c>
      <c r="Y41" s="12">
        <v>753</v>
      </c>
      <c r="Z41" s="12">
        <v>693</v>
      </c>
      <c r="AA41" s="12">
        <v>631</v>
      </c>
      <c r="AB41" s="370">
        <v>613</v>
      </c>
      <c r="AC41" s="370">
        <v>613</v>
      </c>
      <c r="AD41" s="338"/>
    </row>
    <row r="42" spans="2:31" ht="12.95" customHeight="1" x14ac:dyDescent="0.2">
      <c r="C42" s="17" t="str">
        <f>VLOOKUP(33,Textbausteine_201[],Hilfsgrössen!$D$2,FALSE)</f>
        <v>reservierte Dienste</v>
      </c>
      <c r="D42" s="1" t="str">
        <f>VLOOKUP(12,Textbausteine_201[],Hilfsgrössen!$D$2,FALSE)</f>
        <v>%</v>
      </c>
      <c r="E42" s="11">
        <v>4</v>
      </c>
      <c r="F42" s="9" t="s">
        <v>116</v>
      </c>
      <c r="H42" s="102" t="s">
        <v>30</v>
      </c>
      <c r="I42" s="11" t="s">
        <v>123</v>
      </c>
      <c r="J42" s="11" t="s">
        <v>123</v>
      </c>
      <c r="K42" s="11" t="s">
        <v>123</v>
      </c>
      <c r="L42" s="111" t="s">
        <v>123</v>
      </c>
      <c r="M42" s="11" t="s">
        <v>123</v>
      </c>
      <c r="N42" s="11" t="s">
        <v>123</v>
      </c>
      <c r="O42" s="11">
        <v>18.2</v>
      </c>
      <c r="P42" s="9">
        <v>17.3</v>
      </c>
      <c r="Q42" s="85">
        <v>16.5</v>
      </c>
      <c r="R42" s="85">
        <v>15.5</v>
      </c>
      <c r="S42" s="9">
        <v>15</v>
      </c>
      <c r="T42" s="9">
        <v>15.2</v>
      </c>
      <c r="U42" s="9">
        <v>15.2</v>
      </c>
      <c r="V42" s="9" t="s">
        <v>123</v>
      </c>
      <c r="W42" s="9" t="s">
        <v>123</v>
      </c>
      <c r="X42" s="9" t="s">
        <v>123</v>
      </c>
      <c r="Y42" s="9" t="s">
        <v>123</v>
      </c>
      <c r="Z42" s="9" t="s">
        <v>123</v>
      </c>
      <c r="AA42" s="11" t="s">
        <v>123</v>
      </c>
      <c r="AB42" s="315" t="s">
        <v>123</v>
      </c>
      <c r="AC42" s="315" t="s">
        <v>123</v>
      </c>
      <c r="AD42" s="338"/>
    </row>
    <row r="43" spans="2:31" ht="12.95" customHeight="1" x14ac:dyDescent="0.2">
      <c r="C43" s="13" t="str">
        <f>VLOOKUP(43,Textbausteine_201[],Hilfsgrössen!$D$2,FALSE)</f>
        <v>Nettoumsatz übrige Markenartikel</v>
      </c>
      <c r="D43" s="1" t="str">
        <f>VLOOKUP(11,Textbausteine_201[],Hilfsgrössen!$D$2,FALSE)</f>
        <v>Mio. CHF</v>
      </c>
      <c r="E43" s="11"/>
      <c r="F43" s="9" t="s">
        <v>116</v>
      </c>
      <c r="H43" s="102" t="s">
        <v>30</v>
      </c>
      <c r="I43" s="1">
        <v>390</v>
      </c>
      <c r="J43" s="1">
        <v>405</v>
      </c>
      <c r="K43" s="1">
        <v>420</v>
      </c>
      <c r="L43" s="111">
        <v>444</v>
      </c>
      <c r="M43" s="11">
        <v>462</v>
      </c>
      <c r="N43" s="11">
        <v>482</v>
      </c>
      <c r="O43" s="11">
        <v>495</v>
      </c>
      <c r="P43" s="9">
        <v>498</v>
      </c>
      <c r="Q43" s="85">
        <v>497</v>
      </c>
      <c r="R43" s="85">
        <v>497</v>
      </c>
      <c r="S43" s="85">
        <v>509</v>
      </c>
      <c r="T43" s="9">
        <v>480</v>
      </c>
      <c r="U43" s="9">
        <v>480</v>
      </c>
      <c r="V43" s="9">
        <v>473</v>
      </c>
      <c r="W43" s="9">
        <v>425</v>
      </c>
      <c r="X43" s="9">
        <v>425</v>
      </c>
      <c r="Y43" s="9">
        <v>97.1</v>
      </c>
      <c r="Z43" s="9">
        <v>78.2</v>
      </c>
      <c r="AA43" s="11">
        <v>55.7</v>
      </c>
      <c r="AB43" s="315">
        <v>56.3</v>
      </c>
      <c r="AC43" s="315">
        <v>56.3</v>
      </c>
      <c r="AD43" s="338"/>
    </row>
    <row r="44" spans="2:31" ht="12.95" customHeight="1" x14ac:dyDescent="0.2">
      <c r="C44" s="1" t="str">
        <f>VLOOKUP(36,Textbausteine_201[],Hilfsgrössen!$D$2,FALSE)</f>
        <v>Betriebsergebnis</v>
      </c>
      <c r="D44" s="1" t="str">
        <f>VLOOKUP(11,Textbausteine_201[],Hilfsgrössen!$D$2,FALSE)</f>
        <v>Mio. CHF</v>
      </c>
      <c r="E44" s="11"/>
      <c r="F44" s="9" t="s">
        <v>116</v>
      </c>
      <c r="H44" s="102" t="s">
        <v>30</v>
      </c>
      <c r="I44" s="244">
        <v>27</v>
      </c>
      <c r="J44" s="244">
        <v>-111</v>
      </c>
      <c r="K44" s="244">
        <v>-25</v>
      </c>
      <c r="L44" s="245">
        <v>-95</v>
      </c>
      <c r="M44" s="12">
        <v>-113</v>
      </c>
      <c r="N44" s="12">
        <v>-108</v>
      </c>
      <c r="O44" s="12">
        <v>-151</v>
      </c>
      <c r="P44" s="15">
        <v>-307</v>
      </c>
      <c r="Q44" s="214">
        <v>-110</v>
      </c>
      <c r="R44" s="214">
        <v>-91</v>
      </c>
      <c r="S44" s="214">
        <v>-100</v>
      </c>
      <c r="T44" s="15">
        <v>-100</v>
      </c>
      <c r="U44" s="15">
        <v>-110</v>
      </c>
      <c r="V44" s="15">
        <v>-193</v>
      </c>
      <c r="W44" s="15">
        <v>-159</v>
      </c>
      <c r="X44" s="15">
        <v>-159</v>
      </c>
      <c r="Y44" s="15">
        <v>-94</v>
      </c>
      <c r="Z44" s="15">
        <v>-132</v>
      </c>
      <c r="AA44" s="12">
        <v>-101</v>
      </c>
      <c r="AB44" s="370">
        <v>-36</v>
      </c>
      <c r="AC44" s="315">
        <v>-68</v>
      </c>
      <c r="AD44" s="338"/>
    </row>
    <row r="45" spans="2:31" ht="12.95" customHeight="1" x14ac:dyDescent="0.2">
      <c r="L45" s="9"/>
      <c r="M45" s="9"/>
      <c r="N45" s="9"/>
      <c r="O45" s="9"/>
      <c r="Q45" s="112"/>
      <c r="R45" s="112"/>
      <c r="V45" s="9"/>
      <c r="W45" s="9"/>
      <c r="X45" s="9"/>
      <c r="Y45" s="9"/>
      <c r="Z45" s="9"/>
      <c r="AA45" s="9"/>
      <c r="AB45" s="317"/>
      <c r="AC45" s="321"/>
    </row>
    <row r="46" spans="2:31" ht="12.95" customHeight="1" x14ac:dyDescent="0.2">
      <c r="B46" s="2" t="str">
        <f>VLOOKUP(48,Textbausteine_Menu[],Hilfsgrössen!$D$2,FALSE)</f>
        <v>Kommunikations-Services</v>
      </c>
      <c r="E46" s="9">
        <v>8</v>
      </c>
      <c r="F46" s="11"/>
      <c r="G46" s="303"/>
      <c r="H46" s="102"/>
      <c r="I46" s="9"/>
      <c r="J46" s="9"/>
      <c r="K46" s="9"/>
      <c r="L46" s="9"/>
      <c r="M46" s="11"/>
      <c r="N46" s="9"/>
      <c r="O46" s="9"/>
      <c r="P46" s="11"/>
      <c r="Q46" s="88"/>
      <c r="R46" s="88"/>
      <c r="S46" s="11"/>
      <c r="T46" s="11"/>
      <c r="U46" s="11"/>
      <c r="V46" s="9"/>
      <c r="W46" s="9"/>
      <c r="X46" s="9"/>
      <c r="Y46" s="9"/>
      <c r="Z46" s="9"/>
      <c r="AA46" s="9"/>
      <c r="AB46" s="317"/>
      <c r="AC46" s="321"/>
    </row>
    <row r="47" spans="2:31" ht="12.95" customHeight="1" x14ac:dyDescent="0.2">
      <c r="C47" s="1" t="str">
        <f>VLOOKUP(31,Textbausteine_201[],Hilfsgrössen!$D$2,FALSE)</f>
        <v>Betriebsertrag</v>
      </c>
      <c r="D47" s="1" t="str">
        <f>VLOOKUP(11,Textbausteine_201[],Hilfsgrössen!$D$2,FALSE)</f>
        <v>Mio. CHF</v>
      </c>
      <c r="F47" s="9" t="s">
        <v>116</v>
      </c>
      <c r="H47" s="102" t="s">
        <v>30</v>
      </c>
      <c r="I47" s="102" t="s">
        <v>30</v>
      </c>
      <c r="J47" s="102" t="s">
        <v>30</v>
      </c>
      <c r="K47" s="102" t="s">
        <v>30</v>
      </c>
      <c r="L47" s="102" t="s">
        <v>30</v>
      </c>
      <c r="M47" s="102" t="s">
        <v>30</v>
      </c>
      <c r="N47" s="102" t="s">
        <v>30</v>
      </c>
      <c r="O47" s="102" t="s">
        <v>30</v>
      </c>
      <c r="P47" s="102" t="s">
        <v>30</v>
      </c>
      <c r="Q47" s="102" t="s">
        <v>30</v>
      </c>
      <c r="R47" s="102" t="s">
        <v>30</v>
      </c>
      <c r="S47" s="102" t="s">
        <v>30</v>
      </c>
      <c r="T47" s="102" t="s">
        <v>30</v>
      </c>
      <c r="U47" s="102" t="s">
        <v>30</v>
      </c>
      <c r="V47" s="102" t="s">
        <v>30</v>
      </c>
      <c r="W47" s="102" t="s">
        <v>30</v>
      </c>
      <c r="X47" s="102" t="s">
        <v>30</v>
      </c>
      <c r="Y47" s="102" t="s">
        <v>30</v>
      </c>
      <c r="Z47" s="102" t="s">
        <v>30</v>
      </c>
      <c r="AA47" s="86">
        <v>23</v>
      </c>
      <c r="AB47" s="370">
        <v>38</v>
      </c>
      <c r="AC47" s="315">
        <v>38</v>
      </c>
      <c r="AD47" s="338"/>
    </row>
    <row r="48" spans="2:31" ht="12.95" customHeight="1" x14ac:dyDescent="0.2">
      <c r="C48" s="1" t="str">
        <f>VLOOKUP(36,Textbausteine_201[],Hilfsgrössen!$D$2,FALSE)</f>
        <v>Betriebsergebnis</v>
      </c>
      <c r="D48" s="1" t="str">
        <f>VLOOKUP(11,Textbausteine_201[],Hilfsgrössen!$D$2,FALSE)</f>
        <v>Mio. CHF</v>
      </c>
      <c r="F48" s="9" t="s">
        <v>116</v>
      </c>
      <c r="H48" s="102" t="s">
        <v>30</v>
      </c>
      <c r="I48" s="102" t="s">
        <v>30</v>
      </c>
      <c r="J48" s="102" t="s">
        <v>30</v>
      </c>
      <c r="K48" s="102" t="s">
        <v>30</v>
      </c>
      <c r="L48" s="102" t="s">
        <v>30</v>
      </c>
      <c r="M48" s="102" t="s">
        <v>30</v>
      </c>
      <c r="N48" s="102" t="s">
        <v>30</v>
      </c>
      <c r="O48" s="102" t="s">
        <v>30</v>
      </c>
      <c r="P48" s="102" t="s">
        <v>30</v>
      </c>
      <c r="Q48" s="102" t="s">
        <v>30</v>
      </c>
      <c r="R48" s="102" t="s">
        <v>30</v>
      </c>
      <c r="S48" s="102" t="s">
        <v>30</v>
      </c>
      <c r="T48" s="102" t="s">
        <v>30</v>
      </c>
      <c r="U48" s="102" t="s">
        <v>30</v>
      </c>
      <c r="V48" s="102" t="s">
        <v>30</v>
      </c>
      <c r="W48" s="102" t="s">
        <v>30</v>
      </c>
      <c r="X48" s="102" t="s">
        <v>30</v>
      </c>
      <c r="Y48" s="102" t="s">
        <v>30</v>
      </c>
      <c r="Z48" s="102" t="s">
        <v>30</v>
      </c>
      <c r="AA48" s="86">
        <v>-68</v>
      </c>
      <c r="AB48" s="315">
        <v>-80</v>
      </c>
      <c r="AC48" s="315">
        <v>-80</v>
      </c>
      <c r="AD48" s="338"/>
    </row>
    <row r="49" spans="1:30" ht="12.95" customHeight="1" x14ac:dyDescent="0.2">
      <c r="A49" s="41"/>
      <c r="F49" s="11"/>
      <c r="G49" s="303"/>
      <c r="L49" s="9"/>
      <c r="M49" s="9"/>
      <c r="N49" s="9"/>
      <c r="O49" s="9"/>
      <c r="P49" s="11"/>
      <c r="Q49" s="88"/>
      <c r="R49" s="88"/>
      <c r="S49" s="88"/>
      <c r="T49" s="11"/>
      <c r="U49" s="11"/>
      <c r="V49" s="9"/>
      <c r="W49" s="9"/>
      <c r="X49" s="9"/>
      <c r="Y49" s="9"/>
      <c r="Z49" s="9"/>
      <c r="AA49" s="9"/>
      <c r="AB49" s="317"/>
      <c r="AC49" s="321"/>
    </row>
    <row r="50" spans="1:30" ht="12.95" customHeight="1" x14ac:dyDescent="0.2">
      <c r="B50" s="2" t="str">
        <f>VLOOKUP(49,Textbausteine_Menu[],Hilfsgrössen!$D$2,FALSE)</f>
        <v>PostFinance</v>
      </c>
      <c r="L50" s="9"/>
      <c r="M50" s="11"/>
      <c r="N50" s="9"/>
      <c r="O50" s="9"/>
      <c r="Q50" s="112"/>
      <c r="R50" s="112"/>
      <c r="S50" s="112"/>
      <c r="V50" s="9"/>
      <c r="W50" s="9"/>
      <c r="X50" s="9"/>
      <c r="Y50" s="9"/>
      <c r="Z50" s="9"/>
      <c r="AA50" s="9"/>
      <c r="AB50" s="317"/>
      <c r="AC50" s="321"/>
    </row>
    <row r="51" spans="1:30" ht="12.95" customHeight="1" x14ac:dyDescent="0.2">
      <c r="C51" s="1" t="str">
        <f>VLOOKUP(31,Textbausteine_201[],Hilfsgrössen!$D$2,FALSE)</f>
        <v>Betriebsertrag</v>
      </c>
      <c r="D51" s="1" t="str">
        <f>VLOOKUP(11,Textbausteine_201[],Hilfsgrössen!$D$2,FALSE)</f>
        <v>Mio. CHF</v>
      </c>
      <c r="F51" s="9" t="s">
        <v>116</v>
      </c>
      <c r="H51" s="102" t="s">
        <v>30</v>
      </c>
      <c r="I51" s="12">
        <v>1529</v>
      </c>
      <c r="J51" s="12">
        <v>1587</v>
      </c>
      <c r="K51" s="12">
        <v>1937</v>
      </c>
      <c r="L51" s="12">
        <v>2191</v>
      </c>
      <c r="M51" s="12">
        <v>2160</v>
      </c>
      <c r="N51" s="12">
        <v>2389</v>
      </c>
      <c r="O51" s="12">
        <v>2451</v>
      </c>
      <c r="P51" s="12">
        <v>2356</v>
      </c>
      <c r="Q51" s="12">
        <v>2377</v>
      </c>
      <c r="R51" s="12">
        <v>2377</v>
      </c>
      <c r="S51" s="12" t="s">
        <v>124</v>
      </c>
      <c r="T51" s="12">
        <v>2143</v>
      </c>
      <c r="U51" s="12">
        <v>2143</v>
      </c>
      <c r="V51" s="12">
        <v>2155</v>
      </c>
      <c r="W51" s="12">
        <v>2076</v>
      </c>
      <c r="X51" s="12">
        <v>2076</v>
      </c>
      <c r="Y51" s="12">
        <v>1704</v>
      </c>
      <c r="Z51" s="12">
        <v>1660</v>
      </c>
      <c r="AA51" s="12">
        <v>1566</v>
      </c>
      <c r="AB51" s="370">
        <v>1624</v>
      </c>
      <c r="AC51" s="370">
        <v>1624</v>
      </c>
      <c r="AD51" s="338"/>
    </row>
    <row r="52" spans="1:30" ht="12.95" customHeight="1" x14ac:dyDescent="0.2">
      <c r="C52" s="1" t="str">
        <f>VLOOKUP(36,Textbausteine_201[],Hilfsgrössen!$D$2,FALSE)</f>
        <v>Betriebsergebnis</v>
      </c>
      <c r="D52" s="1" t="str">
        <f>VLOOKUP(11,Textbausteine_201[],Hilfsgrössen!$D$2,FALSE)</f>
        <v>Mio. CHF</v>
      </c>
      <c r="F52" s="9" t="s">
        <v>116</v>
      </c>
      <c r="H52" s="102" t="s">
        <v>30</v>
      </c>
      <c r="I52" s="112">
        <v>312</v>
      </c>
      <c r="J52" s="112">
        <v>245</v>
      </c>
      <c r="K52" s="112">
        <v>318</v>
      </c>
      <c r="L52" s="113">
        <v>229</v>
      </c>
      <c r="M52" s="11">
        <v>441</v>
      </c>
      <c r="N52" s="11">
        <v>571</v>
      </c>
      <c r="O52" s="11">
        <v>591</v>
      </c>
      <c r="P52" s="9">
        <v>623</v>
      </c>
      <c r="Q52" s="85">
        <v>588</v>
      </c>
      <c r="R52" s="85">
        <v>537</v>
      </c>
      <c r="S52" s="85">
        <v>382</v>
      </c>
      <c r="T52" s="9">
        <v>463</v>
      </c>
      <c r="U52" s="9">
        <v>459</v>
      </c>
      <c r="V52" s="9">
        <v>542</v>
      </c>
      <c r="W52" s="9">
        <v>549</v>
      </c>
      <c r="X52" s="9">
        <v>549</v>
      </c>
      <c r="Y52" s="9">
        <v>220</v>
      </c>
      <c r="Z52" s="9">
        <v>240</v>
      </c>
      <c r="AA52" s="11">
        <v>162</v>
      </c>
      <c r="AB52" s="315">
        <v>272</v>
      </c>
      <c r="AC52" s="315">
        <v>281</v>
      </c>
      <c r="AD52" s="338"/>
    </row>
    <row r="53" spans="1:30" ht="12.95" customHeight="1" x14ac:dyDescent="0.2">
      <c r="L53" s="9"/>
      <c r="M53" s="9"/>
      <c r="N53" s="9"/>
      <c r="O53" s="9"/>
      <c r="P53" s="9"/>
      <c r="Q53" s="85"/>
      <c r="R53" s="85"/>
      <c r="S53" s="85"/>
      <c r="T53" s="9"/>
      <c r="U53" s="9"/>
      <c r="V53" s="9"/>
      <c r="W53" s="9"/>
      <c r="X53" s="9"/>
      <c r="Y53" s="9"/>
      <c r="Z53" s="9"/>
      <c r="AA53" s="9"/>
      <c r="AB53" s="317"/>
      <c r="AC53" s="321"/>
    </row>
    <row r="54" spans="1:30" ht="12.95" customHeight="1" x14ac:dyDescent="0.2">
      <c r="B54" s="2" t="str">
        <f>VLOOKUP(55,Textbausteine_Menu[],Hilfsgrössen!$D$2,FALSE)</f>
        <v>Mobilitäts-Services</v>
      </c>
      <c r="E54" s="9">
        <v>8</v>
      </c>
      <c r="L54" s="9"/>
      <c r="M54" s="11"/>
      <c r="N54" s="9"/>
      <c r="O54" s="9"/>
      <c r="P54" s="9"/>
      <c r="Q54" s="85"/>
      <c r="R54" s="85"/>
      <c r="S54" s="85"/>
      <c r="T54" s="9"/>
      <c r="U54" s="9"/>
      <c r="V54" s="9"/>
      <c r="W54" s="9"/>
      <c r="X54" s="9"/>
      <c r="Y54" s="9"/>
      <c r="Z54" s="9"/>
      <c r="AA54" s="9"/>
      <c r="AB54" s="317"/>
      <c r="AC54" s="321"/>
    </row>
    <row r="55" spans="1:30" ht="12.95" customHeight="1" x14ac:dyDescent="0.2">
      <c r="C55" s="1" t="str">
        <f>VLOOKUP(31,Textbausteine_201[],Hilfsgrössen!$D$2,FALSE)</f>
        <v>Betriebsertrag</v>
      </c>
      <c r="D55" s="1" t="str">
        <f>VLOOKUP(11,Textbausteine_201[],Hilfsgrössen!$D$2,FALSE)</f>
        <v>Mio. CHF</v>
      </c>
      <c r="F55" s="9" t="s">
        <v>116</v>
      </c>
      <c r="H55" s="102" t="s">
        <v>30</v>
      </c>
      <c r="I55" s="102" t="s">
        <v>30</v>
      </c>
      <c r="J55" s="102" t="s">
        <v>30</v>
      </c>
      <c r="K55" s="102" t="s">
        <v>30</v>
      </c>
      <c r="L55" s="102" t="s">
        <v>30</v>
      </c>
      <c r="M55" s="102" t="s">
        <v>30</v>
      </c>
      <c r="N55" s="102" t="s">
        <v>30</v>
      </c>
      <c r="O55" s="102" t="s">
        <v>30</v>
      </c>
      <c r="P55" s="102" t="s">
        <v>30</v>
      </c>
      <c r="Q55" s="102" t="s">
        <v>30</v>
      </c>
      <c r="R55" s="102" t="s">
        <v>30</v>
      </c>
      <c r="S55" s="102" t="s">
        <v>30</v>
      </c>
      <c r="T55" s="102" t="s">
        <v>30</v>
      </c>
      <c r="U55" s="102" t="s">
        <v>30</v>
      </c>
      <c r="V55" s="102" t="s">
        <v>30</v>
      </c>
      <c r="W55" s="102" t="s">
        <v>30</v>
      </c>
      <c r="X55" s="102" t="s">
        <v>30</v>
      </c>
      <c r="Y55" s="102" t="s">
        <v>30</v>
      </c>
      <c r="Z55" s="102" t="s">
        <v>30</v>
      </c>
      <c r="AA55" s="86">
        <v>975</v>
      </c>
      <c r="AB55" s="370">
        <v>1083</v>
      </c>
      <c r="AC55" s="370">
        <v>1083</v>
      </c>
      <c r="AD55" s="338"/>
    </row>
    <row r="56" spans="1:30" ht="12.95" customHeight="1" x14ac:dyDescent="0.2">
      <c r="C56" s="13" t="str">
        <f>VLOOKUP(32,Textbausteine_201[],Hilfsgrössen!$D$2,FALSE)</f>
        <v>im Ausland und grenzüberschreitend erwirtschaftet</v>
      </c>
      <c r="D56" s="1" t="str">
        <f>VLOOKUP(12,Textbausteine_201[],Hilfsgrössen!$D$2,FALSE)</f>
        <v>%</v>
      </c>
      <c r="F56" s="9" t="s">
        <v>116</v>
      </c>
      <c r="H56" s="201" t="s">
        <v>30</v>
      </c>
      <c r="I56" s="201" t="s">
        <v>30</v>
      </c>
      <c r="J56" s="201" t="s">
        <v>30</v>
      </c>
      <c r="K56" s="201" t="s">
        <v>30</v>
      </c>
      <c r="L56" s="201" t="s">
        <v>30</v>
      </c>
      <c r="M56" s="201" t="s">
        <v>30</v>
      </c>
      <c r="N56" s="201" t="s">
        <v>30</v>
      </c>
      <c r="O56" s="201" t="s">
        <v>30</v>
      </c>
      <c r="P56" s="201" t="s">
        <v>30</v>
      </c>
      <c r="Q56" s="201" t="s">
        <v>30</v>
      </c>
      <c r="R56" s="201" t="s">
        <v>30</v>
      </c>
      <c r="S56" s="201" t="s">
        <v>30</v>
      </c>
      <c r="T56" s="201" t="s">
        <v>30</v>
      </c>
      <c r="U56" s="201" t="s">
        <v>30</v>
      </c>
      <c r="V56" s="201" t="s">
        <v>30</v>
      </c>
      <c r="W56" s="201" t="s">
        <v>30</v>
      </c>
      <c r="X56" s="201" t="s">
        <v>30</v>
      </c>
      <c r="Y56" s="201" t="s">
        <v>30</v>
      </c>
      <c r="Z56" s="201" t="s">
        <v>30</v>
      </c>
      <c r="AA56" s="152">
        <v>1.7220717948717947</v>
      </c>
      <c r="AB56" s="385">
        <v>1.6042105263157895</v>
      </c>
      <c r="AC56" s="385">
        <v>1.6042105263157895</v>
      </c>
      <c r="AD56" s="338"/>
    </row>
    <row r="57" spans="1:30" ht="12.95" customHeight="1" x14ac:dyDescent="0.2">
      <c r="C57" s="1" t="str">
        <f>VLOOKUP(36,Textbausteine_201[],Hilfsgrössen!$D$2,FALSE)</f>
        <v>Betriebsergebnis</v>
      </c>
      <c r="D57" s="1" t="str">
        <f>VLOOKUP(11,Textbausteine_201[],Hilfsgrössen!$D$2,FALSE)</f>
        <v>Mio. CHF</v>
      </c>
      <c r="F57" s="9" t="s">
        <v>116</v>
      </c>
      <c r="H57" s="226" t="s">
        <v>30</v>
      </c>
      <c r="I57" s="226" t="s">
        <v>30</v>
      </c>
      <c r="J57" s="226" t="s">
        <v>30</v>
      </c>
      <c r="K57" s="226" t="s">
        <v>30</v>
      </c>
      <c r="L57" s="226" t="s">
        <v>30</v>
      </c>
      <c r="M57" s="226" t="s">
        <v>30</v>
      </c>
      <c r="N57" s="226" t="s">
        <v>30</v>
      </c>
      <c r="O57" s="226" t="s">
        <v>30</v>
      </c>
      <c r="P57" s="226" t="s">
        <v>30</v>
      </c>
      <c r="Q57" s="226" t="s">
        <v>30</v>
      </c>
      <c r="R57" s="226" t="s">
        <v>30</v>
      </c>
      <c r="S57" s="226" t="s">
        <v>30</v>
      </c>
      <c r="T57" s="226" t="s">
        <v>30</v>
      </c>
      <c r="U57" s="226" t="s">
        <v>30</v>
      </c>
      <c r="V57" s="226" t="s">
        <v>30</v>
      </c>
      <c r="W57" s="226" t="s">
        <v>30</v>
      </c>
      <c r="X57" s="226" t="s">
        <v>30</v>
      </c>
      <c r="Y57" s="226" t="s">
        <v>30</v>
      </c>
      <c r="Z57" s="226" t="s">
        <v>30</v>
      </c>
      <c r="AA57" s="236">
        <v>-63</v>
      </c>
      <c r="AB57" s="375">
        <v>19</v>
      </c>
      <c r="AC57" s="315">
        <v>18</v>
      </c>
      <c r="AD57" s="338"/>
    </row>
    <row r="58" spans="1:30" ht="12.95" customHeight="1" x14ac:dyDescent="0.2">
      <c r="L58" s="9"/>
      <c r="M58" s="9"/>
      <c r="N58" s="9"/>
      <c r="O58" s="9"/>
      <c r="P58" s="9"/>
      <c r="Q58" s="85"/>
      <c r="R58" s="85"/>
      <c r="S58" s="85"/>
      <c r="T58" s="9"/>
      <c r="U58" s="9"/>
      <c r="V58" s="9"/>
      <c r="W58" s="9"/>
      <c r="X58" s="9"/>
      <c r="Y58" s="9"/>
      <c r="Z58" s="9"/>
      <c r="AA58" s="9"/>
      <c r="AB58" s="317"/>
      <c r="AC58" s="321"/>
      <c r="AD58" s="338"/>
    </row>
    <row r="59" spans="1:30" ht="12.95" customHeight="1" x14ac:dyDescent="0.2">
      <c r="B59" s="2" t="str">
        <f>VLOOKUP(51,Textbausteine_Menu[],Hilfsgrössen!$D$2,FALSE)</f>
        <v>Funktionen und Management</v>
      </c>
      <c r="E59" s="11"/>
      <c r="L59" s="9"/>
      <c r="M59" s="11"/>
      <c r="N59" s="11"/>
      <c r="O59" s="11"/>
      <c r="P59" s="9"/>
      <c r="Q59" s="85"/>
      <c r="R59" s="85"/>
      <c r="S59" s="85"/>
      <c r="T59" s="9"/>
      <c r="U59" s="9"/>
      <c r="V59" s="9"/>
      <c r="W59" s="9"/>
      <c r="X59" s="9"/>
      <c r="Y59" s="9"/>
      <c r="Z59" s="9"/>
      <c r="AA59" s="9"/>
      <c r="AB59" s="317"/>
      <c r="AC59" s="321"/>
      <c r="AD59" s="338"/>
    </row>
    <row r="60" spans="1:30" ht="12.95" customHeight="1" x14ac:dyDescent="0.2">
      <c r="C60" s="1" t="str">
        <f>VLOOKUP(31,Textbausteine_201[],Hilfsgrössen!$D$2,FALSE)</f>
        <v>Betriebsertrag</v>
      </c>
      <c r="D60" s="1" t="str">
        <f>VLOOKUP(11,Textbausteine_201[],Hilfsgrössen!$D$2,FALSE)</f>
        <v>Mio. CHF</v>
      </c>
      <c r="E60" s="11"/>
      <c r="F60" s="9" t="s">
        <v>116</v>
      </c>
      <c r="H60" s="102" t="s">
        <v>30</v>
      </c>
      <c r="I60" s="11">
        <v>858</v>
      </c>
      <c r="J60" s="11">
        <v>882</v>
      </c>
      <c r="K60" s="11">
        <v>1018</v>
      </c>
      <c r="L60" s="11">
        <v>1176</v>
      </c>
      <c r="M60" s="11">
        <v>1030</v>
      </c>
      <c r="N60" s="11">
        <v>968</v>
      </c>
      <c r="O60" s="11">
        <v>945</v>
      </c>
      <c r="P60" s="9">
        <v>937</v>
      </c>
      <c r="Q60" s="85">
        <v>897</v>
      </c>
      <c r="R60" s="85">
        <v>897</v>
      </c>
      <c r="S60" s="85">
        <v>886</v>
      </c>
      <c r="T60" s="9">
        <v>941</v>
      </c>
      <c r="U60" s="9">
        <v>941</v>
      </c>
      <c r="V60" s="9">
        <v>919</v>
      </c>
      <c r="W60" s="9">
        <v>889</v>
      </c>
      <c r="X60" s="9">
        <v>889</v>
      </c>
      <c r="Y60" s="9">
        <v>926</v>
      </c>
      <c r="Z60" s="9">
        <v>929</v>
      </c>
      <c r="AA60" s="11">
        <v>933</v>
      </c>
      <c r="AB60" s="315">
        <v>953</v>
      </c>
      <c r="AC60" s="315">
        <v>953</v>
      </c>
      <c r="AD60" s="338"/>
    </row>
    <row r="61" spans="1:30" ht="12.95" customHeight="1" x14ac:dyDescent="0.2">
      <c r="C61" s="1" t="str">
        <f>VLOOKUP(36,Textbausteine_201[],Hilfsgrössen!$D$2,FALSE)</f>
        <v>Betriebsergebnis</v>
      </c>
      <c r="D61" s="1" t="str">
        <f>VLOOKUP(11,Textbausteine_201[],Hilfsgrössen!$D$2,FALSE)</f>
        <v>Mio. CHF</v>
      </c>
      <c r="E61" s="11"/>
      <c r="F61" s="9" t="s">
        <v>116</v>
      </c>
      <c r="H61" s="102" t="s">
        <v>30</v>
      </c>
      <c r="I61" s="11">
        <v>92</v>
      </c>
      <c r="J61" s="11">
        <v>136</v>
      </c>
      <c r="K61" s="11">
        <v>196</v>
      </c>
      <c r="L61" s="11">
        <v>318</v>
      </c>
      <c r="M61" s="11">
        <v>95</v>
      </c>
      <c r="N61" s="11">
        <v>20</v>
      </c>
      <c r="O61" s="11">
        <v>11</v>
      </c>
      <c r="P61" s="9">
        <v>7</v>
      </c>
      <c r="Q61" s="85">
        <v>3</v>
      </c>
      <c r="R61" s="85">
        <v>-25</v>
      </c>
      <c r="S61" s="85">
        <v>4</v>
      </c>
      <c r="T61" s="9">
        <v>-71</v>
      </c>
      <c r="U61" s="9">
        <v>-73</v>
      </c>
      <c r="V61" s="9">
        <v>-135</v>
      </c>
      <c r="W61" s="9">
        <v>-201</v>
      </c>
      <c r="X61" s="9">
        <v>-201</v>
      </c>
      <c r="Y61" s="9">
        <v>-130</v>
      </c>
      <c r="Z61" s="9">
        <v>-163</v>
      </c>
      <c r="AA61" s="11">
        <v>-151</v>
      </c>
      <c r="AB61" s="315">
        <v>-95</v>
      </c>
      <c r="AC61" s="315">
        <v>-111</v>
      </c>
      <c r="AD61" s="338"/>
    </row>
    <row r="62" spans="1:30" ht="12.95" customHeight="1" x14ac:dyDescent="0.2">
      <c r="N62" s="9"/>
      <c r="O62" s="9"/>
      <c r="P62" s="9"/>
      <c r="Q62" s="9"/>
      <c r="R62" s="9"/>
      <c r="S62" s="9"/>
      <c r="T62" s="9"/>
      <c r="U62" s="9"/>
      <c r="V62" s="9"/>
      <c r="W62" s="9"/>
      <c r="AC62" s="16"/>
    </row>
    <row r="63" spans="1:30" ht="12.95" customHeight="1" x14ac:dyDescent="0.2">
      <c r="B63" s="19" t="str">
        <f>VLOOKUP(131,Textbausteine_201[],Hilfsgrössen!$D$2,FALSE)</f>
        <v>1) In Übereinstimmung mit dem Segmentausweis im Finanzbericht, d.h. Ausland = inkl. grenzüberschreitendem Verkehr</v>
      </c>
      <c r="N63" s="9"/>
      <c r="O63" s="9"/>
      <c r="P63" s="9"/>
      <c r="Q63" s="9"/>
      <c r="V63" s="9"/>
      <c r="W63" s="9"/>
      <c r="AD63" s="338"/>
    </row>
    <row r="64" spans="1:30" s="18" customFormat="1" ht="12.95" customHeight="1" x14ac:dyDescent="0.25">
      <c r="A64" s="61"/>
      <c r="B64" s="19" t="str">
        <f>VLOOKUP(132,Textbausteine_201[],Hilfsgrössen!$D$2,FALSE)</f>
        <v>2) Der reservierte Dienst ist die Dienstleistung der postalischen Grundversorgung, die ausschliesslich von der Schweizerischen Post angeboten wird und zu deren Erbringung die Post verpflichtet ist. Der reservierte Dienst entspricht dem Monopolbereich.</v>
      </c>
      <c r="D64" s="20"/>
      <c r="E64" s="29"/>
      <c r="F64" s="29"/>
      <c r="G64" s="35"/>
      <c r="H64" s="20"/>
      <c r="I64" s="20"/>
      <c r="J64" s="20"/>
      <c r="K64" s="20"/>
      <c r="L64" s="20"/>
      <c r="M64" s="20"/>
      <c r="N64" s="20"/>
      <c r="O64" s="20"/>
      <c r="P64" s="20"/>
      <c r="Q64" s="20"/>
      <c r="R64" s="20"/>
      <c r="S64" s="20"/>
      <c r="T64" s="20"/>
      <c r="U64" s="20"/>
      <c r="V64" s="9"/>
      <c r="W64" s="9"/>
      <c r="AD64" s="338"/>
    </row>
    <row r="65" spans="1:32" s="18" customFormat="1" ht="12.95" customHeight="1" x14ac:dyDescent="0.25">
      <c r="A65" s="61"/>
      <c r="B65" s="19" t="str">
        <f>VLOOKUP(133,Textbausteine_201[],Hilfsgrössen!$D$2,FALSE)</f>
        <v>3) Der Value Added (VA) der Post ist eine absolute Masszahl (Mio. CHF) und zeigt an, welchen Mehrwert das Gesamtunternehmen bzw. ein Segment erwirtschaftet. Ein Mehrwert entsteht, wenn das um die Steuern angepasste Betriebsergebnis die geforderte Verzinsung des investierten Kapitals übersteigt.</v>
      </c>
      <c r="D65" s="20"/>
      <c r="E65" s="29"/>
      <c r="F65" s="29"/>
      <c r="G65" s="35"/>
      <c r="H65" s="20"/>
      <c r="I65" s="20"/>
      <c r="J65" s="20"/>
      <c r="K65" s="20"/>
      <c r="L65" s="20"/>
      <c r="M65" s="20"/>
      <c r="N65" s="20"/>
      <c r="O65" s="20"/>
      <c r="P65" s="20"/>
      <c r="Q65" s="20"/>
      <c r="R65" s="20"/>
      <c r="S65" s="20"/>
      <c r="T65" s="20"/>
      <c r="U65" s="20"/>
      <c r="V65" s="9"/>
      <c r="W65" s="9"/>
      <c r="AD65" s="338"/>
    </row>
    <row r="66" spans="1:32" s="347" customFormat="1" ht="12.95" customHeight="1" x14ac:dyDescent="0.25">
      <c r="A66" s="339"/>
      <c r="B66" s="19" t="str">
        <f>VLOOKUP(134,Textbausteine_201[],Hilfsgrössen!$D$2,FALSE)</f>
        <v>4) Ab 01.01.2016 wurde die Produkteverantwortung für Privatkunden-Produkte von PostNetz an PostMail und PostLogistics übergeben, welche ab dem 1.1.2021 in das neue Segment Logistik-Services zusammengeführt wurden. PostNetz weist deshalb keinen Betriebsertrag reservierte Dienste mehr aus; er findet sich ausschliesslich im Betriebsertrag von Logistik-Services wieder.</v>
      </c>
      <c r="D66" s="349"/>
      <c r="E66" s="350"/>
      <c r="F66" s="350"/>
      <c r="G66" s="351"/>
      <c r="H66" s="349"/>
      <c r="I66" s="349"/>
      <c r="J66" s="349"/>
      <c r="K66" s="349"/>
      <c r="L66" s="349"/>
      <c r="M66" s="349"/>
      <c r="N66" s="349"/>
      <c r="O66" s="349"/>
      <c r="P66" s="349"/>
      <c r="Q66" s="349"/>
      <c r="R66" s="349"/>
      <c r="S66" s="349"/>
      <c r="T66" s="349"/>
      <c r="U66" s="349"/>
      <c r="V66" s="322"/>
      <c r="W66" s="322"/>
      <c r="AD66" s="338"/>
    </row>
    <row r="67" spans="1:32" s="18" customFormat="1" ht="12.95" customHeight="1" x14ac:dyDescent="0.25">
      <c r="A67" s="61"/>
      <c r="B67" s="19" t="str">
        <f>VLOOKUP(135,Textbausteine_201[],Hilfsgrössen!$D$2,FALSE)</f>
        <v>5) Im Jahr 2007 wurden Konzerngesellschaften der Segmente PostMail (DocumentServices AG, SwissSign AG) und PostLogistics (yellowworld AG) neu dem Segment Swiss Post Solutions zugeordnet.</v>
      </c>
      <c r="D67" s="20"/>
      <c r="E67" s="29"/>
      <c r="F67" s="29"/>
      <c r="G67" s="35"/>
      <c r="H67" s="20"/>
      <c r="I67" s="20"/>
      <c r="J67" s="20"/>
      <c r="K67" s="20"/>
      <c r="L67" s="20"/>
      <c r="M67" s="20"/>
      <c r="N67" s="20"/>
      <c r="O67" s="20"/>
      <c r="P67" s="20"/>
      <c r="Q67" s="20"/>
      <c r="R67" s="20"/>
      <c r="S67" s="20"/>
      <c r="T67" s="20"/>
      <c r="U67" s="20"/>
      <c r="V67" s="11"/>
      <c r="W67" s="11"/>
      <c r="AD67" s="338"/>
    </row>
    <row r="68" spans="1:32" s="18" customFormat="1" ht="12.95" customHeight="1" x14ac:dyDescent="0.25">
      <c r="A68" s="61"/>
      <c r="B68" s="19" t="str">
        <f>VLOOKUP(136,Textbausteine_201[],Hilfsgrössen!$D$2,FALSE)</f>
        <v>6) normaliserte Werte 2021, 2017, 2015 und 2013</v>
      </c>
      <c r="D68" s="20"/>
      <c r="E68" s="29"/>
      <c r="F68" s="29"/>
      <c r="G68" s="35"/>
      <c r="H68" s="20"/>
      <c r="I68" s="20"/>
      <c r="J68" s="20"/>
      <c r="K68" s="20"/>
      <c r="L68" s="20"/>
      <c r="M68" s="20"/>
      <c r="N68" s="20"/>
      <c r="O68" s="20"/>
      <c r="P68" s="20"/>
      <c r="Q68" s="20"/>
      <c r="R68" s="20"/>
      <c r="S68" s="20"/>
      <c r="T68" s="20"/>
      <c r="U68" s="20"/>
      <c r="V68" s="11"/>
      <c r="W68" s="11"/>
      <c r="AD68" s="338"/>
    </row>
    <row r="69" spans="1:32" ht="12.95" customHeight="1" x14ac:dyDescent="0.2">
      <c r="B69" s="19" t="str">
        <f>VLOOKUP(137,Textbausteine_201[],Hilfsgrössen!$D$2,FALSE)</f>
        <v>7) Vorjahreswerte teilweise angepasst.</v>
      </c>
      <c r="AD69" s="338"/>
    </row>
    <row r="70" spans="1:32" s="320" customFormat="1" ht="12.95" customHeight="1" x14ac:dyDescent="0.2">
      <c r="A70" s="339"/>
      <c r="B70" s="19" t="str">
        <f>VLOOKUP(138,Textbausteine_201[],Hilfsgrössen!$D$2,FALSE)</f>
        <v>8) Die Segmente Logistik-Services, Kommunikations-Services und Mobilitäts-Services wurden per 1.1.2021 neu gebildet. Funktionen und Management wurde ebenfalls neu gebildet (bis 2020 als Übrige bezeichnet). Für die Vorjahreswerte 2019 und früher bestehen keine Vergleichswerte.</v>
      </c>
      <c r="E70" s="322"/>
      <c r="F70" s="322"/>
      <c r="G70" s="340"/>
      <c r="V70" s="322"/>
      <c r="W70" s="322"/>
      <c r="AD70" s="338"/>
    </row>
    <row r="71" spans="1:32" ht="12.95" customHeight="1" x14ac:dyDescent="0.2">
      <c r="B71" s="19" t="str">
        <f>VLOOKUP(139,Textbausteine_201[],Hilfsgrössen!$D$2,FALSE)</f>
        <v>9) Das Segment Swiss Post Solutions wird in der konsolidierten Erfolgsrechnung separat unter den aufgegebenen Geschäftsbereichen ausgewiesen. Es ist daher nicht mehr im Segmentausweis enthalten, und auf die Ergebniskommentierung wird verzichtet.</v>
      </c>
      <c r="AD71" s="338"/>
    </row>
    <row r="74" spans="1:32" s="6" customFormat="1" ht="12.95" customHeight="1" x14ac:dyDescent="0.2">
      <c r="A74" s="56" t="s">
        <v>27</v>
      </c>
      <c r="B74" s="405" t="str">
        <f>$C$8</f>
        <v>Verteilung der Wertschöpfung</v>
      </c>
      <c r="C74" s="405"/>
      <c r="D74" s="6" t="str">
        <f>VLOOKUP(32,Textbausteine_Menu[],Hilfsgrössen!$D$2,FALSE)</f>
        <v>Einheit</v>
      </c>
      <c r="E74" s="28" t="str">
        <f>VLOOKUP(33,Textbausteine_Menu[],Hilfsgrössen!$D$2,FALSE)</f>
        <v>Fussnoten</v>
      </c>
      <c r="F74" s="28" t="str">
        <f>VLOOKUP(34,Textbausteine_Menu[],Hilfsgrössen!$D$2,FALSE)</f>
        <v>GRI</v>
      </c>
      <c r="G74" s="33"/>
      <c r="H74" s="6">
        <v>2004</v>
      </c>
      <c r="I74" s="6">
        <v>2005</v>
      </c>
      <c r="J74" s="7">
        <v>2006</v>
      </c>
      <c r="K74" s="7">
        <v>2007</v>
      </c>
      <c r="L74" s="7">
        <v>2008</v>
      </c>
      <c r="M74" s="7">
        <v>2009</v>
      </c>
      <c r="N74" s="7">
        <v>2010</v>
      </c>
      <c r="O74" s="7">
        <v>2011</v>
      </c>
      <c r="P74" s="7">
        <v>2012</v>
      </c>
      <c r="Q74" s="7">
        <v>2013</v>
      </c>
      <c r="R74" s="7" t="s">
        <v>125</v>
      </c>
      <c r="S74" s="2">
        <v>2014</v>
      </c>
      <c r="T74" s="2">
        <v>2015</v>
      </c>
      <c r="U74" s="7" t="s">
        <v>126</v>
      </c>
      <c r="V74" s="7">
        <v>2016</v>
      </c>
      <c r="W74" s="221">
        <v>2017</v>
      </c>
      <c r="X74" s="222" t="s">
        <v>127</v>
      </c>
      <c r="Y74" s="222" t="s">
        <v>128</v>
      </c>
      <c r="Z74" s="222">
        <v>2019</v>
      </c>
      <c r="AA74" s="222" t="s">
        <v>129</v>
      </c>
      <c r="AB74" s="378">
        <v>2021</v>
      </c>
      <c r="AC74" s="149" t="s">
        <v>115</v>
      </c>
    </row>
    <row r="75" spans="1:32" s="6" customFormat="1" ht="12.95" customHeight="1" x14ac:dyDescent="0.2">
      <c r="A75" s="61"/>
      <c r="B75" s="405"/>
      <c r="C75" s="405"/>
      <c r="E75" s="28"/>
      <c r="F75" s="28"/>
      <c r="G75" s="33"/>
      <c r="J75" s="7"/>
      <c r="K75" s="7"/>
      <c r="L75" s="7"/>
      <c r="M75" s="7"/>
      <c r="N75" s="7"/>
      <c r="O75" s="7"/>
      <c r="P75" s="7"/>
      <c r="Q75" s="7"/>
      <c r="R75" s="7"/>
      <c r="S75" s="2"/>
      <c r="T75" s="2"/>
      <c r="U75" s="2"/>
      <c r="V75" s="11"/>
      <c r="W75" s="212"/>
      <c r="X75" s="223"/>
      <c r="Y75" s="223"/>
      <c r="Z75" s="223"/>
      <c r="AA75" s="223"/>
      <c r="AB75" s="379"/>
      <c r="AC75" s="204"/>
    </row>
    <row r="76" spans="1:32" ht="12.95" customHeight="1" x14ac:dyDescent="0.2">
      <c r="A76" s="44"/>
      <c r="C76" s="21"/>
      <c r="D76" s="16"/>
      <c r="E76" s="11"/>
      <c r="J76" s="11"/>
      <c r="K76" s="11"/>
      <c r="L76" s="11"/>
      <c r="M76" s="11"/>
      <c r="N76" s="11"/>
      <c r="O76" s="11"/>
      <c r="P76" s="11"/>
      <c r="Q76" s="11"/>
      <c r="R76" s="9"/>
      <c r="S76" s="9"/>
      <c r="T76" s="9"/>
      <c r="U76" s="9"/>
      <c r="V76" s="75"/>
      <c r="W76" s="224"/>
      <c r="X76" s="225"/>
      <c r="Y76" s="225"/>
      <c r="Z76" s="225"/>
      <c r="AA76" s="225"/>
      <c r="AB76" s="203"/>
      <c r="AC76" s="205"/>
    </row>
    <row r="77" spans="1:32" s="6" customFormat="1" ht="12.95" customHeight="1" x14ac:dyDescent="0.2">
      <c r="A77" s="62"/>
      <c r="B77" s="2" t="str">
        <f>VLOOKUP(36,Textbausteine_Menu[],Hilfsgrössen!$D$2,FALSE)</f>
        <v>Konzern</v>
      </c>
      <c r="E77" s="28"/>
      <c r="F77" s="28"/>
      <c r="G77" s="33"/>
      <c r="V77" s="75"/>
      <c r="W77" s="224"/>
      <c r="X77" s="223"/>
      <c r="Y77" s="223"/>
      <c r="Z77" s="223"/>
      <c r="AA77" s="223"/>
      <c r="AB77" s="379"/>
      <c r="AC77" s="204"/>
    </row>
    <row r="78" spans="1:32" ht="12.95" customHeight="1" x14ac:dyDescent="0.2">
      <c r="A78" s="62"/>
      <c r="B78" s="16"/>
      <c r="C78" s="1" t="str">
        <f>VLOOKUP(61,Textbausteine_201[],Hilfsgrössen!$D$2,FALSE)</f>
        <v>Erarbeitete Wertschöpfung</v>
      </c>
      <c r="D78" s="1" t="str">
        <f>VLOOKUP(11,Textbausteine_201[],Hilfsgrössen!$D$2,FALSE)</f>
        <v>Mio. CHF</v>
      </c>
      <c r="E78" s="9">
        <v>1</v>
      </c>
      <c r="F78" s="9" t="s">
        <v>116</v>
      </c>
      <c r="H78" s="244">
        <v>4786</v>
      </c>
      <c r="I78" s="244">
        <v>4716</v>
      </c>
      <c r="J78" s="244">
        <v>4735</v>
      </c>
      <c r="K78" s="244">
        <v>4925</v>
      </c>
      <c r="L78" s="244">
        <v>4875</v>
      </c>
      <c r="M78" s="244">
        <v>4983</v>
      </c>
      <c r="N78" s="244">
        <v>5268</v>
      </c>
      <c r="O78" s="244">
        <v>5187</v>
      </c>
      <c r="P78" s="244">
        <v>5314</v>
      </c>
      <c r="Q78" s="246" t="s">
        <v>30</v>
      </c>
      <c r="R78" s="244">
        <v>5328</v>
      </c>
      <c r="S78" s="244">
        <v>5220</v>
      </c>
      <c r="T78" s="246" t="s">
        <v>30</v>
      </c>
      <c r="U78" s="244">
        <v>5193</v>
      </c>
      <c r="V78" s="216">
        <v>5145</v>
      </c>
      <c r="W78" s="246" t="s">
        <v>30</v>
      </c>
      <c r="X78" s="216">
        <v>5143</v>
      </c>
      <c r="Y78" s="216">
        <v>4613</v>
      </c>
      <c r="Z78" s="216">
        <v>4616</v>
      </c>
      <c r="AA78" s="216">
        <v>4180</v>
      </c>
      <c r="AB78" s="266" t="s">
        <v>30</v>
      </c>
      <c r="AC78" s="247">
        <v>4376</v>
      </c>
      <c r="AD78" s="338"/>
    </row>
    <row r="79" spans="1:32" ht="12.95" customHeight="1" x14ac:dyDescent="0.2">
      <c r="A79" s="62"/>
      <c r="B79" s="16"/>
      <c r="C79" s="13" t="str">
        <f>VLOOKUP(62,Textbausteine_201[],Hilfsgrössen!$D$2,FALSE)</f>
        <v>davon an: Mitarbeitende</v>
      </c>
      <c r="D79" s="1" t="str">
        <f>VLOOKUP(11,Textbausteine_201[],Hilfsgrössen!$D$2,FALSE)</f>
        <v>Mio. CHF</v>
      </c>
      <c r="E79" s="9">
        <v>2</v>
      </c>
      <c r="F79" s="9" t="s">
        <v>116</v>
      </c>
      <c r="H79" s="244">
        <v>3738</v>
      </c>
      <c r="I79" s="244">
        <v>3704</v>
      </c>
      <c r="J79" s="244">
        <v>3711</v>
      </c>
      <c r="K79" s="244">
        <v>3851</v>
      </c>
      <c r="L79" s="244">
        <v>3873</v>
      </c>
      <c r="M79" s="244">
        <v>4032</v>
      </c>
      <c r="N79" s="244">
        <v>4076</v>
      </c>
      <c r="O79" s="244">
        <v>4026</v>
      </c>
      <c r="P79" s="244">
        <v>4161</v>
      </c>
      <c r="Q79" s="246" t="s">
        <v>30</v>
      </c>
      <c r="R79" s="244">
        <v>4131</v>
      </c>
      <c r="S79" s="244">
        <v>4108</v>
      </c>
      <c r="T79" s="246" t="s">
        <v>30</v>
      </c>
      <c r="U79" s="244">
        <v>4074</v>
      </c>
      <c r="V79" s="216">
        <v>4034</v>
      </c>
      <c r="W79" s="246" t="s">
        <v>30</v>
      </c>
      <c r="X79" s="216">
        <v>3989</v>
      </c>
      <c r="Y79" s="216">
        <v>3802</v>
      </c>
      <c r="Z79" s="216">
        <v>3764</v>
      </c>
      <c r="AA79" s="216">
        <v>3529</v>
      </c>
      <c r="AB79" s="266" t="s">
        <v>30</v>
      </c>
      <c r="AC79" s="247">
        <v>3448</v>
      </c>
      <c r="AD79" s="338"/>
      <c r="AF79" s="102"/>
    </row>
    <row r="80" spans="1:32" ht="12.95" customHeight="1" x14ac:dyDescent="0.2">
      <c r="A80" s="62"/>
      <c r="B80" s="16"/>
      <c r="C80" s="13" t="str">
        <f>VLOOKUP(63,Textbausteine_201[],Hilfsgrössen!$D$2,FALSE)</f>
        <v>davon an: Fremdkapitalgeber</v>
      </c>
      <c r="D80" s="1" t="str">
        <f>VLOOKUP(11,Textbausteine_201[],Hilfsgrössen!$D$2,FALSE)</f>
        <v>Mio. CHF</v>
      </c>
      <c r="E80" s="9">
        <v>3</v>
      </c>
      <c r="F80" s="9" t="s">
        <v>116</v>
      </c>
      <c r="H80" s="244">
        <v>11</v>
      </c>
      <c r="I80" s="244">
        <v>9</v>
      </c>
      <c r="J80" s="244">
        <v>11</v>
      </c>
      <c r="K80" s="244">
        <v>20</v>
      </c>
      <c r="L80" s="244">
        <v>22</v>
      </c>
      <c r="M80" s="244">
        <v>14</v>
      </c>
      <c r="N80" s="244">
        <v>20</v>
      </c>
      <c r="O80" s="244">
        <v>19</v>
      </c>
      <c r="P80" s="244">
        <v>82</v>
      </c>
      <c r="Q80" s="246" t="s">
        <v>30</v>
      </c>
      <c r="R80" s="244">
        <v>93</v>
      </c>
      <c r="S80" s="244">
        <v>57</v>
      </c>
      <c r="T80" s="246" t="s">
        <v>30</v>
      </c>
      <c r="U80" s="244">
        <v>69</v>
      </c>
      <c r="V80" s="216">
        <v>64</v>
      </c>
      <c r="W80" s="246" t="s">
        <v>30</v>
      </c>
      <c r="X80" s="216">
        <v>48</v>
      </c>
      <c r="Y80" s="216">
        <v>48</v>
      </c>
      <c r="Z80" s="216">
        <v>75</v>
      </c>
      <c r="AA80" s="216">
        <v>50</v>
      </c>
      <c r="AB80" s="266" t="s">
        <v>30</v>
      </c>
      <c r="AC80" s="247">
        <v>44</v>
      </c>
      <c r="AD80" s="338"/>
      <c r="AF80" s="102"/>
    </row>
    <row r="81" spans="1:32" ht="12.95" customHeight="1" x14ac:dyDescent="0.2">
      <c r="A81" s="62"/>
      <c r="B81" s="16"/>
      <c r="C81" s="13" t="str">
        <f>VLOOKUP(64,Textbausteine_201[],Hilfsgrössen!$D$2,FALSE)</f>
        <v>davon an: öffentliche Hand</v>
      </c>
      <c r="D81" s="1" t="str">
        <f>VLOOKUP(11,Textbausteine_201[],Hilfsgrössen!$D$2,FALSE)</f>
        <v>Mio. CHF</v>
      </c>
      <c r="E81" s="9">
        <v>4</v>
      </c>
      <c r="F81" s="9" t="s">
        <v>116</v>
      </c>
      <c r="H81" s="244">
        <v>2</v>
      </c>
      <c r="I81" s="244">
        <v>4</v>
      </c>
      <c r="J81" s="244">
        <v>9</v>
      </c>
      <c r="K81" s="244">
        <v>13</v>
      </c>
      <c r="L81" s="244">
        <v>10</v>
      </c>
      <c r="M81" s="244">
        <v>9</v>
      </c>
      <c r="N81" s="244">
        <v>12</v>
      </c>
      <c r="O81" s="244">
        <v>13</v>
      </c>
      <c r="P81" s="244">
        <v>34</v>
      </c>
      <c r="Q81" s="246" t="s">
        <v>30</v>
      </c>
      <c r="R81" s="244">
        <v>94</v>
      </c>
      <c r="S81" s="244">
        <v>79</v>
      </c>
      <c r="T81" s="246" t="s">
        <v>30</v>
      </c>
      <c r="U81" s="244">
        <v>94</v>
      </c>
      <c r="V81" s="216">
        <v>118</v>
      </c>
      <c r="W81" s="246" t="s">
        <v>30</v>
      </c>
      <c r="X81" s="216">
        <f>74-11</f>
        <v>63</v>
      </c>
      <c r="Y81" s="216">
        <v>42</v>
      </c>
      <c r="Z81" s="216">
        <v>32</v>
      </c>
      <c r="AA81" s="216">
        <v>28</v>
      </c>
      <c r="AB81" s="266" t="s">
        <v>30</v>
      </c>
      <c r="AC81" s="247">
        <v>55</v>
      </c>
      <c r="AF81" s="102"/>
    </row>
    <row r="82" spans="1:32" ht="12.75" x14ac:dyDescent="0.2">
      <c r="A82" s="62"/>
      <c r="B82" s="16"/>
      <c r="C82" s="13" t="str">
        <f>VLOOKUP(65,Textbausteine_201[],Hilfsgrössen!$D$2,FALSE)</f>
        <v>davon an: Eigentümer</v>
      </c>
      <c r="D82" s="1" t="str">
        <f>VLOOKUP(11,Textbausteine_201[],Hilfsgrössen!$D$2,FALSE)</f>
        <v>Mio. CHF</v>
      </c>
      <c r="E82" s="9">
        <v>5</v>
      </c>
      <c r="F82" s="9" t="s">
        <v>116</v>
      </c>
      <c r="H82" s="244">
        <v>0</v>
      </c>
      <c r="I82" s="244">
        <v>0</v>
      </c>
      <c r="J82" s="244">
        <v>0</v>
      </c>
      <c r="K82" s="244">
        <v>300</v>
      </c>
      <c r="L82" s="244">
        <v>200</v>
      </c>
      <c r="M82" s="244">
        <v>200</v>
      </c>
      <c r="N82" s="244">
        <v>200</v>
      </c>
      <c r="O82" s="244">
        <v>200</v>
      </c>
      <c r="P82" s="244">
        <v>200</v>
      </c>
      <c r="Q82" s="246" t="s">
        <v>30</v>
      </c>
      <c r="R82" s="244">
        <v>180</v>
      </c>
      <c r="S82" s="244">
        <v>200</v>
      </c>
      <c r="T82" s="246" t="s">
        <v>30</v>
      </c>
      <c r="U82" s="244">
        <v>200</v>
      </c>
      <c r="V82" s="216">
        <v>200</v>
      </c>
      <c r="W82" s="246" t="s">
        <v>30</v>
      </c>
      <c r="X82" s="216">
        <v>200</v>
      </c>
      <c r="Y82" s="216">
        <v>200</v>
      </c>
      <c r="Z82" s="216">
        <v>50</v>
      </c>
      <c r="AA82" s="216">
        <v>50</v>
      </c>
      <c r="AB82" s="266" t="s">
        <v>30</v>
      </c>
      <c r="AC82" s="247">
        <v>50</v>
      </c>
      <c r="AF82" s="102"/>
    </row>
    <row r="83" spans="1:32" ht="12.95" customHeight="1" x14ac:dyDescent="0.2">
      <c r="A83" s="62"/>
      <c r="B83" s="16"/>
      <c r="C83" s="13" t="str">
        <f>VLOOKUP(66,Textbausteine_201[],Hilfsgrössen!$D$2,FALSE)</f>
        <v>davon an: Unternehmen</v>
      </c>
      <c r="D83" s="1" t="str">
        <f>VLOOKUP(11,Textbausteine_201[],Hilfsgrössen!$D$2,FALSE)</f>
        <v>Mio. CHF</v>
      </c>
      <c r="E83" s="9">
        <v>7</v>
      </c>
      <c r="F83" s="9" t="s">
        <v>116</v>
      </c>
      <c r="H83" s="244">
        <v>1036</v>
      </c>
      <c r="I83" s="244">
        <v>999</v>
      </c>
      <c r="J83" s="244">
        <v>1004</v>
      </c>
      <c r="K83" s="244">
        <v>741</v>
      </c>
      <c r="L83" s="244">
        <v>770</v>
      </c>
      <c r="M83" s="244">
        <v>728</v>
      </c>
      <c r="N83" s="244">
        <v>960</v>
      </c>
      <c r="O83" s="244">
        <v>929</v>
      </c>
      <c r="P83" s="244">
        <v>837</v>
      </c>
      <c r="Q83" s="246" t="s">
        <v>30</v>
      </c>
      <c r="R83" s="244">
        <v>830</v>
      </c>
      <c r="S83" s="244">
        <v>776</v>
      </c>
      <c r="T83" s="246" t="s">
        <v>30</v>
      </c>
      <c r="U83" s="244">
        <v>756</v>
      </c>
      <c r="V83" s="216">
        <v>729</v>
      </c>
      <c r="W83" s="246" t="s">
        <v>30</v>
      </c>
      <c r="X83" s="216">
        <v>843</v>
      </c>
      <c r="Y83" s="216">
        <v>521</v>
      </c>
      <c r="Z83" s="216">
        <v>695</v>
      </c>
      <c r="AA83" s="216">
        <v>523</v>
      </c>
      <c r="AB83" s="266" t="s">
        <v>30</v>
      </c>
      <c r="AC83" s="247">
        <v>779</v>
      </c>
      <c r="AF83" s="102"/>
    </row>
    <row r="84" spans="1:32" ht="12.95" customHeight="1" x14ac:dyDescent="0.2">
      <c r="A84" s="62"/>
      <c r="B84" s="16"/>
      <c r="C84" s="26" t="str">
        <f>VLOOKUP(67,Textbausteine_201[],Hilfsgrössen!$D$2,FALSE)</f>
        <v>davon für: Abschreibungen</v>
      </c>
      <c r="D84" s="1" t="str">
        <f>VLOOKUP(11,Textbausteine_201[],Hilfsgrössen!$D$2,FALSE)</f>
        <v>Mio. CHF</v>
      </c>
      <c r="F84" s="9" t="s">
        <v>116</v>
      </c>
      <c r="H84" s="244">
        <v>255</v>
      </c>
      <c r="I84" s="244">
        <v>252</v>
      </c>
      <c r="J84" s="244">
        <v>257</v>
      </c>
      <c r="K84" s="244">
        <v>284</v>
      </c>
      <c r="L84" s="244">
        <v>279</v>
      </c>
      <c r="M84" s="244">
        <v>325</v>
      </c>
      <c r="N84" s="244">
        <v>309</v>
      </c>
      <c r="O84" s="244">
        <v>293</v>
      </c>
      <c r="P84" s="244">
        <v>312</v>
      </c>
      <c r="Q84" s="246" t="s">
        <v>30</v>
      </c>
      <c r="R84" s="244">
        <v>333</v>
      </c>
      <c r="S84" s="244">
        <v>329</v>
      </c>
      <c r="T84" s="246" t="s">
        <v>30</v>
      </c>
      <c r="U84" s="244">
        <v>336</v>
      </c>
      <c r="V84" s="216">
        <v>447</v>
      </c>
      <c r="W84" s="246" t="s">
        <v>30</v>
      </c>
      <c r="X84" s="216">
        <v>467</v>
      </c>
      <c r="Y84" s="216">
        <v>348</v>
      </c>
      <c r="Z84" s="216">
        <v>451</v>
      </c>
      <c r="AA84" s="216">
        <v>425</v>
      </c>
      <c r="AB84" s="266" t="s">
        <v>30</v>
      </c>
      <c r="AC84" s="247">
        <v>442</v>
      </c>
      <c r="AF84" s="102"/>
    </row>
    <row r="85" spans="1:32" ht="12.95" customHeight="1" x14ac:dyDescent="0.2">
      <c r="A85" s="62"/>
      <c r="B85" s="16"/>
      <c r="C85" s="26" t="str">
        <f>VLOOKUP(68,Textbausteine_201[],Hilfsgrössen!$D$2,FALSE)</f>
        <v>davon für: Stärkung der Pensionskasse Post</v>
      </c>
      <c r="D85" s="1" t="str">
        <f>VLOOKUP(11,Textbausteine_201[],Hilfsgrössen!$D$2,FALSE)</f>
        <v>Mio. CHF</v>
      </c>
      <c r="F85" s="9" t="s">
        <v>116</v>
      </c>
      <c r="H85" s="244">
        <v>350</v>
      </c>
      <c r="I85" s="244">
        <v>350</v>
      </c>
      <c r="J85" s="244">
        <v>212</v>
      </c>
      <c r="K85" s="244">
        <v>250</v>
      </c>
      <c r="L85" s="244">
        <v>250</v>
      </c>
      <c r="M85" s="244">
        <v>250</v>
      </c>
      <c r="N85" s="244">
        <v>100</v>
      </c>
      <c r="O85" s="244">
        <v>100</v>
      </c>
      <c r="P85" s="244">
        <v>100</v>
      </c>
      <c r="Q85" s="246" t="s">
        <v>30</v>
      </c>
      <c r="R85" s="244">
        <v>0</v>
      </c>
      <c r="S85" s="244">
        <v>0</v>
      </c>
      <c r="T85" s="246" t="s">
        <v>30</v>
      </c>
      <c r="U85" s="244">
        <v>0</v>
      </c>
      <c r="V85" s="216">
        <v>0</v>
      </c>
      <c r="W85" s="246" t="s">
        <v>30</v>
      </c>
      <c r="X85" s="216">
        <v>0</v>
      </c>
      <c r="Y85" s="216">
        <v>0</v>
      </c>
      <c r="Z85" s="216">
        <v>0</v>
      </c>
      <c r="AA85" s="216">
        <v>0</v>
      </c>
      <c r="AB85" s="266" t="s">
        <v>30</v>
      </c>
      <c r="AC85" s="247">
        <v>0</v>
      </c>
      <c r="AF85" s="102"/>
    </row>
    <row r="86" spans="1:32" ht="12.95" customHeight="1" x14ac:dyDescent="0.2">
      <c r="A86" s="62"/>
      <c r="B86" s="16"/>
      <c r="C86" s="26" t="str">
        <f>VLOOKUP(69,Textbausteine_201[],Hilfsgrössen!$D$2,FALSE)</f>
        <v>davon für: Aufbau Eigenkapital</v>
      </c>
      <c r="D86" s="1" t="str">
        <f>VLOOKUP(11,Textbausteine_201[],Hilfsgrössen!$D$2,FALSE)</f>
        <v>Mio. CHF</v>
      </c>
      <c r="F86" s="9" t="s">
        <v>116</v>
      </c>
      <c r="H86" s="244">
        <v>480</v>
      </c>
      <c r="I86" s="244">
        <v>461</v>
      </c>
      <c r="J86" s="244">
        <v>625</v>
      </c>
      <c r="K86" s="244">
        <v>359</v>
      </c>
      <c r="L86" s="244">
        <v>375</v>
      </c>
      <c r="M86" s="244">
        <v>261</v>
      </c>
      <c r="N86" s="244">
        <v>610</v>
      </c>
      <c r="O86" s="244">
        <v>604</v>
      </c>
      <c r="P86" s="244">
        <v>472</v>
      </c>
      <c r="Q86" s="246" t="s">
        <v>30</v>
      </c>
      <c r="R86" s="244">
        <v>446</v>
      </c>
      <c r="S86" s="244">
        <v>552</v>
      </c>
      <c r="T86" s="246" t="s">
        <v>30</v>
      </c>
      <c r="U86" s="244">
        <v>610</v>
      </c>
      <c r="V86" s="216">
        <v>394</v>
      </c>
      <c r="W86" s="246" t="s">
        <v>30</v>
      </c>
      <c r="X86" s="216">
        <v>504</v>
      </c>
      <c r="Y86" s="216">
        <v>339</v>
      </c>
      <c r="Z86" s="216">
        <v>428</v>
      </c>
      <c r="AA86" s="216">
        <v>279</v>
      </c>
      <c r="AB86" s="266" t="s">
        <v>30</v>
      </c>
      <c r="AC86" s="247">
        <v>477</v>
      </c>
      <c r="AF86" s="102"/>
    </row>
    <row r="87" spans="1:32" ht="12.95" customHeight="1" x14ac:dyDescent="0.2">
      <c r="A87" s="62"/>
      <c r="B87" s="16"/>
      <c r="C87" s="26" t="str">
        <f>VLOOKUP(70,Textbausteine_201[],Hilfsgrössen!$D$2,FALSE)</f>
        <v>davon für: Übrige</v>
      </c>
      <c r="D87" s="1" t="str">
        <f>VLOOKUP(11,Textbausteine_201[],Hilfsgrössen!$D$2,FALSE)</f>
        <v>Mio. CHF</v>
      </c>
      <c r="E87" s="9">
        <v>6</v>
      </c>
      <c r="F87" s="9" t="s">
        <v>116</v>
      </c>
      <c r="H87" s="244">
        <v>-49</v>
      </c>
      <c r="I87" s="244">
        <v>-64</v>
      </c>
      <c r="J87" s="244">
        <v>-90</v>
      </c>
      <c r="K87" s="244">
        <v>-152</v>
      </c>
      <c r="L87" s="244">
        <v>-134</v>
      </c>
      <c r="M87" s="244">
        <v>-108</v>
      </c>
      <c r="N87" s="244">
        <v>-59</v>
      </c>
      <c r="O87" s="244">
        <v>-68</v>
      </c>
      <c r="P87" s="244">
        <v>-47</v>
      </c>
      <c r="Q87" s="246" t="s">
        <v>30</v>
      </c>
      <c r="R87" s="244">
        <v>51</v>
      </c>
      <c r="S87" s="244">
        <v>-105</v>
      </c>
      <c r="T87" s="246" t="s">
        <v>30</v>
      </c>
      <c r="U87" s="244">
        <v>-190</v>
      </c>
      <c r="V87" s="216">
        <v>-112</v>
      </c>
      <c r="W87" s="246" t="s">
        <v>30</v>
      </c>
      <c r="X87" s="216">
        <v>-128</v>
      </c>
      <c r="Y87" s="216">
        <v>-166</v>
      </c>
      <c r="Z87" s="216">
        <v>-184</v>
      </c>
      <c r="AA87" s="216">
        <v>-181</v>
      </c>
      <c r="AB87" s="266" t="s">
        <v>30</v>
      </c>
      <c r="AC87" s="247">
        <v>-140</v>
      </c>
      <c r="AF87" s="102"/>
    </row>
    <row r="88" spans="1:32" ht="12.95" customHeight="1" x14ac:dyDescent="0.2">
      <c r="A88" s="62"/>
      <c r="B88" s="16"/>
      <c r="V88" s="75"/>
      <c r="W88" s="225"/>
      <c r="X88" s="224"/>
      <c r="Y88" s="224"/>
      <c r="Z88" s="224"/>
      <c r="AA88" s="224"/>
      <c r="AB88" s="203"/>
      <c r="AC88" s="202"/>
      <c r="AF88" s="102"/>
    </row>
    <row r="89" spans="1:32" ht="12.95" customHeight="1" x14ac:dyDescent="0.2">
      <c r="A89" s="62"/>
      <c r="B89" s="16"/>
      <c r="C89" s="1" t="str">
        <f>VLOOKUP(61,Textbausteine_201[],Hilfsgrössen!$D$2,FALSE)</f>
        <v>Erarbeitete Wertschöpfung</v>
      </c>
      <c r="D89" s="1" t="str">
        <f>VLOOKUP(12,Textbausteine_201[],Hilfsgrössen!$D$2,FALSE)</f>
        <v>%</v>
      </c>
      <c r="E89" s="9">
        <v>1</v>
      </c>
      <c r="F89" s="9" t="s">
        <v>116</v>
      </c>
      <c r="H89" s="241">
        <v>100</v>
      </c>
      <c r="I89" s="241">
        <v>100</v>
      </c>
      <c r="J89" s="241">
        <v>100</v>
      </c>
      <c r="K89" s="241">
        <v>100</v>
      </c>
      <c r="L89" s="241">
        <v>100</v>
      </c>
      <c r="M89" s="241">
        <v>100</v>
      </c>
      <c r="N89" s="241">
        <v>100</v>
      </c>
      <c r="O89" s="241">
        <v>100</v>
      </c>
      <c r="P89" s="241">
        <v>100</v>
      </c>
      <c r="Q89" s="231" t="s">
        <v>30</v>
      </c>
      <c r="R89" s="241">
        <v>100</v>
      </c>
      <c r="S89" s="241">
        <f t="shared" ref="S89" si="0">S78/S$78*100</f>
        <v>100</v>
      </c>
      <c r="T89" s="231" t="s">
        <v>30</v>
      </c>
      <c r="U89" s="241">
        <f t="shared" ref="U89" si="1">U78/U$78*100</f>
        <v>100</v>
      </c>
      <c r="V89" s="248">
        <f t="shared" ref="V89" si="2">V78/V$78*100</f>
        <v>100</v>
      </c>
      <c r="W89" s="231" t="s">
        <v>30</v>
      </c>
      <c r="X89" s="248">
        <f>X78/X$78*100</f>
        <v>100</v>
      </c>
      <c r="Y89" s="248">
        <v>100</v>
      </c>
      <c r="Z89" s="248">
        <v>100</v>
      </c>
      <c r="AA89" s="248">
        <v>100</v>
      </c>
      <c r="AB89" s="333" t="s">
        <v>30</v>
      </c>
      <c r="AC89" s="371">
        <v>100</v>
      </c>
      <c r="AD89" s="338"/>
    </row>
    <row r="90" spans="1:32" ht="12.95" customHeight="1" x14ac:dyDescent="0.2">
      <c r="A90" s="62"/>
      <c r="B90" s="16"/>
      <c r="C90" s="13" t="str">
        <f>VLOOKUP(62,Textbausteine_201[],Hilfsgrössen!$D$2,FALSE)</f>
        <v>davon an: Mitarbeitende</v>
      </c>
      <c r="D90" s="1" t="str">
        <f>VLOOKUP(12,Textbausteine_201[],Hilfsgrössen!$D$2,FALSE)</f>
        <v>%</v>
      </c>
      <c r="E90" s="9">
        <v>2</v>
      </c>
      <c r="F90" s="9" t="s">
        <v>116</v>
      </c>
      <c r="H90" s="241">
        <v>78.102799832845804</v>
      </c>
      <c r="I90" s="241">
        <v>78.541136556403728</v>
      </c>
      <c r="J90" s="241">
        <v>78.373812038014776</v>
      </c>
      <c r="K90" s="241">
        <v>78.192893401015226</v>
      </c>
      <c r="L90" s="241">
        <v>79.446153846153848</v>
      </c>
      <c r="M90" s="241">
        <v>80.915111378687541</v>
      </c>
      <c r="N90" s="241">
        <v>77.372817008352314</v>
      </c>
      <c r="O90" s="241">
        <v>77.617119722382881</v>
      </c>
      <c r="P90" s="241">
        <v>78.302596913812579</v>
      </c>
      <c r="Q90" s="231" t="s">
        <v>30</v>
      </c>
      <c r="R90" s="241">
        <v>77.53378378378379</v>
      </c>
      <c r="S90" s="241">
        <f t="shared" ref="S90" si="3">S79/S$78*100</f>
        <v>78.69731800766283</v>
      </c>
      <c r="T90" s="231" t="s">
        <v>30</v>
      </c>
      <c r="U90" s="241">
        <f t="shared" ref="U90" si="4">U79/U$78*100</f>
        <v>78.451761987290581</v>
      </c>
      <c r="V90" s="248">
        <f t="shared" ref="V90:V98" si="5">V79/V$78*100</f>
        <v>78.40621963070943</v>
      </c>
      <c r="W90" s="231" t="s">
        <v>30</v>
      </c>
      <c r="X90" s="248">
        <f>X79/X$78*100</f>
        <v>77.561734396266772</v>
      </c>
      <c r="Y90" s="248">
        <v>82.419249945805333</v>
      </c>
      <c r="Z90" s="248">
        <v>81.5424610051993</v>
      </c>
      <c r="AA90" s="248">
        <f>AA79/$AA$78*100</f>
        <v>84.425837320574161</v>
      </c>
      <c r="AB90" s="333" t="s">
        <v>30</v>
      </c>
      <c r="AC90" s="371">
        <f>AC79/AC78*100</f>
        <v>78.793418647166362</v>
      </c>
      <c r="AD90" s="338"/>
      <c r="AF90" s="102"/>
    </row>
    <row r="91" spans="1:32" ht="12.95" customHeight="1" x14ac:dyDescent="0.2">
      <c r="A91" s="62"/>
      <c r="B91" s="16"/>
      <c r="C91" s="13" t="str">
        <f>VLOOKUP(63,Textbausteine_201[],Hilfsgrössen!$D$2,FALSE)</f>
        <v>davon an: Fremdkapitalgeber</v>
      </c>
      <c r="D91" s="1" t="str">
        <f>VLOOKUP(12,Textbausteine_201[],Hilfsgrössen!$D$2,FALSE)</f>
        <v>%</v>
      </c>
      <c r="E91" s="9">
        <v>3</v>
      </c>
      <c r="F91" s="9" t="s">
        <v>116</v>
      </c>
      <c r="H91" s="241">
        <v>0.22983702465524447</v>
      </c>
      <c r="I91" s="241">
        <v>0.19083969465648853</v>
      </c>
      <c r="J91" s="241">
        <v>0.23231256599788808</v>
      </c>
      <c r="K91" s="241">
        <v>0.40609137055837563</v>
      </c>
      <c r="L91" s="241">
        <v>0.45128205128205123</v>
      </c>
      <c r="M91" s="241">
        <v>0.28095524784266507</v>
      </c>
      <c r="N91" s="241">
        <v>0.37965072133637051</v>
      </c>
      <c r="O91" s="241">
        <v>0.36630036630036628</v>
      </c>
      <c r="P91" s="241">
        <v>1.543093714715845</v>
      </c>
      <c r="Q91" s="231" t="s">
        <v>30</v>
      </c>
      <c r="R91" s="241">
        <v>1.7454954954954953</v>
      </c>
      <c r="S91" s="241">
        <f t="shared" ref="S91" si="6">S80/S$78*100</f>
        <v>1.0919540229885056</v>
      </c>
      <c r="T91" s="231" t="s">
        <v>30</v>
      </c>
      <c r="U91" s="241">
        <f t="shared" ref="U91" si="7">U80/U$78*100</f>
        <v>1.3287117273252456</v>
      </c>
      <c r="V91" s="248">
        <f t="shared" si="5"/>
        <v>1.2439261418853256</v>
      </c>
      <c r="W91" s="231" t="s">
        <v>30</v>
      </c>
      <c r="X91" s="248">
        <f t="shared" ref="X91" si="8">X80/X$78*100</f>
        <v>0.93330740812755197</v>
      </c>
      <c r="Y91" s="248">
        <v>1.0405376110990678</v>
      </c>
      <c r="Z91" s="248">
        <v>1.6247833622183712</v>
      </c>
      <c r="AA91" s="248">
        <f>AA80/$AA$78*100</f>
        <v>1.1961722488038278</v>
      </c>
      <c r="AB91" s="333" t="s">
        <v>30</v>
      </c>
      <c r="AC91" s="371">
        <f>AC80/AC78*100</f>
        <v>1.0054844606946984</v>
      </c>
      <c r="AD91" s="338"/>
      <c r="AF91" s="102"/>
    </row>
    <row r="92" spans="1:32" ht="12.95" customHeight="1" x14ac:dyDescent="0.2">
      <c r="A92" s="62"/>
      <c r="B92" s="16"/>
      <c r="C92" s="13" t="str">
        <f>VLOOKUP(64,Textbausteine_201[],Hilfsgrössen!$D$2,FALSE)</f>
        <v>davon an: öffentliche Hand</v>
      </c>
      <c r="D92" s="1" t="str">
        <f>VLOOKUP(12,Textbausteine_201[],Hilfsgrössen!$D$2,FALSE)</f>
        <v>%</v>
      </c>
      <c r="E92" s="9">
        <v>4</v>
      </c>
      <c r="F92" s="9" t="s">
        <v>116</v>
      </c>
      <c r="H92" s="241">
        <v>4.1788549937317176E-2</v>
      </c>
      <c r="I92" s="241">
        <v>8.4817642069550461E-2</v>
      </c>
      <c r="J92" s="241">
        <v>0.19007391763463569</v>
      </c>
      <c r="K92" s="241">
        <v>0.26395939086294418</v>
      </c>
      <c r="L92" s="241">
        <v>0.20512820512820512</v>
      </c>
      <c r="M92" s="241">
        <v>0.18061408789885611</v>
      </c>
      <c r="N92" s="241">
        <v>0.22779043280182232</v>
      </c>
      <c r="O92" s="241">
        <v>0.25062656641604009</v>
      </c>
      <c r="P92" s="241">
        <v>0.63981934512608207</v>
      </c>
      <c r="Q92" s="231" t="s">
        <v>30</v>
      </c>
      <c r="R92" s="241">
        <v>1.7642642642642643</v>
      </c>
      <c r="S92" s="241">
        <f t="shared" ref="S92" si="9">S81/S$78*100</f>
        <v>1.5134099616858239</v>
      </c>
      <c r="T92" s="231" t="s">
        <v>30</v>
      </c>
      <c r="U92" s="241">
        <f t="shared" ref="U92" si="10">U81/U$78*100</f>
        <v>1.8101290198343924</v>
      </c>
      <c r="V92" s="248">
        <f t="shared" si="5"/>
        <v>2.2934888241010691</v>
      </c>
      <c r="W92" s="231" t="s">
        <v>30</v>
      </c>
      <c r="X92" s="248">
        <f t="shared" ref="X92" si="11">X81/X$78*100</f>
        <v>1.2249659731674121</v>
      </c>
      <c r="Y92" s="248">
        <v>0.91047040971168436</v>
      </c>
      <c r="Z92" s="248">
        <v>0.6932409012131715</v>
      </c>
      <c r="AA92" s="248">
        <f>AA81/$AA$78*100</f>
        <v>0.66985645933014359</v>
      </c>
      <c r="AB92" s="333" t="s">
        <v>30</v>
      </c>
      <c r="AC92" s="371">
        <f>AC81/AC78*100</f>
        <v>1.2568555758683728</v>
      </c>
      <c r="AD92" s="338"/>
      <c r="AF92" s="102"/>
    </row>
    <row r="93" spans="1:32" ht="12.95" customHeight="1" x14ac:dyDescent="0.2">
      <c r="A93" s="62"/>
      <c r="B93" s="16"/>
      <c r="C93" s="13" t="str">
        <f>VLOOKUP(65,Textbausteine_201[],Hilfsgrössen!$D$2,FALSE)</f>
        <v>davon an: Eigentümer</v>
      </c>
      <c r="D93" s="1" t="str">
        <f>VLOOKUP(12,Textbausteine_201[],Hilfsgrössen!$D$2,FALSE)</f>
        <v>%</v>
      </c>
      <c r="E93" s="9">
        <v>5</v>
      </c>
      <c r="F93" s="9" t="s">
        <v>116</v>
      </c>
      <c r="H93" s="241">
        <v>0</v>
      </c>
      <c r="I93" s="241">
        <v>0</v>
      </c>
      <c r="J93" s="241">
        <v>0</v>
      </c>
      <c r="K93" s="241">
        <v>6.091370558375635</v>
      </c>
      <c r="L93" s="241">
        <v>4.1025641025641022</v>
      </c>
      <c r="M93" s="241">
        <v>4.0136463977523578</v>
      </c>
      <c r="N93" s="241">
        <v>3.7965072133637054</v>
      </c>
      <c r="O93" s="241">
        <v>3.8557933294775402</v>
      </c>
      <c r="P93" s="241">
        <v>3.7636432066240122</v>
      </c>
      <c r="Q93" s="231" t="s">
        <v>30</v>
      </c>
      <c r="R93" s="241">
        <v>3.3783783783783785</v>
      </c>
      <c r="S93" s="241">
        <f t="shared" ref="S93" si="12">S82/S$78*100</f>
        <v>3.8314176245210727</v>
      </c>
      <c r="T93" s="231" t="s">
        <v>30</v>
      </c>
      <c r="U93" s="241">
        <f t="shared" ref="U93" si="13">U82/U$78*100</f>
        <v>3.8513383400731751</v>
      </c>
      <c r="V93" s="248">
        <f t="shared" si="5"/>
        <v>3.8872691933916426</v>
      </c>
      <c r="W93" s="231" t="s">
        <v>30</v>
      </c>
      <c r="X93" s="248">
        <f t="shared" ref="X93" si="14">X82/X$78*100</f>
        <v>3.8887808671981334</v>
      </c>
      <c r="Y93" s="248">
        <v>4.3355733795794489</v>
      </c>
      <c r="Z93" s="248">
        <v>1.0831889081455806</v>
      </c>
      <c r="AA93" s="248">
        <f t="shared" ref="AA93" si="15">AA82/$AA$78*100</f>
        <v>1.1961722488038278</v>
      </c>
      <c r="AB93" s="333" t="s">
        <v>30</v>
      </c>
      <c r="AC93" s="371">
        <f>AC82/AC78*100</f>
        <v>1.1425959780621573</v>
      </c>
      <c r="AD93" s="338"/>
      <c r="AF93" s="102"/>
    </row>
    <row r="94" spans="1:32" ht="12.95" customHeight="1" x14ac:dyDescent="0.2">
      <c r="A94" s="62"/>
      <c r="B94" s="16"/>
      <c r="C94" s="13" t="str">
        <f>VLOOKUP(66,Textbausteine_201[],Hilfsgrössen!$D$2,FALSE)</f>
        <v>davon an: Unternehmen</v>
      </c>
      <c r="D94" s="1" t="str">
        <f>VLOOKUP(12,Textbausteine_201[],Hilfsgrössen!$D$2,FALSE)</f>
        <v>%</v>
      </c>
      <c r="E94" s="9">
        <v>7</v>
      </c>
      <c r="F94" s="9" t="s">
        <v>116</v>
      </c>
      <c r="H94" s="241">
        <v>21.646468867530295</v>
      </c>
      <c r="I94" s="241">
        <v>21.183206106870227</v>
      </c>
      <c r="J94" s="241">
        <v>21.203801478352695</v>
      </c>
      <c r="K94" s="241">
        <v>15.045685279187818</v>
      </c>
      <c r="L94" s="241">
        <v>15.794871794871796</v>
      </c>
      <c r="M94" s="241">
        <v>14.609672887818585</v>
      </c>
      <c r="N94" s="241">
        <v>18.223234624145785</v>
      </c>
      <c r="O94" s="241">
        <v>17.910160015423173</v>
      </c>
      <c r="P94" s="241">
        <v>15.75084681972149</v>
      </c>
      <c r="Q94" s="231" t="s">
        <v>30</v>
      </c>
      <c r="R94" s="241">
        <v>15.578078078078079</v>
      </c>
      <c r="S94" s="241">
        <f t="shared" ref="S94" si="16">S83/S$78*100</f>
        <v>14.865900383141762</v>
      </c>
      <c r="T94" s="231" t="s">
        <v>30</v>
      </c>
      <c r="U94" s="241">
        <f t="shared" ref="U94" si="17">U83/U$78*100</f>
        <v>14.558058925476603</v>
      </c>
      <c r="V94" s="248">
        <f t="shared" si="5"/>
        <v>14.169096209912539</v>
      </c>
      <c r="W94" s="231" t="s">
        <v>30</v>
      </c>
      <c r="X94" s="248">
        <f t="shared" ref="X94" si="18">X83/X$78*100</f>
        <v>16.391211355240131</v>
      </c>
      <c r="Y94" s="248">
        <v>11.294168653804466</v>
      </c>
      <c r="Z94" s="248">
        <v>15.05632582322357</v>
      </c>
      <c r="AA94" s="248">
        <f>AA83/$AA$78*100</f>
        <v>12.511961722488039</v>
      </c>
      <c r="AB94" s="333" t="s">
        <v>30</v>
      </c>
      <c r="AC94" s="371">
        <f>AC83/AC78*100</f>
        <v>17.801645338208409</v>
      </c>
      <c r="AD94" s="338"/>
      <c r="AF94" s="102"/>
    </row>
    <row r="95" spans="1:32" ht="12.95" customHeight="1" x14ac:dyDescent="0.2">
      <c r="A95" s="62"/>
      <c r="B95" s="16"/>
      <c r="C95" s="26" t="str">
        <f>VLOOKUP(67,Textbausteine_201[],Hilfsgrössen!$D$2,FALSE)</f>
        <v>davon für: Abschreibungen</v>
      </c>
      <c r="D95" s="1" t="str">
        <f>VLOOKUP(12,Textbausteine_201[],Hilfsgrössen!$D$2,FALSE)</f>
        <v>%</v>
      </c>
      <c r="F95" s="9" t="s">
        <v>116</v>
      </c>
      <c r="H95" s="241">
        <v>5.3280401170079399</v>
      </c>
      <c r="I95" s="241">
        <v>5.343511450381679</v>
      </c>
      <c r="J95" s="241">
        <v>5.4276663146779303</v>
      </c>
      <c r="K95" s="241">
        <v>5.7664974619289344</v>
      </c>
      <c r="L95" s="241">
        <v>5.7230769230769232</v>
      </c>
      <c r="M95" s="241">
        <v>6.5221753963475821</v>
      </c>
      <c r="N95" s="241">
        <v>5.8656036446469244</v>
      </c>
      <c r="O95" s="241">
        <v>5.6487372276845962</v>
      </c>
      <c r="P95" s="241">
        <v>5.871283402333459</v>
      </c>
      <c r="Q95" s="231" t="s">
        <v>30</v>
      </c>
      <c r="R95" s="241">
        <v>6.25</v>
      </c>
      <c r="S95" s="241">
        <f t="shared" ref="S95" si="19">S84/S$78*100</f>
        <v>6.3026819923371642</v>
      </c>
      <c r="T95" s="231" t="s">
        <v>30</v>
      </c>
      <c r="U95" s="241">
        <f t="shared" ref="U95" si="20">U84/U$78*100</f>
        <v>6.4702484113229346</v>
      </c>
      <c r="V95" s="248">
        <f t="shared" si="5"/>
        <v>8.6880466472303208</v>
      </c>
      <c r="W95" s="231" t="s">
        <v>30</v>
      </c>
      <c r="X95" s="248">
        <f t="shared" ref="X95" si="21">X84/X$78*100</f>
        <v>9.080303324907641</v>
      </c>
      <c r="Y95" s="248">
        <v>7.5438976804682421</v>
      </c>
      <c r="Z95" s="248">
        <v>9.7703639514731364</v>
      </c>
      <c r="AA95" s="248">
        <f>AA84/$AA$78*100</f>
        <v>10.167464114832537</v>
      </c>
      <c r="AB95" s="333" t="s">
        <v>30</v>
      </c>
      <c r="AC95" s="371">
        <f>AC84/$AC$78*100</f>
        <v>10.100548446069469</v>
      </c>
      <c r="AD95" s="338"/>
      <c r="AF95" s="102"/>
    </row>
    <row r="96" spans="1:32" ht="12.95" customHeight="1" x14ac:dyDescent="0.2">
      <c r="A96" s="62"/>
      <c r="B96" s="16"/>
      <c r="C96" s="26" t="str">
        <f>VLOOKUP(68,Textbausteine_201[],Hilfsgrössen!$D$2,FALSE)</f>
        <v>davon für: Stärkung der Pensionskasse Post</v>
      </c>
      <c r="D96" s="1" t="str">
        <f>VLOOKUP(12,Textbausteine_201[],Hilfsgrössen!$D$2,FALSE)</f>
        <v>%</v>
      </c>
      <c r="F96" s="9" t="s">
        <v>116</v>
      </c>
      <c r="H96" s="241">
        <v>7.3129962390305057</v>
      </c>
      <c r="I96" s="241">
        <v>7.4215436810856659</v>
      </c>
      <c r="J96" s="241">
        <v>4.4772967265047514</v>
      </c>
      <c r="K96" s="241">
        <v>5.0761421319796955</v>
      </c>
      <c r="L96" s="241">
        <v>5.1282051282051277</v>
      </c>
      <c r="M96" s="241">
        <v>5.017057997190447</v>
      </c>
      <c r="N96" s="241">
        <v>1.8982536066818527</v>
      </c>
      <c r="O96" s="241">
        <v>1.9278966647387701</v>
      </c>
      <c r="P96" s="241">
        <v>1.8818216033120061</v>
      </c>
      <c r="Q96" s="231" t="s">
        <v>30</v>
      </c>
      <c r="R96" s="241">
        <v>0</v>
      </c>
      <c r="S96" s="241">
        <f t="shared" ref="S96" si="22">S85/S$78*100</f>
        <v>0</v>
      </c>
      <c r="T96" s="231" t="s">
        <v>30</v>
      </c>
      <c r="U96" s="241">
        <f t="shared" ref="U96" si="23">U85/U$78*100</f>
        <v>0</v>
      </c>
      <c r="V96" s="248">
        <f t="shared" si="5"/>
        <v>0</v>
      </c>
      <c r="W96" s="231" t="s">
        <v>30</v>
      </c>
      <c r="X96" s="248">
        <f t="shared" ref="X96" si="24">X85/X$78*100</f>
        <v>0</v>
      </c>
      <c r="Y96" s="248">
        <v>0</v>
      </c>
      <c r="Z96" s="248">
        <v>0</v>
      </c>
      <c r="AA96" s="248">
        <f t="shared" ref="AA96:AA98" si="25">AA85/$AA$78*100</f>
        <v>0</v>
      </c>
      <c r="AB96" s="333" t="s">
        <v>30</v>
      </c>
      <c r="AC96" s="371">
        <f t="shared" ref="AC96:AC98" si="26">AC85/$AC$78*100</f>
        <v>0</v>
      </c>
      <c r="AD96" s="338"/>
      <c r="AF96" s="102"/>
    </row>
    <row r="97" spans="1:32" ht="12.95" customHeight="1" x14ac:dyDescent="0.2">
      <c r="A97" s="62"/>
      <c r="B97" s="16"/>
      <c r="C97" s="26" t="str">
        <f>VLOOKUP(69,Textbausteine_201[],Hilfsgrössen!$D$2,FALSE)</f>
        <v>davon für: Aufbau Eigenkapital</v>
      </c>
      <c r="D97" s="1" t="str">
        <f>VLOOKUP(12,Textbausteine_201[],Hilfsgrössen!$D$2,FALSE)</f>
        <v>%</v>
      </c>
      <c r="F97" s="9" t="s">
        <v>116</v>
      </c>
      <c r="H97" s="241">
        <v>10.029251984956122</v>
      </c>
      <c r="I97" s="241">
        <v>9.7752332485156916</v>
      </c>
      <c r="J97" s="241">
        <v>13.199577613516366</v>
      </c>
      <c r="K97" s="241">
        <v>7.2893401015228427</v>
      </c>
      <c r="L97" s="241">
        <v>7.6923076923076925</v>
      </c>
      <c r="M97" s="241">
        <v>5.2378085490668278</v>
      </c>
      <c r="N97" s="241">
        <v>11.579347000759302</v>
      </c>
      <c r="O97" s="241">
        <v>11.64449585502217</v>
      </c>
      <c r="P97" s="241">
        <v>8.8821979676326688</v>
      </c>
      <c r="Q97" s="231" t="s">
        <v>30</v>
      </c>
      <c r="R97" s="241">
        <v>8.3708708708708706</v>
      </c>
      <c r="S97" s="241">
        <f t="shared" ref="S97" si="27">S86/S$78*100</f>
        <v>10.574712643678161</v>
      </c>
      <c r="T97" s="231" t="s">
        <v>30</v>
      </c>
      <c r="U97" s="241">
        <f t="shared" ref="U97" si="28">U86/U$78*100</f>
        <v>11.746581937223185</v>
      </c>
      <c r="V97" s="248">
        <f t="shared" si="5"/>
        <v>7.6579203109815346</v>
      </c>
      <c r="W97" s="231" t="s">
        <v>30</v>
      </c>
      <c r="X97" s="248">
        <f t="shared" ref="X97" si="29">X86/X$78*100</f>
        <v>9.7997277853392966</v>
      </c>
      <c r="Y97" s="248">
        <v>7.3487968783871667</v>
      </c>
      <c r="Z97" s="248">
        <v>9.3000000000000007</v>
      </c>
      <c r="AA97" s="248">
        <f t="shared" si="25"/>
        <v>6.6746411483253594</v>
      </c>
      <c r="AB97" s="333" t="s">
        <v>30</v>
      </c>
      <c r="AC97" s="371">
        <f t="shared" si="26"/>
        <v>10.900365630712979</v>
      </c>
      <c r="AD97" s="338"/>
      <c r="AF97" s="102"/>
    </row>
    <row r="98" spans="1:32" ht="12.95" customHeight="1" x14ac:dyDescent="0.2">
      <c r="A98" s="62"/>
      <c r="B98" s="16"/>
      <c r="C98" s="26" t="str">
        <f>VLOOKUP(70,Textbausteine_201[],Hilfsgrössen!$D$2,FALSE)</f>
        <v>davon für: Übrige</v>
      </c>
      <c r="D98" s="1" t="str">
        <f>VLOOKUP(12,Textbausteine_201[],Hilfsgrössen!$D$2,FALSE)</f>
        <v>%</v>
      </c>
      <c r="E98" s="9">
        <v>6</v>
      </c>
      <c r="F98" s="9" t="s">
        <v>116</v>
      </c>
      <c r="H98" s="241">
        <v>-1.0238194734642709</v>
      </c>
      <c r="I98" s="241">
        <v>-1.3570822731128074</v>
      </c>
      <c r="J98" s="241">
        <v>-1.9007391763463568</v>
      </c>
      <c r="K98" s="241">
        <v>-3.0862944162436547</v>
      </c>
      <c r="L98" s="241">
        <v>-2.7487179487179487</v>
      </c>
      <c r="M98" s="241">
        <v>-2.1673690547862732</v>
      </c>
      <c r="N98" s="241">
        <v>-1.119969627942293</v>
      </c>
      <c r="O98" s="241">
        <v>-1.3109697320223637</v>
      </c>
      <c r="P98" s="241">
        <v>-0.88445615355664287</v>
      </c>
      <c r="Q98" s="231" t="s">
        <v>30</v>
      </c>
      <c r="R98" s="241">
        <v>0.95720720720720709</v>
      </c>
      <c r="S98" s="241">
        <f t="shared" ref="S98" si="30">S87/S$78*100</f>
        <v>-2.0114942528735633</v>
      </c>
      <c r="T98" s="231" t="s">
        <v>30</v>
      </c>
      <c r="U98" s="241">
        <f t="shared" ref="U98" si="31">U87/U$78*100</f>
        <v>-3.6587714230695165</v>
      </c>
      <c r="V98" s="248">
        <f t="shared" si="5"/>
        <v>-2.1768707482993195</v>
      </c>
      <c r="W98" s="231" t="s">
        <v>30</v>
      </c>
      <c r="X98" s="248">
        <f t="shared" ref="X98" si="32">X87/X$78*100</f>
        <v>-2.4888197550068054</v>
      </c>
      <c r="Y98" s="248">
        <v>-3.5985259050509431</v>
      </c>
      <c r="Z98" s="248">
        <v>-4</v>
      </c>
      <c r="AA98" s="248">
        <f t="shared" si="25"/>
        <v>-4.3301435406698561</v>
      </c>
      <c r="AB98" s="333" t="s">
        <v>30</v>
      </c>
      <c r="AC98" s="371">
        <f t="shared" si="26"/>
        <v>-3.1992687385740401</v>
      </c>
      <c r="AD98" s="338"/>
      <c r="AF98" s="102"/>
    </row>
    <row r="99" spans="1:32" ht="12.95" customHeight="1" x14ac:dyDescent="0.2">
      <c r="AF99" s="102"/>
    </row>
    <row r="100" spans="1:32" ht="12.95" customHeight="1" x14ac:dyDescent="0.2">
      <c r="B100" s="19" t="str">
        <f>VLOOKUP(151,Textbausteine_201[],Hilfsgrössen!$D$2,FALSE)</f>
        <v>1) Wertschöpfung = Betriebsergebnis + Personalaufwand + Abschreibungen – Ergebnis aus Verkauf von Sachanlagen, immatriellen Anlagen und Beteiligungen</v>
      </c>
      <c r="C100" s="23"/>
      <c r="D100" s="16"/>
      <c r="E100" s="11"/>
      <c r="K100" s="9"/>
      <c r="L100" s="9"/>
      <c r="M100" s="9"/>
      <c r="N100" s="9"/>
      <c r="O100" s="11"/>
      <c r="P100" s="11"/>
      <c r="Q100" s="11"/>
      <c r="R100" s="11"/>
      <c r="S100" s="16"/>
      <c r="T100" s="16"/>
      <c r="U100" s="16"/>
      <c r="V100" s="9"/>
      <c r="W100" s="9"/>
      <c r="AD100" s="338"/>
    </row>
    <row r="101" spans="1:32" ht="12.95" customHeight="1" x14ac:dyDescent="0.2">
      <c r="B101" s="19" t="str">
        <f>VLOOKUP(152,Textbausteine_201[],Hilfsgrössen!$D$2,FALSE)</f>
        <v>2) Löhne, Gehälter, gesetzliche und freiwillige Sozialabgabe, Personalvorsorgeleistungen, Aus- und Weiterbildung</v>
      </c>
      <c r="C101" s="23"/>
      <c r="D101" s="16"/>
      <c r="E101" s="11"/>
      <c r="K101" s="9"/>
      <c r="L101" s="9"/>
      <c r="M101" s="9"/>
      <c r="N101" s="9"/>
      <c r="O101" s="11"/>
      <c r="P101" s="11"/>
      <c r="Q101" s="11"/>
      <c r="R101" s="11"/>
      <c r="S101" s="16"/>
      <c r="T101" s="16"/>
      <c r="U101" s="16"/>
      <c r="V101" s="9"/>
      <c r="W101" s="9"/>
      <c r="AD101" s="338"/>
    </row>
    <row r="102" spans="1:32" ht="12.95" customHeight="1" x14ac:dyDescent="0.2">
      <c r="B102" s="19" t="str">
        <f>VLOOKUP(153,Textbausteine_201[],Hilfsgrössen!$D$2,FALSE)</f>
        <v>3) Zinsen und ähnliche Aufwendungen</v>
      </c>
      <c r="C102" s="23"/>
      <c r="D102" s="16"/>
      <c r="E102" s="11"/>
      <c r="K102" s="9"/>
      <c r="L102" s="9"/>
      <c r="M102" s="9"/>
      <c r="N102" s="9"/>
      <c r="O102" s="11"/>
      <c r="P102" s="11"/>
      <c r="Q102" s="11"/>
      <c r="R102" s="11"/>
      <c r="S102" s="16"/>
      <c r="T102" s="16"/>
      <c r="U102" s="16"/>
      <c r="V102" s="9"/>
      <c r="W102" s="9"/>
      <c r="AD102" s="338"/>
    </row>
    <row r="103" spans="1:32" ht="12.95" customHeight="1" x14ac:dyDescent="0.2">
      <c r="B103" s="19" t="str">
        <f>VLOOKUP(154,Textbausteine_201[],Hilfsgrössen!$D$2,FALSE)</f>
        <v>4) Ertragssteuern</v>
      </c>
      <c r="C103" s="23"/>
      <c r="D103" s="16"/>
      <c r="E103" s="11"/>
      <c r="K103" s="9"/>
      <c r="L103" s="9"/>
      <c r="M103" s="9"/>
      <c r="N103" s="9"/>
      <c r="O103" s="11"/>
      <c r="P103" s="11"/>
      <c r="Q103" s="11"/>
      <c r="R103" s="11"/>
      <c r="S103" s="16"/>
      <c r="T103" s="16"/>
      <c r="U103" s="16"/>
      <c r="V103" s="9"/>
      <c r="W103" s="9"/>
      <c r="AD103" s="338"/>
    </row>
    <row r="104" spans="1:32" ht="12.95" customHeight="1" x14ac:dyDescent="0.2">
      <c r="B104" s="19" t="str">
        <f>VLOOKUP(155,Textbausteine_201[],Hilfsgrössen!$D$2,FALSE)</f>
        <v>5) Gewinnabführung an den Bund</v>
      </c>
      <c r="C104" s="23"/>
      <c r="D104" s="16"/>
      <c r="E104" s="11"/>
      <c r="K104" s="9"/>
      <c r="L104" s="9"/>
      <c r="M104" s="9"/>
      <c r="N104" s="9"/>
      <c r="O104" s="11"/>
      <c r="P104" s="11"/>
      <c r="Q104" s="11"/>
      <c r="R104" s="11"/>
      <c r="S104" s="16"/>
      <c r="T104" s="16"/>
      <c r="U104" s="16"/>
      <c r="V104" s="9"/>
      <c r="W104" s="9"/>
      <c r="AD104" s="338"/>
    </row>
    <row r="105" spans="1:32" ht="12.95" customHeight="1" x14ac:dyDescent="0.2">
      <c r="B105" s="19" t="str">
        <f>VLOOKUP(156,Textbausteine_201[],Hilfsgrössen!$D$2,FALSE)</f>
        <v>6) Die Position «Übrige» beinhaltet den Gewinn aus Verkauf von Sachanlagen, den Ertrag aus assozierten Gesellschaften, den Finanzertrag und die latenten Steuern.</v>
      </c>
      <c r="C105" s="23"/>
      <c r="D105" s="16"/>
      <c r="E105" s="11"/>
      <c r="K105" s="9"/>
      <c r="L105" s="9"/>
      <c r="M105" s="9"/>
      <c r="N105" s="9"/>
      <c r="O105" s="11"/>
      <c r="P105" s="11"/>
      <c r="Q105" s="11"/>
      <c r="R105" s="11"/>
      <c r="S105" s="16"/>
      <c r="T105" s="16"/>
      <c r="U105" s="16"/>
      <c r="V105" s="9"/>
      <c r="W105" s="9"/>
      <c r="AD105" s="338"/>
    </row>
    <row r="106" spans="1:32" ht="12.95" customHeight="1" x14ac:dyDescent="0.2">
      <c r="B106" s="19" t="str">
        <f>VLOOKUP(157,Textbausteine_201[],Hilfsgrössen!$D$2,FALSE)</f>
        <v>7) Beantragte Gewinnverwendung der Post (siehe auch Geschäftsbericht Jahresabschluss Die Schweizerische Post AG)</v>
      </c>
      <c r="C106" s="23"/>
      <c r="D106" s="16"/>
      <c r="E106" s="11"/>
      <c r="K106" s="9"/>
      <c r="L106" s="9"/>
      <c r="M106" s="9"/>
      <c r="N106" s="9"/>
      <c r="O106" s="11"/>
      <c r="P106" s="11"/>
      <c r="Q106" s="11"/>
      <c r="R106" s="11"/>
      <c r="S106" s="16"/>
      <c r="T106" s="16"/>
      <c r="U106" s="16"/>
      <c r="V106" s="9"/>
      <c r="W106" s="9"/>
      <c r="AD106" s="338"/>
    </row>
    <row r="107" spans="1:32" ht="12.95" customHeight="1" x14ac:dyDescent="0.2">
      <c r="B107" s="19" t="str">
        <f>VLOOKUP(158,Textbausteine_201[],Hilfsgrössen!$D$2,FALSE)</f>
        <v>8) normaliserte Werte 2021, 2017, 2015 und 2013</v>
      </c>
      <c r="AD107" s="338"/>
    </row>
    <row r="108" spans="1:32" ht="12.95" customHeight="1" x14ac:dyDescent="0.2">
      <c r="B108" s="19" t="str">
        <f>VLOOKUP(159,Textbausteine_201[],Hilfsgrössen!$D$2,FALSE)</f>
        <v>9) Vorjahreswerte teilweise angepasst.</v>
      </c>
      <c r="AD108" s="338"/>
    </row>
    <row r="109" spans="1:32" ht="12.95" customHeight="1" x14ac:dyDescent="0.2">
      <c r="B109" s="19"/>
    </row>
    <row r="111" spans="1:32" s="6" customFormat="1" ht="12.95" customHeight="1" x14ac:dyDescent="0.2">
      <c r="A111" s="56" t="s">
        <v>27</v>
      </c>
      <c r="B111" s="405" t="str">
        <f>$C$9</f>
        <v>Pensionskasse</v>
      </c>
      <c r="C111" s="405"/>
      <c r="D111" s="6" t="str">
        <f>VLOOKUP(32,Textbausteine_Menu[],Hilfsgrössen!$D$2,FALSE)</f>
        <v>Einheit</v>
      </c>
      <c r="E111" s="28" t="str">
        <f>VLOOKUP(33,Textbausteine_Menu[],Hilfsgrössen!$D$2,FALSE)</f>
        <v>Fussnoten</v>
      </c>
      <c r="F111" s="28" t="str">
        <f>VLOOKUP(34,Textbausteine_Menu[],Hilfsgrössen!$D$2,FALSE)</f>
        <v>GRI</v>
      </c>
      <c r="G111" s="33"/>
      <c r="H111" s="7">
        <v>2004</v>
      </c>
      <c r="I111" s="7">
        <v>2005</v>
      </c>
      <c r="J111" s="7">
        <v>2006</v>
      </c>
      <c r="K111" s="7">
        <v>2007</v>
      </c>
      <c r="L111" s="7">
        <v>2008</v>
      </c>
      <c r="M111" s="7">
        <v>2009</v>
      </c>
      <c r="N111" s="7">
        <v>2010</v>
      </c>
      <c r="O111" s="7">
        <v>2011</v>
      </c>
      <c r="P111" s="7">
        <v>2012</v>
      </c>
      <c r="Q111" s="7">
        <v>2013</v>
      </c>
      <c r="R111" s="7" t="s">
        <v>111</v>
      </c>
      <c r="S111" s="2">
        <v>2014</v>
      </c>
      <c r="T111" s="2">
        <v>2015</v>
      </c>
      <c r="U111" s="7" t="s">
        <v>112</v>
      </c>
      <c r="V111" s="7">
        <v>2016</v>
      </c>
      <c r="W111" s="7">
        <v>2017</v>
      </c>
      <c r="X111" s="28" t="s">
        <v>130</v>
      </c>
      <c r="Y111" s="28">
        <v>2018</v>
      </c>
      <c r="Z111" s="28">
        <v>2019</v>
      </c>
      <c r="AA111" s="28">
        <v>2020</v>
      </c>
      <c r="AB111" s="196">
        <v>2021</v>
      </c>
      <c r="AC111" s="149" t="s">
        <v>115</v>
      </c>
    </row>
    <row r="112" spans="1:32" s="6" customFormat="1" ht="12.95" customHeight="1" x14ac:dyDescent="0.2">
      <c r="A112" s="61"/>
      <c r="B112" s="405"/>
      <c r="C112" s="405"/>
      <c r="E112" s="28"/>
      <c r="F112" s="28"/>
      <c r="G112" s="33"/>
      <c r="H112" s="7"/>
      <c r="I112" s="7"/>
      <c r="J112" s="7"/>
      <c r="K112" s="7"/>
      <c r="L112" s="7"/>
      <c r="M112" s="7"/>
      <c r="N112" s="7"/>
      <c r="O112" s="7"/>
      <c r="P112" s="7"/>
      <c r="Q112" s="7"/>
      <c r="R112" s="7"/>
      <c r="S112" s="7"/>
      <c r="T112" s="2"/>
      <c r="U112" s="2"/>
      <c r="V112" s="11"/>
      <c r="W112" s="11"/>
      <c r="AB112" s="204"/>
      <c r="AC112" s="204"/>
    </row>
    <row r="113" spans="1:30" ht="12.95" customHeight="1" x14ac:dyDescent="0.2">
      <c r="A113" s="44"/>
      <c r="C113" s="21"/>
      <c r="D113" s="16"/>
      <c r="E113" s="11"/>
      <c r="H113" s="11"/>
      <c r="I113" s="11"/>
      <c r="J113" s="11"/>
      <c r="K113" s="11"/>
      <c r="L113" s="11"/>
      <c r="M113" s="11"/>
      <c r="N113" s="11"/>
      <c r="O113" s="11"/>
      <c r="P113" s="9"/>
      <c r="Q113" s="9"/>
      <c r="R113" s="9"/>
      <c r="S113" s="9"/>
      <c r="T113" s="9"/>
      <c r="U113" s="9"/>
      <c r="V113" s="75"/>
      <c r="W113" s="75"/>
      <c r="AB113" s="205"/>
      <c r="AC113" s="205"/>
    </row>
    <row r="114" spans="1:30" s="6" customFormat="1" ht="12.95" customHeight="1" x14ac:dyDescent="0.2">
      <c r="A114" s="62"/>
      <c r="B114" s="2" t="str">
        <f>VLOOKUP(37,Textbausteine_Menu[],Hilfsgrössen!$D$2,FALSE)</f>
        <v>Konzern Schweiz</v>
      </c>
      <c r="E114" s="28"/>
      <c r="F114" s="28"/>
      <c r="G114" s="33"/>
      <c r="V114" s="75"/>
      <c r="W114" s="75"/>
      <c r="AB114" s="204"/>
      <c r="AC114" s="204"/>
    </row>
    <row r="115" spans="1:30" ht="12.95" customHeight="1" x14ac:dyDescent="0.2">
      <c r="C115" s="22" t="str">
        <f>VLOOKUP(51,Textbausteine_201[],Hilfsgrössen!$D$2,FALSE)</f>
        <v>Unterdeckung bilanzierter Vorsorgeverpflichtungen nach IFRS</v>
      </c>
      <c r="D115" s="16" t="str">
        <f>VLOOKUP(11,Textbausteine_201[],Hilfsgrössen!$D$2,FALSE)</f>
        <v>Mio. CHF</v>
      </c>
      <c r="E115" s="11">
        <v>1</v>
      </c>
      <c r="F115" s="9" t="s">
        <v>131</v>
      </c>
      <c r="H115" s="264">
        <v>3153</v>
      </c>
      <c r="I115" s="264">
        <v>2876</v>
      </c>
      <c r="J115" s="264">
        <v>2021</v>
      </c>
      <c r="K115" s="264">
        <v>1642</v>
      </c>
      <c r="L115" s="265">
        <v>3541</v>
      </c>
      <c r="M115" s="265">
        <v>2221</v>
      </c>
      <c r="N115" s="265">
        <v>2555</v>
      </c>
      <c r="O115" s="265">
        <v>2980</v>
      </c>
      <c r="P115" s="214">
        <v>2991</v>
      </c>
      <c r="Q115" s="214">
        <v>2042</v>
      </c>
      <c r="R115" s="246" t="s">
        <v>30</v>
      </c>
      <c r="S115" s="214">
        <v>3489</v>
      </c>
      <c r="T115" s="214">
        <v>4847</v>
      </c>
      <c r="U115" s="246" t="s">
        <v>30</v>
      </c>
      <c r="V115" s="12">
        <v>5080</v>
      </c>
      <c r="W115" s="12">
        <v>2626</v>
      </c>
      <c r="X115" s="246" t="s">
        <v>30</v>
      </c>
      <c r="Y115" s="246">
        <v>2611</v>
      </c>
      <c r="Z115" s="246">
        <v>2824</v>
      </c>
      <c r="AA115" s="246">
        <v>2971</v>
      </c>
      <c r="AB115" s="266">
        <v>929</v>
      </c>
      <c r="AC115" s="266" t="s">
        <v>30</v>
      </c>
      <c r="AD115" s="338"/>
    </row>
    <row r="116" spans="1:30" ht="12.95" customHeight="1" x14ac:dyDescent="0.2">
      <c r="C116" s="22" t="str">
        <f>VLOOKUP(52,Textbausteine_201[],Hilfsgrössen!$D$2,FALSE)</f>
        <v>Deckungsgrad Pensionskasse Post nach BVG</v>
      </c>
      <c r="D116" s="1" t="str">
        <f>VLOOKUP(12,Textbausteine_201[],Hilfsgrössen!$D$2,FALSE)</f>
        <v>%</v>
      </c>
      <c r="E116" s="11" t="s">
        <v>132</v>
      </c>
      <c r="F116" s="9" t="s">
        <v>131</v>
      </c>
      <c r="H116" s="262">
        <v>94.5</v>
      </c>
      <c r="I116" s="262">
        <v>101.1</v>
      </c>
      <c r="J116" s="262">
        <v>103.9</v>
      </c>
      <c r="K116" s="262">
        <v>102.1</v>
      </c>
      <c r="L116" s="263">
        <v>88.1</v>
      </c>
      <c r="M116" s="263">
        <v>95.7</v>
      </c>
      <c r="N116" s="263">
        <v>98.9</v>
      </c>
      <c r="O116" s="263">
        <v>96.7</v>
      </c>
      <c r="P116" s="243">
        <v>98.8</v>
      </c>
      <c r="Q116" s="243">
        <v>101.4</v>
      </c>
      <c r="R116" s="226" t="s">
        <v>30</v>
      </c>
      <c r="S116" s="243">
        <v>101.4</v>
      </c>
      <c r="T116" s="243">
        <v>99.4</v>
      </c>
      <c r="U116" s="226" t="s">
        <v>30</v>
      </c>
      <c r="V116" s="198">
        <v>102.2</v>
      </c>
      <c r="W116" s="243">
        <v>106.3</v>
      </c>
      <c r="X116" s="226" t="s">
        <v>30</v>
      </c>
      <c r="Y116" s="226">
        <v>101.9</v>
      </c>
      <c r="Z116" s="226">
        <v>108</v>
      </c>
      <c r="AA116" s="102">
        <v>105.3</v>
      </c>
      <c r="AB116" s="206">
        <v>109.6</v>
      </c>
      <c r="AC116" s="348" t="s">
        <v>30</v>
      </c>
      <c r="AD116" s="338"/>
    </row>
    <row r="117" spans="1:30" ht="12.95" customHeight="1" x14ac:dyDescent="0.2">
      <c r="C117" s="22"/>
      <c r="D117" s="16"/>
      <c r="E117" s="11"/>
      <c r="M117" s="9"/>
      <c r="R117" s="11"/>
      <c r="S117" s="16"/>
      <c r="T117" s="9"/>
      <c r="U117" s="9"/>
      <c r="V117" s="9"/>
      <c r="W117" s="9"/>
      <c r="AC117" s="16"/>
    </row>
    <row r="118" spans="1:30" ht="12.95" customHeight="1" x14ac:dyDescent="0.2">
      <c r="B118" s="19" t="str">
        <f>VLOOKUP(141,Textbausteine_201[],Hilfsgrössen!$D$2,FALSE)</f>
        <v>1) Deckung gemäss IFRS (siehe Finanzbericht)</v>
      </c>
      <c r="C118" s="23"/>
      <c r="D118" s="16"/>
      <c r="E118" s="11"/>
      <c r="K118" s="9"/>
      <c r="L118" s="9"/>
      <c r="M118" s="9"/>
      <c r="N118" s="9"/>
      <c r="O118" s="11"/>
      <c r="P118" s="11"/>
      <c r="Q118" s="11"/>
      <c r="R118" s="11"/>
      <c r="S118" s="16"/>
      <c r="T118" s="16"/>
      <c r="U118" s="16"/>
      <c r="V118" s="9"/>
      <c r="W118" s="9"/>
      <c r="AD118" s="338"/>
    </row>
    <row r="119" spans="1:30" s="18" customFormat="1" ht="12.95" customHeight="1" x14ac:dyDescent="0.25">
      <c r="A119" s="61"/>
      <c r="B119" s="19" t="str">
        <f>VLOOKUP(142,Textbausteine_201[],Hilfsgrössen!$D$2,FALSE)</f>
        <v>2) Deckungsgrad gemäss. Art. 44 der Verordnung über die berufliche Alters-, Hinterlassenen- und Invalidenvorsorge (BVV2)</v>
      </c>
      <c r="D119" s="19"/>
      <c r="E119" s="31"/>
      <c r="F119" s="31"/>
      <c r="G119" s="37"/>
      <c r="H119" s="19"/>
      <c r="I119" s="19"/>
      <c r="J119" s="19"/>
      <c r="K119" s="19"/>
      <c r="L119" s="19"/>
      <c r="M119" s="19"/>
      <c r="N119" s="19"/>
      <c r="O119" s="19"/>
      <c r="P119" s="19"/>
      <c r="Q119" s="19"/>
      <c r="R119" s="19"/>
      <c r="S119" s="19"/>
      <c r="T119" s="19"/>
      <c r="U119" s="19"/>
      <c r="V119" s="9"/>
      <c r="W119" s="9"/>
      <c r="AD119" s="338"/>
    </row>
    <row r="120" spans="1:30" s="18" customFormat="1" ht="12.95" customHeight="1" x14ac:dyDescent="0.25">
      <c r="A120" s="61"/>
      <c r="B120" s="19" t="str">
        <f>VLOOKUP(143,Textbausteine_201[],Hilfsgrössen!$D$2,FALSE)</f>
        <v>3) 2021 Deckungsgrad ungeprüft</v>
      </c>
      <c r="D120" s="19"/>
      <c r="E120" s="31"/>
      <c r="F120" s="31"/>
      <c r="G120" s="37"/>
      <c r="H120" s="19"/>
      <c r="I120" s="19"/>
      <c r="J120" s="19"/>
      <c r="K120" s="19"/>
      <c r="L120" s="19"/>
      <c r="M120" s="19"/>
      <c r="N120" s="19"/>
      <c r="O120" s="19"/>
      <c r="P120" s="19"/>
      <c r="Q120" s="19"/>
      <c r="R120" s="19"/>
      <c r="S120" s="19"/>
      <c r="T120" s="19"/>
      <c r="U120" s="19"/>
      <c r="V120" s="9"/>
      <c r="W120" s="9"/>
      <c r="AD120" s="338"/>
    </row>
    <row r="121" spans="1:30" s="18" customFormat="1" ht="12.95" customHeight="1" x14ac:dyDescent="0.25">
      <c r="A121" s="61"/>
      <c r="D121" s="19"/>
      <c r="E121" s="31"/>
      <c r="F121" s="31"/>
      <c r="G121" s="37"/>
      <c r="H121" s="19"/>
      <c r="I121" s="19"/>
      <c r="J121" s="19"/>
      <c r="K121" s="19"/>
      <c r="L121" s="19"/>
      <c r="M121" s="19"/>
      <c r="N121" s="19"/>
      <c r="O121" s="19"/>
      <c r="P121" s="19"/>
      <c r="Q121" s="19"/>
      <c r="R121" s="19"/>
      <c r="S121" s="19"/>
      <c r="T121" s="19"/>
      <c r="U121" s="19"/>
      <c r="V121" s="9"/>
      <c r="W121" s="9"/>
    </row>
    <row r="122" spans="1:30" ht="12.95" customHeight="1" x14ac:dyDescent="0.2">
      <c r="V122" s="9"/>
      <c r="W122" s="9"/>
    </row>
    <row r="123" spans="1:30" ht="12.95" customHeight="1" x14ac:dyDescent="0.2">
      <c r="V123" s="9"/>
      <c r="W123" s="9"/>
    </row>
    <row r="124" spans="1:30" ht="12.95" customHeight="1" x14ac:dyDescent="0.2">
      <c r="A124" s="44"/>
      <c r="V124" s="75"/>
      <c r="W124" s="75"/>
    </row>
    <row r="125" spans="1:30" ht="12.95" customHeight="1" x14ac:dyDescent="0.2">
      <c r="A125" s="62"/>
      <c r="V125" s="75"/>
      <c r="W125" s="75"/>
    </row>
    <row r="129" spans="22:23" ht="12.95" customHeight="1" x14ac:dyDescent="0.2">
      <c r="V129" s="9"/>
      <c r="W129" s="9"/>
    </row>
    <row r="130" spans="22:23" ht="12.95" customHeight="1" x14ac:dyDescent="0.2">
      <c r="V130" s="9"/>
      <c r="W130" s="9"/>
    </row>
    <row r="131" spans="22:23" ht="12.95" customHeight="1" x14ac:dyDescent="0.2">
      <c r="V131" s="9"/>
      <c r="W131" s="9"/>
    </row>
    <row r="132" spans="22:23" ht="12.95" customHeight="1" x14ac:dyDescent="0.2">
      <c r="V132" s="9"/>
      <c r="W132" s="9"/>
    </row>
    <row r="133" spans="22:23" ht="12.95" customHeight="1" x14ac:dyDescent="0.2">
      <c r="V133" s="9"/>
      <c r="W133" s="9"/>
    </row>
    <row r="134" spans="22:23" ht="12.95" customHeight="1" x14ac:dyDescent="0.2">
      <c r="V134" s="9"/>
      <c r="W134" s="9"/>
    </row>
    <row r="135" spans="22:23" ht="12.95" customHeight="1" x14ac:dyDescent="0.2">
      <c r="V135" s="9"/>
      <c r="W135" s="9"/>
    </row>
    <row r="136" spans="22:23" ht="12.95" customHeight="1" x14ac:dyDescent="0.2">
      <c r="V136" s="9"/>
      <c r="W136" s="9"/>
    </row>
    <row r="137" spans="22:23" ht="12.95" customHeight="1" x14ac:dyDescent="0.2">
      <c r="V137" s="9"/>
      <c r="W137" s="9"/>
    </row>
    <row r="138" spans="22:23" ht="12.95" customHeight="1" x14ac:dyDescent="0.2">
      <c r="V138" s="9"/>
      <c r="W138" s="9"/>
    </row>
    <row r="139" spans="22:23" ht="12.95" customHeight="1" x14ac:dyDescent="0.2">
      <c r="V139" s="9"/>
      <c r="W139" s="9"/>
    </row>
    <row r="140" spans="22:23" ht="12.95" customHeight="1" x14ac:dyDescent="0.2">
      <c r="V140" s="9"/>
      <c r="W140" s="9"/>
    </row>
    <row r="141" spans="22:23" ht="12.95" customHeight="1" x14ac:dyDescent="0.2">
      <c r="V141" s="9"/>
      <c r="W141" s="9"/>
    </row>
    <row r="142" spans="22:23" ht="12.95" customHeight="1" x14ac:dyDescent="0.2">
      <c r="V142" s="9"/>
      <c r="W142" s="9"/>
    </row>
    <row r="143" spans="22:23" ht="12.95" customHeight="1" x14ac:dyDescent="0.2">
      <c r="V143" s="9"/>
      <c r="W143" s="9"/>
    </row>
    <row r="144" spans="22:23" ht="12.95" customHeight="1" x14ac:dyDescent="0.2">
      <c r="V144" s="9"/>
      <c r="W144" s="9"/>
    </row>
    <row r="145" spans="1:23" ht="12.95" customHeight="1" x14ac:dyDescent="0.2">
      <c r="V145" s="9"/>
      <c r="W145" s="9"/>
    </row>
    <row r="146" spans="1:23" ht="12.95" customHeight="1" x14ac:dyDescent="0.2">
      <c r="V146" s="9"/>
      <c r="W146" s="9"/>
    </row>
    <row r="153" spans="1:23" ht="12.95" customHeight="1" x14ac:dyDescent="0.2">
      <c r="A153" s="44"/>
      <c r="V153" s="75"/>
      <c r="W153" s="75"/>
    </row>
    <row r="154" spans="1:23" ht="12.95" customHeight="1" x14ac:dyDescent="0.2">
      <c r="A154" s="62"/>
      <c r="V154" s="75"/>
      <c r="W154" s="75"/>
    </row>
    <row r="158" spans="1:23" ht="12.95" customHeight="1" x14ac:dyDescent="0.2">
      <c r="V158" s="88"/>
      <c r="W158" s="88"/>
    </row>
    <row r="159" spans="1:23" ht="12.95" customHeight="1" x14ac:dyDescent="0.2">
      <c r="V159" s="88"/>
      <c r="W159" s="88"/>
    </row>
    <row r="160" spans="1:23" ht="12.95" customHeight="1" x14ac:dyDescent="0.2">
      <c r="V160" s="88"/>
      <c r="W160" s="88"/>
    </row>
    <row r="161" spans="22:23" ht="12.95" customHeight="1" x14ac:dyDescent="0.2">
      <c r="V161" s="88"/>
      <c r="W161" s="88"/>
    </row>
    <row r="162" spans="22:23" ht="12.95" customHeight="1" x14ac:dyDescent="0.2">
      <c r="V162" s="88"/>
      <c r="W162" s="88"/>
    </row>
    <row r="163" spans="22:23" ht="12.95" customHeight="1" x14ac:dyDescent="0.2">
      <c r="V163" s="88"/>
      <c r="W163" s="88"/>
    </row>
    <row r="164" spans="22:23" ht="12.95" customHeight="1" x14ac:dyDescent="0.2">
      <c r="V164" s="88"/>
      <c r="W164" s="88"/>
    </row>
    <row r="165" spans="22:23" ht="12.95" customHeight="1" x14ac:dyDescent="0.2">
      <c r="V165" s="88"/>
      <c r="W165" s="88"/>
    </row>
  </sheetData>
  <sheetProtection algorithmName="SHA-512" hashValue="pLHFpxIfNwGxOZ6mAoJBNPL0/aBdz1sWVG9lPUeLrzWJ/1JAOZuAscRb1YGU0QROEKfZrL+2KFHuaU0S+1udHQ==" saltValue="C3mnKdZa78P/CyzVFWPHrw==" spinCount="100000" sheet="1" objects="1" scenarios="1"/>
  <mergeCells count="6">
    <mergeCell ref="D2:E2"/>
    <mergeCell ref="B3:C3"/>
    <mergeCell ref="B2:C2"/>
    <mergeCell ref="B12:C13"/>
    <mergeCell ref="B111:C112"/>
    <mergeCell ref="B74:C75"/>
  </mergeCells>
  <dataValidations disablePrompts="1" count="2">
    <dataValidation type="list" allowBlank="1" showInputMessage="1" showErrorMessage="1" sqref="G2" xr:uid="{00000000-0002-0000-0200-000000000000}">
      <formula1>Sprache</formula1>
    </dataValidation>
    <dataValidation allowBlank="1" showInputMessage="1" showErrorMessage="1" sqref="F2" xr:uid="{DB2F5503-5D17-449D-AD02-5E70AEB44789}"/>
  </dataValidations>
  <hyperlinks>
    <hyperlink ref="C7" location="GRI_201_1a" display="GRI_201_1a" xr:uid="{00000000-0004-0000-0200-000000000000}"/>
    <hyperlink ref="C9" location="GRI_201_3" display="201-3 – Defined benefit plan obligations and other retirement plans" xr:uid="{00000000-0004-0000-0200-000001000000}"/>
    <hyperlink ref="A12" location="GRI_201" display="Ó" xr:uid="{00000000-0004-0000-0200-000002000000}"/>
    <hyperlink ref="A111" location="GRI_201" display="Ó" xr:uid="{00000000-0004-0000-0200-000003000000}"/>
    <hyperlink ref="A74" location="GRI_201" display="Ó" xr:uid="{00000000-0004-0000-0200-000004000000}"/>
    <hyperlink ref="C8" location="GRI_201_1b" display="GRI_201_1b" xr:uid="{00000000-0004-0000-0200-000005000000}"/>
    <hyperlink ref="D2" location="Home" display="Home" xr:uid="{00000000-0004-0000-0200-000006000000}"/>
  </hyperlinks>
  <pageMargins left="0.7" right="0.7" top="0.78740157499999996" bottom="0.78740157499999996" header="0.3" footer="0.3"/>
  <pageSetup paperSize="9" orientation="portrait" r:id="rId1"/>
  <ignoredErrors>
    <ignoredError sqref="C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rgb="FF523178"/>
  </sheetPr>
  <dimension ref="A2:Z127"/>
  <sheetViews>
    <sheetView showGridLines="0" showRowColHeaders="0" zoomScaleNormal="100" workbookViewId="0">
      <pane xSplit="7" topLeftCell="H1" activePane="topRight" state="frozen"/>
      <selection activeCell="B3" sqref="B3:C3"/>
      <selection pane="topRight" activeCell="B2" sqref="B2:C2"/>
    </sheetView>
  </sheetViews>
  <sheetFormatPr baseColWidth="10" defaultColWidth="10.85546875" defaultRowHeight="12.95" customHeight="1" x14ac:dyDescent="0.2"/>
  <cols>
    <col min="1" max="1" width="2.42578125" style="66" customWidth="1"/>
    <col min="2" max="2" width="2.42578125" style="1" customWidth="1"/>
    <col min="3" max="3" width="55.140625" style="1" customWidth="1"/>
    <col min="4" max="4" width="23.5703125" style="1" customWidth="1"/>
    <col min="5" max="5" width="9.42578125" style="9" customWidth="1"/>
    <col min="6" max="6" width="14.140625" style="9" customWidth="1"/>
    <col min="7" max="7" width="2.28515625" style="34" customWidth="1"/>
    <col min="8" max="19" width="11.7109375" style="1" customWidth="1"/>
    <col min="20" max="25" width="11.7109375" style="11" customWidth="1"/>
    <col min="26" max="83" width="11.7109375" style="1" customWidth="1"/>
    <col min="84" max="16384" width="10.85546875" style="1"/>
  </cols>
  <sheetData>
    <row r="2" spans="1:26" s="97" customFormat="1" ht="26.1" customHeight="1" x14ac:dyDescent="0.2">
      <c r="A2" s="63"/>
      <c r="B2" s="406" t="str">
        <f>UPPER(RIGHT(Inhaltsverzeichnis!$C$13,LEN(Inhaltsverzeichnis!$C$13)-FIND(" – ",Inhaltsverzeichnis!$C$13,1)-2))</f>
        <v>MARKTPRÄSENZ</v>
      </c>
      <c r="C2" s="406"/>
      <c r="D2" s="402" t="str">
        <f>VLOOKUP(35,Textbausteine_Menu[],Hilfsgrössen!$D$2,FALSE)</f>
        <v>zurück zum Inhaltsverzeichnis</v>
      </c>
      <c r="E2" s="403"/>
      <c r="F2" s="91" t="s">
        <v>0</v>
      </c>
      <c r="G2" s="104"/>
      <c r="T2" s="71"/>
      <c r="U2" s="71"/>
      <c r="V2" s="71"/>
      <c r="W2" s="71"/>
      <c r="X2" s="71"/>
      <c r="Y2" s="71"/>
    </row>
    <row r="3" spans="1:26" s="98" customFormat="1" ht="26.1" customHeight="1" x14ac:dyDescent="0.2">
      <c r="A3" s="64"/>
      <c r="B3" s="407" t="str">
        <f>UPPER("GRI "&amp;LEFT(Inhaltsverzeichnis!$C$13,3))</f>
        <v>GRI 202</v>
      </c>
      <c r="C3" s="407"/>
      <c r="E3" s="27"/>
      <c r="F3" s="27"/>
      <c r="G3" s="32"/>
      <c r="T3" s="71"/>
      <c r="U3" s="71"/>
      <c r="V3" s="71"/>
      <c r="W3" s="71"/>
      <c r="X3" s="71"/>
      <c r="Y3" s="71"/>
    </row>
    <row r="6" spans="1:26" s="6" customFormat="1" ht="12.95" customHeight="1" x14ac:dyDescent="0.2">
      <c r="A6" s="65"/>
      <c r="B6" s="6" t="str">
        <f>VLOOKUP(31,Textbausteine_Menu[],Hilfsgrössen!$D$2,FALSE)</f>
        <v>Offenlegungen</v>
      </c>
      <c r="E6" s="28"/>
      <c r="F6" s="28"/>
      <c r="G6" s="33"/>
      <c r="T6" s="11"/>
      <c r="U6" s="11"/>
      <c r="V6" s="11"/>
      <c r="W6" s="11"/>
      <c r="X6" s="11"/>
      <c r="Y6" s="11"/>
    </row>
    <row r="7" spans="1:26" ht="12.95" customHeight="1" x14ac:dyDescent="0.2">
      <c r="B7" s="2"/>
      <c r="C7" s="5" t="str">
        <f>VLOOKUP(1,Textbausteine_202[],Hilfsgrössen!$D$2,FALSE)</f>
        <v>Entschädigungen</v>
      </c>
      <c r="D7" s="4"/>
    </row>
    <row r="8" spans="1:26" ht="12.95" customHeight="1" x14ac:dyDescent="0.2">
      <c r="B8" s="2"/>
    </row>
    <row r="9" spans="1:26" ht="12.95" customHeight="1" x14ac:dyDescent="0.2">
      <c r="B9" s="2"/>
    </row>
    <row r="10" spans="1:26" s="6" customFormat="1" ht="12.95" customHeight="1" x14ac:dyDescent="0.2">
      <c r="A10" s="39" t="s">
        <v>27</v>
      </c>
      <c r="B10" s="401" t="str">
        <f>$C$7</f>
        <v>Entschädigungen</v>
      </c>
      <c r="C10" s="401"/>
      <c r="D10" s="6" t="str">
        <f>VLOOKUP(32,Textbausteine_Menu[],Hilfsgrössen!$D$2,FALSE)</f>
        <v>Einheit</v>
      </c>
      <c r="E10" s="28" t="str">
        <f>VLOOKUP(33,Textbausteine_Menu[],Hilfsgrössen!$D$2,FALSE)</f>
        <v>Fussnoten</v>
      </c>
      <c r="F10" s="28" t="str">
        <f>VLOOKUP(34,Textbausteine_Menu[],Hilfsgrössen!$D$2,FALSE)</f>
        <v>GRI</v>
      </c>
      <c r="G10" s="33"/>
      <c r="H10" s="2">
        <v>2004</v>
      </c>
      <c r="I10" s="2">
        <v>2005</v>
      </c>
      <c r="J10" s="2">
        <v>2006</v>
      </c>
      <c r="K10" s="2">
        <v>2007</v>
      </c>
      <c r="L10" s="2">
        <v>2008</v>
      </c>
      <c r="M10" s="2">
        <v>2009</v>
      </c>
      <c r="N10" s="7">
        <v>2010</v>
      </c>
      <c r="O10" s="2">
        <v>2011</v>
      </c>
      <c r="P10" s="7">
        <v>2012</v>
      </c>
      <c r="Q10" s="2">
        <v>2013</v>
      </c>
      <c r="R10" s="2">
        <v>2014</v>
      </c>
      <c r="S10" s="7">
        <v>2015</v>
      </c>
      <c r="T10" s="7">
        <v>2016</v>
      </c>
      <c r="U10" s="7">
        <v>2017</v>
      </c>
      <c r="V10" s="7">
        <v>2018</v>
      </c>
      <c r="W10" s="7">
        <v>2019</v>
      </c>
      <c r="X10" s="7">
        <v>2020</v>
      </c>
      <c r="Y10" s="149">
        <v>2021</v>
      </c>
    </row>
    <row r="11" spans="1:26" ht="12.95" customHeight="1" x14ac:dyDescent="0.2">
      <c r="B11" s="401"/>
      <c r="C11" s="401"/>
      <c r="E11" s="28"/>
      <c r="F11" s="28"/>
      <c r="G11" s="33"/>
      <c r="H11" s="2"/>
      <c r="I11" s="2"/>
      <c r="J11" s="2"/>
      <c r="K11" s="2"/>
      <c r="L11" s="68"/>
      <c r="M11" s="68"/>
      <c r="N11" s="9"/>
      <c r="O11" s="9"/>
      <c r="P11" s="9"/>
      <c r="Q11" s="9"/>
      <c r="R11" s="9"/>
      <c r="S11" s="9"/>
      <c r="Y11" s="315"/>
    </row>
    <row r="12" spans="1:26" ht="12.95" customHeight="1" x14ac:dyDescent="0.2">
      <c r="B12" s="24"/>
      <c r="C12" s="24"/>
      <c r="E12" s="28"/>
      <c r="F12" s="28"/>
      <c r="G12" s="33"/>
      <c r="H12" s="2"/>
      <c r="I12" s="2"/>
      <c r="J12" s="2"/>
      <c r="K12" s="2"/>
      <c r="L12" s="68"/>
      <c r="M12" s="68"/>
      <c r="N12" s="9"/>
      <c r="O12" s="9"/>
      <c r="P12" s="9"/>
      <c r="Q12" s="9"/>
      <c r="R12" s="9"/>
      <c r="S12" s="9"/>
      <c r="Y12" s="315"/>
    </row>
    <row r="13" spans="1:26" ht="12.95" customHeight="1" x14ac:dyDescent="0.2">
      <c r="B13" s="2" t="str">
        <f>VLOOKUP(36,Textbausteine_Menu[],Hilfsgrössen!$D$2,FALSE)</f>
        <v>Konzern</v>
      </c>
      <c r="E13" s="10"/>
      <c r="L13" s="9"/>
      <c r="M13" s="9"/>
      <c r="N13" s="9"/>
      <c r="O13" s="9"/>
      <c r="P13" s="9"/>
      <c r="Q13" s="9"/>
      <c r="R13" s="9"/>
      <c r="S13" s="9"/>
      <c r="Y13" s="315"/>
    </row>
    <row r="14" spans="1:26" ht="12.95" customHeight="1" x14ac:dyDescent="0.2">
      <c r="C14" s="1" t="str">
        <f>VLOOKUP(31,Textbausteine_202[],Hilfsgrössen!$D$2,FALSE)</f>
        <v>Entschädigungen an Verwaltungsratspräsidenten</v>
      </c>
      <c r="D14" s="1" t="str">
        <f>VLOOKUP(11,Textbausteine_202[],Hilfsgrössen!$D$2,FALSE)</f>
        <v>CHF</v>
      </c>
      <c r="E14" s="9">
        <v>1</v>
      </c>
      <c r="H14" s="1">
        <v>231750</v>
      </c>
      <c r="I14" s="1">
        <v>251500</v>
      </c>
      <c r="J14" s="1">
        <v>250000</v>
      </c>
      <c r="K14" s="1">
        <v>245000</v>
      </c>
      <c r="L14" s="11">
        <v>248560</v>
      </c>
      <c r="M14" s="11">
        <v>292785</v>
      </c>
      <c r="N14" s="11">
        <v>254859</v>
      </c>
      <c r="O14" s="11">
        <v>252650</v>
      </c>
      <c r="P14" s="9">
        <v>251700</v>
      </c>
      <c r="Q14" s="9">
        <v>252000</v>
      </c>
      <c r="R14" s="99">
        <v>252000</v>
      </c>
      <c r="S14" s="99">
        <v>252135</v>
      </c>
      <c r="T14" s="11">
        <v>253025</v>
      </c>
      <c r="U14" s="11">
        <v>253470</v>
      </c>
      <c r="V14" s="11">
        <v>253470</v>
      </c>
      <c r="W14" s="11">
        <v>253470</v>
      </c>
      <c r="X14" s="12">
        <v>253470</v>
      </c>
      <c r="Y14" s="315">
        <v>251211</v>
      </c>
      <c r="Z14" s="310"/>
    </row>
    <row r="15" spans="1:26" ht="12.95" customHeight="1" x14ac:dyDescent="0.2">
      <c r="C15" s="16" t="str">
        <f>VLOOKUP(32,Textbausteine_202[],Hilfsgrössen!$D$2,FALSE)</f>
        <v>Durchschnittliche Entschädigung an Verwaltungsratsmitglieder</v>
      </c>
      <c r="D15" s="1" t="str">
        <f>VLOOKUP(11,Textbausteine_202[],Hilfsgrössen!$D$2,FALSE)</f>
        <v>CHF</v>
      </c>
      <c r="E15" s="9" t="s">
        <v>97</v>
      </c>
      <c r="H15" s="1">
        <v>84506</v>
      </c>
      <c r="I15" s="1">
        <v>83106</v>
      </c>
      <c r="J15" s="1">
        <v>80880</v>
      </c>
      <c r="K15" s="1">
        <v>83698</v>
      </c>
      <c r="L15" s="11">
        <v>84525</v>
      </c>
      <c r="M15" s="11">
        <v>100739</v>
      </c>
      <c r="N15" s="11">
        <v>97782</v>
      </c>
      <c r="O15" s="11">
        <v>108456</v>
      </c>
      <c r="P15" s="9">
        <v>99800</v>
      </c>
      <c r="Q15" s="9">
        <v>99226</v>
      </c>
      <c r="R15" s="99">
        <v>91858</v>
      </c>
      <c r="S15" s="99">
        <v>89037</v>
      </c>
      <c r="T15" s="11">
        <v>97325</v>
      </c>
      <c r="U15" s="11">
        <v>97725</v>
      </c>
      <c r="V15" s="11">
        <v>112956</v>
      </c>
      <c r="W15" s="11">
        <v>101011</v>
      </c>
      <c r="X15" s="12">
        <v>92289</v>
      </c>
      <c r="Y15" s="315">
        <v>92266</v>
      </c>
      <c r="Z15" s="310"/>
    </row>
    <row r="16" spans="1:26" ht="12.95" customHeight="1" x14ac:dyDescent="0.2">
      <c r="C16" s="1" t="str">
        <f>VLOOKUP(33,Textbausteine_202[],Hilfsgrössen!$D$2,FALSE)</f>
        <v>Entschädigung an Konzernleiter/-in</v>
      </c>
      <c r="D16" s="1" t="str">
        <f>VLOOKUP(11,Textbausteine_202[],Hilfsgrössen!$D$2,FALSE)</f>
        <v>CHF</v>
      </c>
      <c r="E16" s="9" t="s">
        <v>133</v>
      </c>
      <c r="H16" s="16">
        <v>700000</v>
      </c>
      <c r="I16" s="16">
        <v>689000</v>
      </c>
      <c r="J16" s="11">
        <v>787830</v>
      </c>
      <c r="K16" s="11">
        <v>817138</v>
      </c>
      <c r="L16" s="11">
        <v>829387</v>
      </c>
      <c r="M16" s="11">
        <v>789101</v>
      </c>
      <c r="N16" s="11">
        <v>903384</v>
      </c>
      <c r="O16" s="11">
        <v>924501</v>
      </c>
      <c r="P16" s="9">
        <v>1059476</v>
      </c>
      <c r="Q16" s="9">
        <v>766732</v>
      </c>
      <c r="R16" s="99">
        <v>824585</v>
      </c>
      <c r="S16" s="99">
        <v>984521</v>
      </c>
      <c r="T16" s="75">
        <v>974178</v>
      </c>
      <c r="U16" s="75">
        <v>970425</v>
      </c>
      <c r="V16" s="75">
        <v>1107488</v>
      </c>
      <c r="W16" s="75">
        <v>693123</v>
      </c>
      <c r="X16" s="216">
        <v>809621</v>
      </c>
      <c r="Y16" s="316">
        <v>821285</v>
      </c>
      <c r="Z16" s="310"/>
    </row>
    <row r="17" spans="2:26" ht="12.95" customHeight="1" x14ac:dyDescent="0.2">
      <c r="C17" s="1" t="str">
        <f>VLOOKUP(34,Textbausteine_202[],Hilfsgrössen!$D$2,FALSE)</f>
        <v>Durchschnittliche Entschädigung an Konzernleitungsmitglieder</v>
      </c>
      <c r="D17" s="1" t="str">
        <f>VLOOKUP(11,Textbausteine_202[],Hilfsgrössen!$D$2,FALSE)</f>
        <v>CHF</v>
      </c>
      <c r="E17" s="9" t="s">
        <v>134</v>
      </c>
      <c r="H17" s="1">
        <v>374160</v>
      </c>
      <c r="I17" s="1">
        <v>426498</v>
      </c>
      <c r="J17" s="1">
        <v>444187</v>
      </c>
      <c r="K17" s="1">
        <v>487611</v>
      </c>
      <c r="L17" s="16">
        <v>492781</v>
      </c>
      <c r="M17" s="11">
        <v>491200</v>
      </c>
      <c r="N17" s="11">
        <v>495590</v>
      </c>
      <c r="O17" s="11">
        <v>504986</v>
      </c>
      <c r="P17" s="9">
        <v>515441</v>
      </c>
      <c r="Q17" s="9">
        <v>499281</v>
      </c>
      <c r="R17" s="99">
        <v>477719</v>
      </c>
      <c r="S17" s="99">
        <v>591574</v>
      </c>
      <c r="T17" s="75">
        <v>588377</v>
      </c>
      <c r="U17" s="75">
        <v>559044</v>
      </c>
      <c r="V17" s="75">
        <v>588916</v>
      </c>
      <c r="W17" s="75">
        <v>582289</v>
      </c>
      <c r="X17" s="216">
        <v>575822</v>
      </c>
      <c r="Y17" s="316">
        <v>583501</v>
      </c>
      <c r="Z17" s="310"/>
    </row>
    <row r="18" spans="2:26" ht="12.95" customHeight="1" x14ac:dyDescent="0.2">
      <c r="C18" s="16" t="str">
        <f>VLOOKUP(35,Textbausteine_202[],Hilfsgrössen!$D$2,FALSE)</f>
        <v>Durchschnittslohn Mitarbeitende</v>
      </c>
      <c r="D18" s="1" t="str">
        <f>VLOOKUP(11,Textbausteine_202[],Hilfsgrössen!$D$2,FALSE)</f>
        <v>CHF</v>
      </c>
      <c r="E18" s="9" t="s">
        <v>49</v>
      </c>
      <c r="H18" s="1">
        <v>73222</v>
      </c>
      <c r="I18" s="1">
        <v>73593</v>
      </c>
      <c r="J18" s="1">
        <v>75127</v>
      </c>
      <c r="K18" s="1">
        <v>77160</v>
      </c>
      <c r="L18" s="11">
        <v>78141</v>
      </c>
      <c r="M18" s="11">
        <v>80361</v>
      </c>
      <c r="N18" s="11">
        <v>81082</v>
      </c>
      <c r="O18" s="11">
        <v>81293.248463022479</v>
      </c>
      <c r="P18" s="86">
        <v>82554</v>
      </c>
      <c r="Q18" s="9">
        <v>82695</v>
      </c>
      <c r="R18" s="99">
        <v>83039</v>
      </c>
      <c r="S18" s="99">
        <v>83472</v>
      </c>
      <c r="T18" s="11">
        <v>82231</v>
      </c>
      <c r="U18" s="11">
        <v>83178</v>
      </c>
      <c r="V18" s="11">
        <v>83383</v>
      </c>
      <c r="W18" s="11">
        <v>82741</v>
      </c>
      <c r="X18" s="12">
        <v>83636</v>
      </c>
      <c r="Y18" s="315">
        <v>84490.350185638803</v>
      </c>
    </row>
    <row r="19" spans="2:26" ht="12.95" customHeight="1" x14ac:dyDescent="0.2">
      <c r="C19" s="1" t="str">
        <f>VLOOKUP(36,Textbausteine_202[],Hilfsgrössen!$D$2,FALSE)</f>
        <v>Minimallohn GAV Post (18 Jahre, ohne Berufslehre)</v>
      </c>
      <c r="D19" s="1" t="str">
        <f>VLOOKUP(11,Textbausteine_202[],Hilfsgrössen!$D$2,FALSE)</f>
        <v>CHF</v>
      </c>
      <c r="E19" s="9">
        <v>7</v>
      </c>
      <c r="F19" s="9" t="s">
        <v>135</v>
      </c>
      <c r="H19" s="1">
        <v>40000</v>
      </c>
      <c r="I19" s="1">
        <v>40400</v>
      </c>
      <c r="J19" s="1">
        <v>41006</v>
      </c>
      <c r="K19" s="1">
        <v>41826</v>
      </c>
      <c r="L19" s="11">
        <v>42746</v>
      </c>
      <c r="M19" s="11">
        <v>44071</v>
      </c>
      <c r="N19" s="11">
        <v>44379</v>
      </c>
      <c r="O19" s="11">
        <v>44823</v>
      </c>
      <c r="P19" s="9">
        <v>45047</v>
      </c>
      <c r="Q19" s="9">
        <v>45047</v>
      </c>
      <c r="R19" s="99">
        <v>47620</v>
      </c>
      <c r="S19" s="99">
        <v>47620</v>
      </c>
      <c r="T19" s="9">
        <v>47620</v>
      </c>
      <c r="U19" s="9">
        <v>47620</v>
      </c>
      <c r="V19" s="9">
        <v>47620</v>
      </c>
      <c r="W19" s="9">
        <v>47620</v>
      </c>
      <c r="X19" s="15">
        <v>47820</v>
      </c>
      <c r="Y19" s="315" t="s">
        <v>136</v>
      </c>
      <c r="Z19" s="310"/>
    </row>
    <row r="20" spans="2:26" ht="12.95" customHeight="1" x14ac:dyDescent="0.2">
      <c r="C20" s="1" t="str">
        <f>VLOOKUP(38,Textbausteine_202[],Hilfsgrössen!$D$2,FALSE)</f>
        <v>Minimallohn GAV Post (Mindestlohn Region D)</v>
      </c>
      <c r="D20" s="1" t="str">
        <f>VLOOKUP(11,Textbausteine_202[],Hilfsgrössen!$D$2,FALSE)</f>
        <v>CHF</v>
      </c>
      <c r="E20" s="9">
        <v>7</v>
      </c>
      <c r="F20" s="9" t="s">
        <v>135</v>
      </c>
      <c r="H20" s="102" t="s">
        <v>30</v>
      </c>
      <c r="I20" s="102" t="s">
        <v>30</v>
      </c>
      <c r="J20" s="102" t="s">
        <v>30</v>
      </c>
      <c r="K20" s="102" t="s">
        <v>30</v>
      </c>
      <c r="L20" s="102" t="s">
        <v>30</v>
      </c>
      <c r="M20" s="102" t="s">
        <v>30</v>
      </c>
      <c r="N20" s="102" t="s">
        <v>30</v>
      </c>
      <c r="O20" s="102" t="s">
        <v>30</v>
      </c>
      <c r="P20" s="102" t="s">
        <v>30</v>
      </c>
      <c r="Q20" s="102" t="s">
        <v>30</v>
      </c>
      <c r="R20" s="102" t="s">
        <v>30</v>
      </c>
      <c r="S20" s="102" t="s">
        <v>30</v>
      </c>
      <c r="T20" s="102" t="s">
        <v>30</v>
      </c>
      <c r="U20" s="102" t="s">
        <v>30</v>
      </c>
      <c r="V20" s="102" t="s">
        <v>30</v>
      </c>
      <c r="W20" s="102" t="s">
        <v>30</v>
      </c>
      <c r="X20" s="102" t="s">
        <v>30</v>
      </c>
      <c r="Y20" s="315">
        <v>50451</v>
      </c>
      <c r="Z20" s="310"/>
    </row>
    <row r="21" spans="2:26" ht="12.95" customHeight="1" x14ac:dyDescent="0.2">
      <c r="C21" s="1" t="str">
        <f>VLOOKUP(37,Textbausteine_202[],Hilfsgrössen!$D$2,FALSE)</f>
        <v>Lohnspanne</v>
      </c>
      <c r="D21" s="1" t="str">
        <f>VLOOKUP(12,Textbausteine_202[],Hilfsgrössen!$D$2,FALSE)</f>
        <v>Faktor</v>
      </c>
      <c r="E21" s="9">
        <v>8</v>
      </c>
      <c r="H21" s="1">
        <v>5.0999999999999996</v>
      </c>
      <c r="I21" s="1">
        <v>5.8</v>
      </c>
      <c r="J21" s="1">
        <v>5.9</v>
      </c>
      <c r="K21" s="1">
        <v>6.3</v>
      </c>
      <c r="L21" s="11">
        <v>6.3</v>
      </c>
      <c r="M21" s="11">
        <v>6.1</v>
      </c>
      <c r="N21" s="11">
        <v>6.1</v>
      </c>
      <c r="O21" s="11">
        <v>6.2</v>
      </c>
      <c r="P21" s="9">
        <v>6.2</v>
      </c>
      <c r="Q21" s="9">
        <v>6</v>
      </c>
      <c r="R21" s="9">
        <v>5.8</v>
      </c>
      <c r="S21" s="99">
        <v>7.1</v>
      </c>
      <c r="T21" s="9">
        <v>7.2</v>
      </c>
      <c r="U21" s="9">
        <v>6.7</v>
      </c>
      <c r="V21" s="9">
        <v>7.09</v>
      </c>
      <c r="W21" s="9">
        <v>7</v>
      </c>
      <c r="X21" s="9">
        <v>6.87</v>
      </c>
      <c r="Y21" s="315">
        <v>6.91</v>
      </c>
      <c r="Z21" s="310"/>
    </row>
    <row r="22" spans="2:26" ht="12.95" customHeight="1" x14ac:dyDescent="0.2">
      <c r="T22" s="9"/>
      <c r="U22" s="9"/>
      <c r="V22" s="9"/>
      <c r="W22" s="9"/>
      <c r="X22" s="9"/>
      <c r="Y22" s="9"/>
    </row>
    <row r="23" spans="2:26" ht="12.95" customHeight="1" x14ac:dyDescent="0.25">
      <c r="B23" s="18" t="str">
        <f>VLOOKUP(131,Textbausteine_202[],Hilfsgrössen!$D$2,FALSE)</f>
        <v>1) Entschädigung Verwaltungsrat = Honorar plus Nebenleistungen,  Entschädigung Konzernleitung = Grundlohn plus variable Entlöhnung</v>
      </c>
      <c r="T23" s="9"/>
      <c r="U23" s="9"/>
      <c r="V23" s="9"/>
      <c r="W23" s="9"/>
      <c r="X23" s="9"/>
      <c r="Y23" s="9"/>
    </row>
    <row r="24" spans="2:26" ht="12.95" customHeight="1" x14ac:dyDescent="0.25">
      <c r="B24" s="18" t="str">
        <f>VLOOKUP(132,Textbausteine_202[],Hilfsgrössen!$D$2,FALSE)</f>
        <v>2) ohne VR-Präsident</v>
      </c>
      <c r="T24" s="9"/>
      <c r="U24" s="9"/>
      <c r="V24" s="9"/>
      <c r="W24" s="9"/>
      <c r="X24" s="9"/>
      <c r="Y24" s="9"/>
    </row>
    <row r="25" spans="2:26" ht="12.95" customHeight="1" x14ac:dyDescent="0.25">
      <c r="B25" s="18" t="str">
        <f>VLOOKUP(133,Textbausteine_202[],Hilfsgrössen!$D$2,FALSE)</f>
        <v>3) 2012: Jürg Bucher 8 Monate, Susanne Ruoff 7 Monate, annualisiert CHF 847'581</v>
      </c>
      <c r="T25" s="9"/>
      <c r="U25" s="9"/>
      <c r="V25" s="9"/>
      <c r="W25" s="9"/>
      <c r="X25" s="9"/>
      <c r="Y25" s="9"/>
    </row>
    <row r="26" spans="2:26" ht="12.95" customHeight="1" x14ac:dyDescent="0.25">
      <c r="B26" s="18" t="str">
        <f>VLOOKUP(134,Textbausteine_202[],Hilfsgrössen!$D$2,FALSE)</f>
        <v>4) ohne Konzernleiter/-in</v>
      </c>
      <c r="T26" s="9"/>
      <c r="U26" s="9"/>
      <c r="V26" s="9"/>
      <c r="W26" s="9"/>
      <c r="X26" s="9"/>
      <c r="Y26" s="9"/>
    </row>
    <row r="27" spans="2:26" ht="12.95" customHeight="1" x14ac:dyDescent="0.25">
      <c r="B27" s="18" t="str">
        <f>VLOOKUP(135,Textbausteine_202[],Hilfsgrössen!$D$2,FALSE)</f>
        <v>5)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T27" s="9"/>
      <c r="U27" s="9"/>
      <c r="V27" s="9"/>
      <c r="W27" s="9"/>
      <c r="X27" s="9"/>
      <c r="Y27" s="9"/>
    </row>
    <row r="28" spans="2:26" ht="12.95" customHeight="1" x14ac:dyDescent="0.25">
      <c r="B28" s="18" t="str">
        <f>VLOOKUP(136,Textbausteine_202[],Hilfsgrössen!$D$2,FALSE)</f>
        <v>6) Durchschnittslohn ohne Konzernleitung, Verwaltungsrat und Lernpersonal</v>
      </c>
      <c r="T28" s="9"/>
      <c r="U28" s="9"/>
      <c r="V28" s="9"/>
      <c r="W28" s="9"/>
      <c r="X28" s="9"/>
      <c r="Y28" s="9"/>
    </row>
    <row r="29" spans="2:26" ht="12.95" customHeight="1" x14ac:dyDescent="0.25">
      <c r="B29" s="18" t="str">
        <f>VLOOKUP(137,Textbausteine_202[],Hilfsgrössen!$D$2,FALSE)</f>
        <v>7) Bis 2020 wurde der Minimallohn nach Gesamtarbeitsvertrag Post für einen 18 Jahre alten Mitarbeitenden ohne abgeschlossene Berufslehre ausgewiesen. Ab 2021 wird neu der Minimallohn zentrumsferner Gemeinden (Region D) ausgewiesen.</v>
      </c>
      <c r="T29" s="9"/>
      <c r="U29" s="9"/>
      <c r="V29" s="9"/>
      <c r="W29" s="9"/>
      <c r="X29" s="9"/>
      <c r="Y29" s="9"/>
    </row>
    <row r="30" spans="2:26" ht="12.95" customHeight="1" x14ac:dyDescent="0.25">
      <c r="B30" s="18" t="str">
        <f>VLOOKUP(138,Textbausteine_202[],Hilfsgrössen!$D$2,FALSE)</f>
        <v>8) Durchschnittliche Entschädigung Konzernleitungsmitglieder zu Durchschnittslohn Mitarbeitende.</v>
      </c>
      <c r="T30" s="9"/>
      <c r="U30" s="9"/>
      <c r="V30" s="9"/>
      <c r="W30" s="9"/>
      <c r="X30" s="9"/>
      <c r="Y30" s="9"/>
    </row>
    <row r="31" spans="2:26" ht="12.95" customHeight="1" x14ac:dyDescent="0.25">
      <c r="B31" s="18" t="str">
        <f>VLOOKUP(139,Textbausteine_202[],Hilfsgrössen!$D$2,FALSE)</f>
        <v>9) 2017 und 2018: Über die Freigabe (Anspruch und Bemessung) des Leistungsanteils der Konzernleiterin und des ehemaligen Leiter PostAuto wird erst nach Abschluss der Untersuchungen zu den Verletzungen des Subventionsrechts in der Sparte des regionalen Personenverkehrs entschieden.»</v>
      </c>
      <c r="F31" s="11"/>
      <c r="G31" s="303"/>
      <c r="T31" s="9"/>
      <c r="U31" s="9"/>
      <c r="V31" s="9"/>
      <c r="W31" s="9"/>
      <c r="X31" s="9"/>
      <c r="Y31" s="9"/>
    </row>
    <row r="32" spans="2:26" ht="12.95" customHeight="1" x14ac:dyDescent="0.25">
      <c r="B32" s="18"/>
      <c r="T32" s="9"/>
      <c r="U32" s="9"/>
      <c r="V32" s="9"/>
      <c r="W32" s="9"/>
      <c r="X32" s="9"/>
      <c r="Y32" s="9"/>
    </row>
    <row r="33" spans="3:25" ht="12.95" customHeight="1" x14ac:dyDescent="0.2">
      <c r="C33" s="391"/>
      <c r="T33" s="9"/>
      <c r="U33" s="9"/>
      <c r="V33" s="9"/>
      <c r="W33" s="9"/>
      <c r="X33" s="9"/>
      <c r="Y33" s="9"/>
    </row>
    <row r="34" spans="3:25" ht="12.95" customHeight="1" x14ac:dyDescent="0.2">
      <c r="T34" s="9"/>
      <c r="U34" s="9"/>
      <c r="V34" s="9"/>
      <c r="W34" s="9"/>
      <c r="X34" s="9"/>
      <c r="Y34" s="9"/>
    </row>
    <row r="35" spans="3:25" ht="12.95" customHeight="1" x14ac:dyDescent="0.2">
      <c r="F35" s="11"/>
      <c r="G35" s="303"/>
      <c r="T35" s="9"/>
      <c r="U35" s="9"/>
      <c r="V35" s="9"/>
      <c r="W35" s="9"/>
      <c r="X35" s="9"/>
      <c r="Y35" s="9"/>
    </row>
    <row r="36" spans="3:25" ht="12.95" customHeight="1" x14ac:dyDescent="0.2">
      <c r="E36" s="11"/>
      <c r="F36" s="11"/>
      <c r="G36" s="303"/>
      <c r="T36" s="9"/>
      <c r="U36" s="9"/>
      <c r="V36" s="9"/>
      <c r="W36" s="9"/>
      <c r="X36" s="9"/>
      <c r="Y36" s="9"/>
    </row>
    <row r="37" spans="3:25" ht="12.95" customHeight="1" x14ac:dyDescent="0.2">
      <c r="E37" s="11"/>
      <c r="T37" s="9"/>
      <c r="U37" s="9"/>
      <c r="V37" s="9"/>
      <c r="W37" s="9"/>
      <c r="X37" s="9"/>
      <c r="Y37" s="9"/>
    </row>
    <row r="38" spans="3:25" ht="12.95" customHeight="1" x14ac:dyDescent="0.2">
      <c r="E38" s="11"/>
      <c r="T38" s="9"/>
      <c r="U38" s="9"/>
      <c r="V38" s="9"/>
      <c r="W38" s="9"/>
      <c r="X38" s="9"/>
      <c r="Y38" s="9"/>
    </row>
    <row r="39" spans="3:25" ht="12.95" customHeight="1" x14ac:dyDescent="0.2">
      <c r="F39" s="11"/>
      <c r="G39" s="303"/>
      <c r="T39" s="9"/>
      <c r="U39" s="9"/>
      <c r="V39" s="9"/>
      <c r="W39" s="9"/>
      <c r="X39" s="9"/>
      <c r="Y39" s="9"/>
    </row>
    <row r="40" spans="3:25" ht="12.95" customHeight="1" x14ac:dyDescent="0.2">
      <c r="E40" s="11"/>
      <c r="F40" s="11"/>
      <c r="G40" s="303"/>
      <c r="T40" s="9"/>
      <c r="U40" s="9"/>
      <c r="V40" s="9"/>
      <c r="W40" s="9"/>
      <c r="X40" s="9"/>
      <c r="Y40" s="9"/>
    </row>
    <row r="41" spans="3:25" ht="12.95" customHeight="1" x14ac:dyDescent="0.2">
      <c r="E41" s="11"/>
      <c r="T41" s="9"/>
      <c r="U41" s="9"/>
      <c r="V41" s="9"/>
      <c r="W41" s="9"/>
      <c r="X41" s="9"/>
      <c r="Y41" s="9"/>
    </row>
    <row r="42" spans="3:25" ht="12.95" customHeight="1" x14ac:dyDescent="0.2">
      <c r="E42" s="11"/>
      <c r="T42" s="9"/>
      <c r="U42" s="9"/>
      <c r="V42" s="9"/>
      <c r="W42" s="9"/>
      <c r="X42" s="9"/>
      <c r="Y42" s="9"/>
    </row>
    <row r="43" spans="3:25" ht="12.95" customHeight="1" x14ac:dyDescent="0.2">
      <c r="E43" s="11"/>
      <c r="T43" s="9"/>
      <c r="U43" s="9"/>
      <c r="V43" s="9"/>
      <c r="W43" s="9"/>
      <c r="X43" s="9"/>
      <c r="Y43" s="9"/>
    </row>
    <row r="44" spans="3:25" ht="12.95" customHeight="1" x14ac:dyDescent="0.2">
      <c r="E44" s="11"/>
      <c r="T44" s="9"/>
      <c r="U44" s="9"/>
      <c r="V44" s="9"/>
      <c r="W44" s="9"/>
      <c r="X44" s="9"/>
      <c r="Y44" s="9"/>
    </row>
    <row r="45" spans="3:25" ht="12.95" customHeight="1" x14ac:dyDescent="0.2">
      <c r="T45" s="9"/>
      <c r="U45" s="9"/>
      <c r="V45" s="9"/>
      <c r="W45" s="9"/>
      <c r="X45" s="9"/>
      <c r="Y45" s="9"/>
    </row>
    <row r="46" spans="3:25" ht="12.95" customHeight="1" x14ac:dyDescent="0.2">
      <c r="F46" s="11"/>
      <c r="G46" s="303"/>
      <c r="T46" s="9"/>
      <c r="U46" s="9"/>
      <c r="V46" s="9"/>
      <c r="W46" s="9"/>
      <c r="X46" s="9"/>
      <c r="Y46" s="9"/>
    </row>
    <row r="47" spans="3:25" ht="12.95" customHeight="1" x14ac:dyDescent="0.2">
      <c r="T47" s="9"/>
      <c r="U47" s="9"/>
      <c r="V47" s="9"/>
      <c r="W47" s="9"/>
      <c r="X47" s="9"/>
      <c r="Y47" s="9"/>
    </row>
    <row r="48" spans="3:25" ht="12.95" customHeight="1" x14ac:dyDescent="0.2">
      <c r="T48" s="9"/>
      <c r="U48" s="9"/>
      <c r="V48" s="9"/>
      <c r="W48" s="9"/>
      <c r="X48" s="9"/>
      <c r="Y48" s="9"/>
    </row>
    <row r="49" spans="5:25" ht="12.95" customHeight="1" x14ac:dyDescent="0.2">
      <c r="F49" s="11"/>
      <c r="G49" s="303"/>
      <c r="T49" s="9"/>
      <c r="U49" s="9"/>
      <c r="V49" s="9"/>
      <c r="W49" s="9"/>
      <c r="X49" s="9"/>
      <c r="Y49" s="9"/>
    </row>
    <row r="50" spans="5:25" ht="12.95" customHeight="1" x14ac:dyDescent="0.2">
      <c r="T50" s="9"/>
      <c r="U50" s="9"/>
      <c r="V50" s="9"/>
      <c r="W50" s="9"/>
      <c r="X50" s="9"/>
      <c r="Y50" s="9"/>
    </row>
    <row r="51" spans="5:25" ht="12.95" customHeight="1" x14ac:dyDescent="0.2">
      <c r="T51" s="9"/>
      <c r="U51" s="9"/>
      <c r="V51" s="9"/>
      <c r="W51" s="9"/>
      <c r="X51" s="9"/>
      <c r="Y51" s="9"/>
    </row>
    <row r="52" spans="5:25" ht="12.95" customHeight="1" x14ac:dyDescent="0.2">
      <c r="T52" s="9"/>
      <c r="U52" s="9"/>
      <c r="V52" s="9"/>
      <c r="W52" s="9"/>
      <c r="X52" s="9"/>
      <c r="Y52" s="9"/>
    </row>
    <row r="53" spans="5:25" ht="12.95" customHeight="1" x14ac:dyDescent="0.2">
      <c r="T53" s="9"/>
      <c r="U53" s="9"/>
      <c r="V53" s="9"/>
      <c r="W53" s="9"/>
      <c r="X53" s="9"/>
      <c r="Y53" s="9"/>
    </row>
    <row r="54" spans="5:25" ht="12.95" customHeight="1" x14ac:dyDescent="0.2">
      <c r="T54" s="9"/>
      <c r="U54" s="9"/>
      <c r="V54" s="9"/>
      <c r="W54" s="9"/>
      <c r="X54" s="9"/>
      <c r="Y54" s="9"/>
    </row>
    <row r="55" spans="5:25" ht="12.95" customHeight="1" x14ac:dyDescent="0.2">
      <c r="T55" s="9"/>
      <c r="U55" s="9"/>
      <c r="V55" s="9"/>
      <c r="W55" s="9"/>
      <c r="X55" s="9"/>
      <c r="Y55" s="9"/>
    </row>
    <row r="56" spans="5:25" ht="12.95" customHeight="1" x14ac:dyDescent="0.2">
      <c r="T56" s="9"/>
      <c r="U56" s="9"/>
      <c r="V56" s="9"/>
      <c r="W56" s="9"/>
      <c r="X56" s="9"/>
      <c r="Y56" s="9"/>
    </row>
    <row r="57" spans="5:25" ht="12.95" customHeight="1" x14ac:dyDescent="0.2">
      <c r="T57" s="9"/>
      <c r="U57" s="9"/>
      <c r="V57" s="9"/>
      <c r="W57" s="9"/>
      <c r="X57" s="9"/>
      <c r="Y57" s="9"/>
    </row>
    <row r="58" spans="5:25" ht="12.95" customHeight="1" x14ac:dyDescent="0.2">
      <c r="T58" s="9"/>
      <c r="U58" s="9"/>
      <c r="V58" s="9"/>
      <c r="W58" s="9"/>
      <c r="X58" s="9"/>
      <c r="Y58" s="9"/>
    </row>
    <row r="59" spans="5:25" ht="12.95" customHeight="1" x14ac:dyDescent="0.2">
      <c r="E59" s="11"/>
      <c r="T59" s="9"/>
      <c r="U59" s="9"/>
      <c r="V59" s="9"/>
      <c r="W59" s="9"/>
      <c r="X59" s="9"/>
      <c r="Y59" s="9"/>
    </row>
    <row r="60" spans="5:25" ht="12.95" customHeight="1" x14ac:dyDescent="0.2">
      <c r="E60" s="11"/>
      <c r="T60" s="9"/>
      <c r="U60" s="9"/>
      <c r="V60" s="9"/>
      <c r="W60" s="9"/>
      <c r="X60" s="9"/>
      <c r="Y60" s="9"/>
    </row>
    <row r="61" spans="5:25" ht="12.95" customHeight="1" x14ac:dyDescent="0.2">
      <c r="E61" s="11"/>
      <c r="T61" s="9"/>
      <c r="U61" s="9"/>
      <c r="V61" s="9"/>
      <c r="W61" s="9"/>
      <c r="X61" s="9"/>
      <c r="Y61" s="9"/>
    </row>
    <row r="62" spans="5:25" ht="12.95" customHeight="1" x14ac:dyDescent="0.2">
      <c r="T62" s="9"/>
      <c r="U62" s="9"/>
      <c r="V62" s="9"/>
      <c r="W62" s="9"/>
      <c r="X62" s="9"/>
      <c r="Y62" s="9"/>
    </row>
    <row r="63" spans="5:25" ht="12.95" customHeight="1" x14ac:dyDescent="0.2">
      <c r="T63" s="9"/>
      <c r="U63" s="9"/>
      <c r="V63" s="9"/>
      <c r="W63" s="9"/>
      <c r="X63" s="9"/>
      <c r="Y63" s="9"/>
    </row>
    <row r="64" spans="5:25" ht="12.95" customHeight="1" x14ac:dyDescent="0.2">
      <c r="E64" s="29"/>
      <c r="F64" s="29"/>
      <c r="G64" s="35"/>
      <c r="T64" s="9"/>
      <c r="U64" s="9"/>
      <c r="V64" s="9"/>
      <c r="W64" s="9"/>
      <c r="X64" s="9"/>
      <c r="Y64" s="9"/>
    </row>
    <row r="65" spans="5:25" ht="12.95" customHeight="1" x14ac:dyDescent="0.2">
      <c r="E65" s="29"/>
      <c r="F65" s="29"/>
      <c r="G65" s="35"/>
      <c r="T65" s="9"/>
      <c r="U65" s="9"/>
      <c r="V65" s="9"/>
      <c r="W65" s="9"/>
      <c r="X65" s="9"/>
      <c r="Y65" s="9"/>
    </row>
    <row r="66" spans="5:25" ht="12.95" customHeight="1" x14ac:dyDescent="0.2">
      <c r="E66" s="29"/>
      <c r="F66" s="29"/>
      <c r="G66" s="35"/>
      <c r="T66" s="9"/>
      <c r="U66" s="9"/>
      <c r="V66" s="9"/>
      <c r="W66" s="9"/>
      <c r="X66" s="9"/>
      <c r="Y66" s="9"/>
    </row>
    <row r="67" spans="5:25" ht="12.95" customHeight="1" x14ac:dyDescent="0.2">
      <c r="E67" s="29"/>
      <c r="F67" s="29"/>
      <c r="G67" s="35"/>
    </row>
    <row r="68" spans="5:25" ht="12.95" customHeight="1" x14ac:dyDescent="0.2">
      <c r="E68" s="29"/>
      <c r="F68" s="29"/>
      <c r="G68" s="35"/>
    </row>
    <row r="69" spans="5:25" ht="12.95" customHeight="1" x14ac:dyDescent="0.25">
      <c r="E69" s="30"/>
      <c r="F69" s="30"/>
      <c r="G69" s="36"/>
    </row>
    <row r="73" spans="5:25" ht="12.95" customHeight="1" x14ac:dyDescent="0.2">
      <c r="E73" s="28"/>
      <c r="F73" s="28"/>
      <c r="G73" s="33"/>
    </row>
    <row r="74" spans="5:25" ht="12.95" customHeight="1" x14ac:dyDescent="0.2">
      <c r="E74" s="28"/>
      <c r="F74" s="28"/>
      <c r="G74" s="33"/>
    </row>
    <row r="75" spans="5:25" ht="12.95" customHeight="1" x14ac:dyDescent="0.2">
      <c r="E75" s="11"/>
      <c r="T75" s="75"/>
      <c r="U75" s="75"/>
      <c r="V75" s="75"/>
      <c r="W75" s="75"/>
      <c r="X75" s="75"/>
      <c r="Y75" s="75"/>
    </row>
    <row r="76" spans="5:25" ht="12.95" customHeight="1" x14ac:dyDescent="0.2">
      <c r="E76" s="28"/>
      <c r="F76" s="28"/>
      <c r="G76" s="33"/>
      <c r="T76" s="75"/>
      <c r="U76" s="75"/>
      <c r="V76" s="75"/>
      <c r="W76" s="75"/>
      <c r="X76" s="75"/>
      <c r="Y76" s="75"/>
    </row>
    <row r="77" spans="5:25" ht="12.95" customHeight="1" x14ac:dyDescent="0.2">
      <c r="E77" s="11"/>
    </row>
    <row r="78" spans="5:25" ht="12.95" customHeight="1" x14ac:dyDescent="0.2">
      <c r="E78" s="11"/>
      <c r="T78" s="9"/>
      <c r="U78" s="9"/>
      <c r="V78" s="9"/>
      <c r="W78" s="9"/>
      <c r="X78" s="9"/>
      <c r="Y78" s="9"/>
    </row>
    <row r="79" spans="5:25" ht="12.95" customHeight="1" x14ac:dyDescent="0.2">
      <c r="E79" s="11"/>
      <c r="T79" s="9"/>
      <c r="U79" s="9"/>
      <c r="V79" s="9"/>
      <c r="W79" s="9"/>
      <c r="X79" s="9"/>
      <c r="Y79" s="9"/>
    </row>
    <row r="80" spans="5:25" ht="12.95" customHeight="1" x14ac:dyDescent="0.2">
      <c r="E80" s="11"/>
      <c r="T80" s="9"/>
      <c r="U80" s="9"/>
      <c r="V80" s="9"/>
      <c r="W80" s="9"/>
      <c r="X80" s="9"/>
      <c r="Y80" s="9"/>
    </row>
    <row r="81" spans="5:25" ht="12.95" customHeight="1" x14ac:dyDescent="0.2">
      <c r="E81" s="31"/>
      <c r="F81" s="31"/>
      <c r="G81" s="37"/>
      <c r="T81" s="9"/>
      <c r="U81" s="9"/>
      <c r="V81" s="9"/>
      <c r="W81" s="9"/>
      <c r="X81" s="9"/>
      <c r="Y81" s="9"/>
    </row>
    <row r="82" spans="5:25" ht="12.95" customHeight="1" x14ac:dyDescent="0.2">
      <c r="E82" s="31"/>
      <c r="F82" s="31"/>
      <c r="G82" s="37"/>
      <c r="T82" s="9"/>
      <c r="U82" s="9"/>
      <c r="V82" s="9"/>
      <c r="W82" s="9"/>
      <c r="X82" s="9"/>
      <c r="Y82" s="9"/>
    </row>
    <row r="83" spans="5:25" ht="12.95" customHeight="1" x14ac:dyDescent="0.2">
      <c r="E83" s="31"/>
      <c r="F83" s="31"/>
      <c r="G83" s="37"/>
      <c r="T83" s="9"/>
      <c r="U83" s="9"/>
      <c r="V83" s="9"/>
      <c r="W83" s="9"/>
      <c r="X83" s="9"/>
      <c r="Y83" s="9"/>
    </row>
    <row r="84" spans="5:25" ht="12.95" customHeight="1" x14ac:dyDescent="0.2">
      <c r="T84" s="9"/>
      <c r="U84" s="9"/>
      <c r="V84" s="9"/>
      <c r="W84" s="9"/>
      <c r="X84" s="9"/>
      <c r="Y84" s="9"/>
    </row>
    <row r="85" spans="5:25" ht="12.95" customHeight="1" x14ac:dyDescent="0.2">
      <c r="T85" s="9"/>
      <c r="U85" s="9"/>
      <c r="V85" s="9"/>
      <c r="W85" s="9"/>
      <c r="X85" s="9"/>
      <c r="Y85" s="9"/>
    </row>
    <row r="86" spans="5:25" ht="12.95" customHeight="1" x14ac:dyDescent="0.2">
      <c r="T86" s="75"/>
      <c r="U86" s="75"/>
      <c r="V86" s="75"/>
      <c r="W86" s="75"/>
      <c r="X86" s="75"/>
      <c r="Y86" s="75"/>
    </row>
    <row r="87" spans="5:25" ht="12.95" customHeight="1" x14ac:dyDescent="0.2">
      <c r="T87" s="75"/>
      <c r="U87" s="75"/>
      <c r="V87" s="75"/>
      <c r="W87" s="75"/>
      <c r="X87" s="75"/>
      <c r="Y87" s="75"/>
    </row>
    <row r="91" spans="5:25" ht="12.95" customHeight="1" x14ac:dyDescent="0.2">
      <c r="T91" s="9"/>
      <c r="U91" s="9"/>
      <c r="V91" s="9"/>
      <c r="W91" s="9"/>
      <c r="X91" s="9"/>
      <c r="Y91" s="9"/>
    </row>
    <row r="92" spans="5:25" ht="12.95" customHeight="1" x14ac:dyDescent="0.2">
      <c r="T92" s="9"/>
      <c r="U92" s="9"/>
      <c r="V92" s="9"/>
      <c r="W92" s="9"/>
      <c r="X92" s="9"/>
      <c r="Y92" s="9"/>
    </row>
    <row r="93" spans="5:25" ht="12.95" customHeight="1" x14ac:dyDescent="0.2">
      <c r="T93" s="9"/>
      <c r="U93" s="9"/>
      <c r="V93" s="9"/>
      <c r="W93" s="9"/>
      <c r="X93" s="9"/>
      <c r="Y93" s="9"/>
    </row>
    <row r="94" spans="5:25" ht="12.95" customHeight="1" x14ac:dyDescent="0.2">
      <c r="T94" s="9"/>
      <c r="U94" s="9"/>
      <c r="V94" s="9"/>
      <c r="W94" s="9"/>
      <c r="X94" s="9"/>
      <c r="Y94" s="9"/>
    </row>
    <row r="95" spans="5:25" ht="12.95" customHeight="1" x14ac:dyDescent="0.2">
      <c r="T95" s="9"/>
      <c r="U95" s="9"/>
      <c r="V95" s="9"/>
      <c r="W95" s="9"/>
      <c r="X95" s="9"/>
      <c r="Y95" s="9"/>
    </row>
    <row r="96" spans="5:25" ht="12.95" customHeight="1" x14ac:dyDescent="0.2">
      <c r="T96" s="9"/>
      <c r="U96" s="9"/>
      <c r="V96" s="9"/>
      <c r="W96" s="9"/>
      <c r="X96" s="9"/>
      <c r="Y96" s="9"/>
    </row>
    <row r="97" spans="20:25" ht="12.95" customHeight="1" x14ac:dyDescent="0.2">
      <c r="T97" s="9"/>
      <c r="U97" s="9"/>
      <c r="V97" s="9"/>
      <c r="W97" s="9"/>
      <c r="X97" s="9"/>
      <c r="Y97" s="9"/>
    </row>
    <row r="98" spans="20:25" ht="12.95" customHeight="1" x14ac:dyDescent="0.2">
      <c r="T98" s="9"/>
      <c r="U98" s="9"/>
      <c r="V98" s="9"/>
      <c r="W98" s="9"/>
      <c r="X98" s="9"/>
      <c r="Y98" s="9"/>
    </row>
    <row r="99" spans="20:25" ht="12.95" customHeight="1" x14ac:dyDescent="0.2">
      <c r="T99" s="9"/>
      <c r="U99" s="9"/>
      <c r="V99" s="9"/>
      <c r="W99" s="9"/>
      <c r="X99" s="9"/>
      <c r="Y99" s="9"/>
    </row>
    <row r="100" spans="20:25" ht="12.95" customHeight="1" x14ac:dyDescent="0.2">
      <c r="T100" s="9"/>
      <c r="U100" s="9"/>
      <c r="V100" s="9"/>
      <c r="W100" s="9"/>
      <c r="X100" s="9"/>
      <c r="Y100" s="9"/>
    </row>
    <row r="101" spans="20:25" ht="12.95" customHeight="1" x14ac:dyDescent="0.2">
      <c r="T101" s="9"/>
      <c r="U101" s="9"/>
      <c r="V101" s="9"/>
      <c r="W101" s="9"/>
      <c r="X101" s="9"/>
      <c r="Y101" s="9"/>
    </row>
    <row r="102" spans="20:25" ht="12.95" customHeight="1" x14ac:dyDescent="0.2">
      <c r="T102" s="9"/>
      <c r="U102" s="9"/>
      <c r="V102" s="9"/>
      <c r="W102" s="9"/>
      <c r="X102" s="9"/>
      <c r="Y102" s="9"/>
    </row>
    <row r="103" spans="20:25" ht="12.95" customHeight="1" x14ac:dyDescent="0.2">
      <c r="T103" s="9"/>
      <c r="U103" s="9"/>
      <c r="V103" s="9"/>
      <c r="W103" s="9"/>
      <c r="X103" s="9"/>
      <c r="Y103" s="9"/>
    </row>
    <row r="104" spans="20:25" ht="12.95" customHeight="1" x14ac:dyDescent="0.2">
      <c r="T104" s="9"/>
      <c r="U104" s="9"/>
      <c r="V104" s="9"/>
      <c r="W104" s="9"/>
      <c r="X104" s="9"/>
      <c r="Y104" s="9"/>
    </row>
    <row r="105" spans="20:25" ht="12.95" customHeight="1" x14ac:dyDescent="0.2">
      <c r="T105" s="9"/>
      <c r="U105" s="9"/>
      <c r="V105" s="9"/>
      <c r="W105" s="9"/>
      <c r="X105" s="9"/>
      <c r="Y105" s="9"/>
    </row>
    <row r="106" spans="20:25" ht="12.95" customHeight="1" x14ac:dyDescent="0.2">
      <c r="T106" s="9"/>
      <c r="U106" s="9"/>
      <c r="V106" s="9"/>
      <c r="W106" s="9"/>
      <c r="X106" s="9"/>
      <c r="Y106" s="9"/>
    </row>
    <row r="107" spans="20:25" ht="12.95" customHeight="1" x14ac:dyDescent="0.2">
      <c r="T107" s="9"/>
      <c r="U107" s="9"/>
      <c r="V107" s="9"/>
      <c r="W107" s="9"/>
      <c r="X107" s="9"/>
      <c r="Y107" s="9"/>
    </row>
    <row r="108" spans="20:25" ht="12.95" customHeight="1" x14ac:dyDescent="0.2">
      <c r="T108" s="9"/>
      <c r="U108" s="9"/>
      <c r="V108" s="9"/>
      <c r="W108" s="9"/>
      <c r="X108" s="9"/>
      <c r="Y108" s="9"/>
    </row>
    <row r="115" spans="20:25" ht="12.95" customHeight="1" x14ac:dyDescent="0.2">
      <c r="T115" s="75"/>
      <c r="U115" s="75"/>
      <c r="V115" s="75"/>
      <c r="W115" s="75"/>
      <c r="X115" s="75"/>
      <c r="Y115" s="75"/>
    </row>
    <row r="116" spans="20:25" ht="12.95" customHeight="1" x14ac:dyDescent="0.2">
      <c r="T116" s="75"/>
      <c r="U116" s="75"/>
      <c r="V116" s="75"/>
      <c r="W116" s="75"/>
      <c r="X116" s="75"/>
      <c r="Y116" s="75"/>
    </row>
    <row r="120" spans="20:25" ht="12.95" customHeight="1" x14ac:dyDescent="0.2">
      <c r="T120" s="88"/>
      <c r="U120" s="88"/>
      <c r="V120" s="88"/>
      <c r="W120" s="88"/>
      <c r="X120" s="88"/>
      <c r="Y120" s="88"/>
    </row>
    <row r="121" spans="20:25" ht="12.95" customHeight="1" x14ac:dyDescent="0.2">
      <c r="T121" s="88"/>
      <c r="U121" s="88"/>
      <c r="V121" s="88"/>
      <c r="W121" s="88"/>
      <c r="X121" s="88"/>
      <c r="Y121" s="88"/>
    </row>
    <row r="122" spans="20:25" ht="12.95" customHeight="1" x14ac:dyDescent="0.2">
      <c r="T122" s="88"/>
      <c r="U122" s="88"/>
      <c r="V122" s="88"/>
      <c r="W122" s="88"/>
      <c r="X122" s="88"/>
      <c r="Y122" s="88"/>
    </row>
    <row r="123" spans="20:25" ht="12.95" customHeight="1" x14ac:dyDescent="0.2">
      <c r="T123" s="88"/>
      <c r="U123" s="88"/>
      <c r="V123" s="88"/>
      <c r="W123" s="88"/>
      <c r="X123" s="88"/>
      <c r="Y123" s="88"/>
    </row>
    <row r="124" spans="20:25" ht="12.95" customHeight="1" x14ac:dyDescent="0.2">
      <c r="T124" s="88"/>
      <c r="U124" s="88"/>
      <c r="V124" s="88"/>
      <c r="W124" s="88"/>
      <c r="X124" s="88"/>
      <c r="Y124" s="88"/>
    </row>
    <row r="125" spans="20:25" ht="12.95" customHeight="1" x14ac:dyDescent="0.2">
      <c r="T125" s="88"/>
      <c r="U125" s="88"/>
      <c r="V125" s="88"/>
      <c r="W125" s="88"/>
      <c r="X125" s="88"/>
      <c r="Y125" s="88"/>
    </row>
    <row r="126" spans="20:25" ht="12.95" customHeight="1" x14ac:dyDescent="0.2">
      <c r="T126" s="88"/>
      <c r="U126" s="88"/>
      <c r="V126" s="88"/>
      <c r="W126" s="88"/>
      <c r="X126" s="88"/>
      <c r="Y126" s="88"/>
    </row>
    <row r="127" spans="20:25" ht="12.95" customHeight="1" x14ac:dyDescent="0.2">
      <c r="T127" s="88"/>
      <c r="U127" s="88"/>
      <c r="V127" s="88"/>
      <c r="W127" s="88"/>
      <c r="X127" s="88"/>
      <c r="Y127" s="88"/>
    </row>
  </sheetData>
  <sheetProtection algorithmName="SHA-512" hashValue="pWkQaTqNP+ahFRiqIWscos3RheGm3EIJel11bx6VxC8cGAPzN0Av8+GlXdUYE/HlH2Wq83UXpTePxWFKZR/xhg==" saltValue="R3nQoI2DW8izr3hm4LjKrA==" spinCount="100000" sheet="1" objects="1" scenarios="1"/>
  <mergeCells count="4">
    <mergeCell ref="B2:C2"/>
    <mergeCell ref="B3:C3"/>
    <mergeCell ref="B10:C11"/>
    <mergeCell ref="D2:E2"/>
  </mergeCells>
  <conditionalFormatting sqref="H10:CE13 H18:CE18 H14:X17 AA14:CE17 H19:X21 H22:CE10001 AA19:CE21">
    <cfRule type="expression" dxfId="947" priority="16">
      <formula>AND($D10&lt;&gt;"",H$10&lt;&gt;"",H10="")</formula>
    </cfRule>
    <cfRule type="expression" dxfId="946" priority="19">
      <formula>AND($A10="",ABS(H10)=0)</formula>
    </cfRule>
    <cfRule type="expression" dxfId="945" priority="21">
      <formula>AND($A10="",ABS(H10)&lt;10)</formula>
    </cfRule>
    <cfRule type="expression" dxfId="944" priority="22">
      <formula>AND($A10="",ABS(H10)&lt;100)</formula>
    </cfRule>
    <cfRule type="expression" dxfId="943" priority="23">
      <formula>AND($A10="",ABS(H10)&gt;=100)</formula>
    </cfRule>
  </conditionalFormatting>
  <conditionalFormatting sqref="Y21">
    <cfRule type="expression" dxfId="942" priority="6">
      <formula>AND($D21&lt;&gt;"",#REF!&lt;&gt;"",Y21="")</formula>
    </cfRule>
    <cfRule type="expression" dxfId="941" priority="7">
      <formula>AND($A21="",ABS(Y21)=0)</formula>
    </cfRule>
    <cfRule type="expression" dxfId="940" priority="8">
      <formula>AND($A21="",ABS(Y21)&lt;10)</formula>
    </cfRule>
    <cfRule type="expression" dxfId="939" priority="9">
      <formula>AND($A21="",ABS(Y21)&lt;100)</formula>
    </cfRule>
    <cfRule type="expression" dxfId="938" priority="10">
      <formula>AND($A21="",ABS(Y21)&gt;=100)</formula>
    </cfRule>
  </conditionalFormatting>
  <conditionalFormatting sqref="Y14:Y17">
    <cfRule type="expression" dxfId="937" priority="11">
      <formula>AND($D14&lt;&gt;"",#REF!&lt;&gt;"",Y14="")</formula>
    </cfRule>
    <cfRule type="expression" dxfId="936" priority="12">
      <formula>AND($A14="",ABS(Y14)=0)</formula>
    </cfRule>
    <cfRule type="expression" dxfId="935" priority="13">
      <formula>AND($A14="",ABS(Y14)&lt;10)</formula>
    </cfRule>
    <cfRule type="expression" dxfId="934" priority="14">
      <formula>AND($A14="",ABS(Y14)&lt;100)</formula>
    </cfRule>
    <cfRule type="expression" dxfId="933" priority="15">
      <formula>AND($A14="",ABS(Y14)&gt;=100)</formula>
    </cfRule>
  </conditionalFormatting>
  <conditionalFormatting sqref="Y20">
    <cfRule type="expression" dxfId="932" priority="2487">
      <formula>AND($D19&lt;&gt;"",#REF!&lt;&gt;"",Y20="")</formula>
    </cfRule>
    <cfRule type="expression" dxfId="931" priority="2488">
      <formula>AND($A19="",ABS(Y20)=0)</formula>
    </cfRule>
    <cfRule type="expression" dxfId="930" priority="2489">
      <formula>AND($A19="",ABS(Y20)&lt;10)</formula>
    </cfRule>
    <cfRule type="expression" dxfId="929" priority="2490">
      <formula>AND($A19="",ABS(Y20)&lt;100)</formula>
    </cfRule>
    <cfRule type="expression" dxfId="928" priority="2491">
      <formula>AND($A19="",ABS(Y20)&gt;=100)</formula>
    </cfRule>
  </conditionalFormatting>
  <conditionalFormatting sqref="Y19">
    <cfRule type="expression" dxfId="927" priority="1">
      <formula>AND($D19&lt;&gt;"",Y$10&lt;&gt;"",Y19="")</formula>
    </cfRule>
    <cfRule type="expression" dxfId="926" priority="2">
      <formula>AND($A19="",ABS(Y19)=0)</formula>
    </cfRule>
    <cfRule type="expression" dxfId="925" priority="3">
      <formula>AND($A19="",ABS(Y19)&lt;10)</formula>
    </cfRule>
    <cfRule type="expression" dxfId="924" priority="4">
      <formula>AND($A19="",ABS(Y19)&lt;100)</formula>
    </cfRule>
    <cfRule type="expression" dxfId="923" priority="5">
      <formula>AND($A19="",ABS(Y19)&gt;=100)</formula>
    </cfRule>
  </conditionalFormatting>
  <dataValidations count="2">
    <dataValidation type="list" allowBlank="1" showInputMessage="1" showErrorMessage="1" sqref="G2" xr:uid="{00000000-0002-0000-0300-000000000000}">
      <formula1>Sprache</formula1>
    </dataValidation>
    <dataValidation allowBlank="1" showInputMessage="1" showErrorMessage="1" sqref="F2" xr:uid="{7BEB7C83-B080-489F-9FFC-E9A9C50D8AEE}"/>
  </dataValidations>
  <hyperlinks>
    <hyperlink ref="C7" location="GRI_202_1" display="202-1 – Ratios of standard entry level wage by gender compared to local minimum wage " xr:uid="{00000000-0004-0000-0300-000000000000}"/>
    <hyperlink ref="A10" location="GRI_202" display="Ó" xr:uid="{00000000-0004-0000-0300-000001000000}"/>
    <hyperlink ref="D2" location="Home" display="Home" xr:uid="{00000000-0004-0000-0300-000002000000}"/>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4">
    <tabColor rgb="FF523178"/>
  </sheetPr>
  <dimension ref="A2:CE253"/>
  <sheetViews>
    <sheetView showGridLines="0" showRowColHeaders="0" zoomScaleNormal="100" workbookViewId="0">
      <pane xSplit="7" topLeftCell="H1" activePane="topRight" state="frozen"/>
      <selection activeCell="B3" sqref="B3:C3"/>
      <selection pane="topRight" activeCell="B3" sqref="B3:C3"/>
    </sheetView>
  </sheetViews>
  <sheetFormatPr baseColWidth="10" defaultColWidth="10.85546875" defaultRowHeight="12.95" customHeight="1" x14ac:dyDescent="0.2"/>
  <cols>
    <col min="1" max="1" width="2.42578125" style="66" customWidth="1"/>
    <col min="2" max="2" width="2.42578125" style="1" customWidth="1"/>
    <col min="3" max="3" width="65.7109375" style="1" customWidth="1"/>
    <col min="4" max="4" width="23.5703125" style="1" customWidth="1"/>
    <col min="5" max="5" width="10.42578125" style="9" customWidth="1"/>
    <col min="6" max="6" width="14.140625" style="9" customWidth="1"/>
    <col min="7" max="7" width="2.42578125" style="34" customWidth="1"/>
    <col min="8" max="19" width="11.7109375" style="9" customWidth="1"/>
    <col min="20" max="25" width="11.7109375" style="11" customWidth="1"/>
    <col min="26" max="83" width="11.7109375" style="9" customWidth="1"/>
    <col min="84" max="16384" width="10.85546875" style="1"/>
  </cols>
  <sheetData>
    <row r="2" spans="1:83" s="97" customFormat="1" ht="26.1" customHeight="1" x14ac:dyDescent="0.2">
      <c r="A2" s="63"/>
      <c r="B2" s="406" t="str">
        <f>UPPER(RIGHT(Inhaltsverzeichnis!$C$14,LEN(Inhaltsverzeichnis!$C$14)-FIND(" – ",Inhaltsverzeichnis!$C$14,1)-2))</f>
        <v>INDIREKTE WIRTSCHAFTLICHE AUSWIRKUNGEN</v>
      </c>
      <c r="C2" s="406"/>
      <c r="D2" s="402" t="str">
        <f>VLOOKUP(35,Textbausteine_Menu[],Hilfsgrössen!$D$2,FALSE)</f>
        <v>zurück zum Inhaltsverzeichnis</v>
      </c>
      <c r="E2" s="403"/>
      <c r="F2" s="91" t="s">
        <v>0</v>
      </c>
      <c r="G2" s="104"/>
      <c r="H2" s="67"/>
      <c r="I2" s="67"/>
      <c r="J2" s="67"/>
      <c r="K2" s="67"/>
      <c r="L2" s="67"/>
      <c r="M2" s="67"/>
      <c r="N2" s="67"/>
      <c r="O2" s="67"/>
      <c r="P2" s="67"/>
      <c r="Q2" s="67"/>
      <c r="R2" s="67"/>
      <c r="S2" s="67"/>
      <c r="T2" s="71"/>
      <c r="U2" s="71"/>
      <c r="V2" s="71"/>
      <c r="W2" s="71"/>
      <c r="X2" s="71"/>
      <c r="Y2" s="71"/>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row>
    <row r="3" spans="1:83" s="98" customFormat="1" ht="26.1" customHeight="1" x14ac:dyDescent="0.2">
      <c r="A3" s="64"/>
      <c r="B3" s="407" t="str">
        <f>UPPER("GRI "&amp;LEFT(Inhaltsverzeichnis!$C$14,3))</f>
        <v>GRI 203</v>
      </c>
      <c r="C3" s="407"/>
      <c r="E3" s="27"/>
      <c r="F3" s="27"/>
      <c r="G3" s="32"/>
      <c r="H3" s="27"/>
      <c r="I3" s="27"/>
      <c r="J3" s="27"/>
      <c r="K3" s="27"/>
      <c r="L3" s="27"/>
      <c r="M3" s="27"/>
      <c r="N3" s="27"/>
      <c r="O3" s="27"/>
      <c r="P3" s="27"/>
      <c r="Q3" s="27"/>
      <c r="R3" s="27"/>
      <c r="S3" s="27"/>
      <c r="T3" s="71"/>
      <c r="U3" s="71"/>
      <c r="V3" s="71"/>
      <c r="W3" s="71"/>
      <c r="X3" s="71"/>
      <c r="Y3" s="71"/>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row>
    <row r="6" spans="1:83" s="6" customFormat="1" ht="12.95" customHeight="1" x14ac:dyDescent="0.2">
      <c r="A6" s="65"/>
      <c r="B6" s="6" t="str">
        <f>VLOOKUP(31,Textbausteine_Menu[],Hilfsgrössen!$D$2,FALSE)</f>
        <v>Offenlegungen</v>
      </c>
      <c r="E6" s="28"/>
      <c r="F6" s="28"/>
      <c r="G6" s="33"/>
      <c r="H6" s="28"/>
      <c r="I6" s="28"/>
      <c r="J6" s="28"/>
      <c r="K6" s="28"/>
      <c r="L6" s="28"/>
      <c r="M6" s="28"/>
      <c r="N6" s="28"/>
      <c r="O6" s="28"/>
      <c r="P6" s="28"/>
      <c r="Q6" s="28"/>
      <c r="R6" s="28"/>
      <c r="S6" s="28"/>
      <c r="T6" s="11"/>
      <c r="U6" s="11"/>
      <c r="V6" s="11"/>
      <c r="W6" s="11"/>
      <c r="X6" s="11"/>
      <c r="Y6" s="11"/>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row>
    <row r="7" spans="1:83" ht="12.95" customHeight="1" x14ac:dyDescent="0.2">
      <c r="B7" s="2"/>
      <c r="C7" s="3" t="str">
        <f>VLOOKUP(1,Textbausteine_203[],Hilfsgrössen!$D$2,FALSE)</f>
        <v>Wohltätigkeit und Sponsoring</v>
      </c>
      <c r="D7" s="4"/>
    </row>
    <row r="8" spans="1:83" ht="12.95" customHeight="1" x14ac:dyDescent="0.2">
      <c r="B8" s="2"/>
      <c r="C8" s="3" t="str">
        <f>VLOOKUP(2,Textbausteine_203[],Hilfsgrössen!$D$2,FALSE)</f>
        <v>Zugangspunkte</v>
      </c>
      <c r="D8" s="4"/>
    </row>
    <row r="9" spans="1:83" ht="12.95" customHeight="1" x14ac:dyDescent="0.2">
      <c r="B9" s="2"/>
      <c r="C9" s="3" t="str">
        <f>VLOOKUP(3,Textbausteine_203[],Hilfsgrössen!$D$2,FALSE)</f>
        <v>Arbeitsplätze in den Regionen</v>
      </c>
      <c r="D9" s="4"/>
    </row>
    <row r="10" spans="1:83" ht="12.95" customHeight="1" x14ac:dyDescent="0.2">
      <c r="B10" s="2"/>
      <c r="C10" s="3" t="str">
        <f>VLOOKUP(4,Textbausteine_203[],Hilfsgrössen!$D$2,FALSE)</f>
        <v>Preisvergleich postalischer Dienstleistungen</v>
      </c>
      <c r="D10" s="4"/>
    </row>
    <row r="11" spans="1:83" ht="12.95" customHeight="1" x14ac:dyDescent="0.2">
      <c r="B11" s="2"/>
      <c r="C11" s="3" t="str">
        <f>VLOOKUP(5,Textbausteine_203[],Hilfsgrössen!$D$2,FALSE)</f>
        <v>Laufzeiten postalischer Dienstleistungen</v>
      </c>
      <c r="D11" s="4"/>
    </row>
    <row r="12" spans="1:83" ht="12.95" customHeight="1" x14ac:dyDescent="0.2">
      <c r="B12" s="2"/>
      <c r="C12" s="3" t="str">
        <f>VLOOKUP(6,Textbausteine_203[],Hilfsgrössen!$D$2,FALSE)</f>
        <v>Wartezeiten in Filialen</v>
      </c>
      <c r="D12" s="4"/>
    </row>
    <row r="13" spans="1:83" ht="12.95" customHeight="1" x14ac:dyDescent="0.2">
      <c r="B13" s="2"/>
      <c r="C13" s="3" t="str">
        <f>VLOOKUP(7,Textbausteine_203[],Hilfsgrössen!$D$2,FALSE)</f>
        <v>Verarbeitungszeiten von Finanzdienstleistungen</v>
      </c>
      <c r="D13" s="4"/>
    </row>
    <row r="14" spans="1:83" ht="12.95" customHeight="1" x14ac:dyDescent="0.2">
      <c r="B14" s="2"/>
    </row>
    <row r="15" spans="1:83" ht="12.95" customHeight="1" x14ac:dyDescent="0.2">
      <c r="B15" s="2"/>
    </row>
    <row r="16" spans="1:83" s="6" customFormat="1" ht="12.95" customHeight="1" x14ac:dyDescent="0.2">
      <c r="A16" s="39" t="s">
        <v>27</v>
      </c>
      <c r="B16" s="401" t="str">
        <f>$C$7</f>
        <v>Wohltätigkeit und Sponsoring</v>
      </c>
      <c r="C16" s="401"/>
      <c r="D16" s="6" t="str">
        <f>VLOOKUP(32,Textbausteine_Menu[],Hilfsgrössen!$D$2,FALSE)</f>
        <v>Einheit</v>
      </c>
      <c r="E16" s="28" t="str">
        <f>VLOOKUP(33,Textbausteine_Menu[],Hilfsgrössen!$D$2,FALSE)</f>
        <v>Fussnoten</v>
      </c>
      <c r="F16" s="28" t="str">
        <f>VLOOKUP(34,Textbausteine_Menu[],Hilfsgrössen!$D$2,FALSE)</f>
        <v>GRI</v>
      </c>
      <c r="G16" s="34"/>
      <c r="H16" s="7">
        <v>2004</v>
      </c>
      <c r="I16" s="7">
        <v>2005</v>
      </c>
      <c r="J16" s="7">
        <v>2006</v>
      </c>
      <c r="K16" s="7">
        <v>2007</v>
      </c>
      <c r="L16" s="7">
        <v>2008</v>
      </c>
      <c r="M16" s="7">
        <v>2009</v>
      </c>
      <c r="N16" s="7">
        <v>2010</v>
      </c>
      <c r="O16" s="7">
        <v>2011</v>
      </c>
      <c r="P16" s="7">
        <v>2012</v>
      </c>
      <c r="Q16" s="7">
        <v>2013</v>
      </c>
      <c r="R16" s="7">
        <v>2014</v>
      </c>
      <c r="S16" s="7">
        <v>2015</v>
      </c>
      <c r="T16" s="7">
        <v>2016</v>
      </c>
      <c r="U16" s="7">
        <v>2017</v>
      </c>
      <c r="V16" s="7">
        <v>2018</v>
      </c>
      <c r="W16" s="7">
        <v>2019</v>
      </c>
      <c r="X16" s="7">
        <v>2020</v>
      </c>
      <c r="Y16" s="149">
        <v>2021</v>
      </c>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row>
    <row r="17" spans="1:83" s="6" customFormat="1" ht="12.95" customHeight="1" x14ac:dyDescent="0.2">
      <c r="A17" s="65"/>
      <c r="B17" s="401"/>
      <c r="C17" s="401"/>
      <c r="E17" s="28"/>
      <c r="F17" s="28"/>
      <c r="G17" s="34"/>
      <c r="H17" s="7"/>
      <c r="I17" s="7"/>
      <c r="J17" s="7"/>
      <c r="K17" s="7"/>
      <c r="L17" s="68"/>
      <c r="M17" s="68"/>
      <c r="N17" s="9"/>
      <c r="O17" s="9"/>
      <c r="P17" s="9"/>
      <c r="Q17" s="9"/>
      <c r="R17" s="9"/>
      <c r="S17" s="9"/>
      <c r="T17" s="11"/>
      <c r="U17" s="11"/>
      <c r="V17" s="11"/>
      <c r="W17" s="11"/>
      <c r="X17" s="11"/>
      <c r="Y17" s="315"/>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row>
    <row r="18" spans="1:83" ht="12.95" customHeight="1" x14ac:dyDescent="0.2">
      <c r="B18" s="2"/>
      <c r="E18" s="28"/>
      <c r="F18" s="28"/>
      <c r="G18" s="33"/>
      <c r="H18" s="7"/>
      <c r="I18" s="7"/>
      <c r="J18" s="7"/>
      <c r="K18" s="7"/>
      <c r="L18" s="68"/>
      <c r="M18" s="68"/>
      <c r="Y18" s="315"/>
    </row>
    <row r="19" spans="1:83" ht="12.95" customHeight="1" x14ac:dyDescent="0.2">
      <c r="B19" s="2" t="str">
        <f>VLOOKUP(36,Textbausteine_Menu[],Hilfsgrössen!$D$2,FALSE)</f>
        <v>Konzern</v>
      </c>
      <c r="C19" s="2"/>
      <c r="E19" s="10"/>
      <c r="G19" s="33"/>
      <c r="Y19" s="315"/>
    </row>
    <row r="20" spans="1:83" ht="12.95" customHeight="1" x14ac:dyDescent="0.2">
      <c r="C20" s="16" t="str">
        <f>VLOOKUP(31,Textbausteine_203[],Hilfsgrössen!$D$2,FALSE)</f>
        <v>Beiträge</v>
      </c>
      <c r="D20" s="1" t="str">
        <f>VLOOKUP(11,Textbausteine_203[],Hilfsgrössen!$D$2,FALSE)</f>
        <v>Mio. CHF</v>
      </c>
      <c r="F20" s="9" t="s">
        <v>137</v>
      </c>
      <c r="H20" s="220">
        <v>16.690000000000001</v>
      </c>
      <c r="I20" s="220">
        <v>17.849999999999998</v>
      </c>
      <c r="J20" s="220">
        <v>16.68</v>
      </c>
      <c r="K20" s="220">
        <v>17.830000000000002</v>
      </c>
      <c r="L20" s="232">
        <v>20.14</v>
      </c>
      <c r="M20" s="232">
        <v>20.7</v>
      </c>
      <c r="N20" s="232">
        <v>19</v>
      </c>
      <c r="O20" s="232">
        <v>20.700000000000003</v>
      </c>
      <c r="P20" s="220">
        <v>20.100000000000001</v>
      </c>
      <c r="Q20" s="220">
        <v>20.5</v>
      </c>
      <c r="R20" s="230">
        <v>19.7</v>
      </c>
      <c r="S20" s="230">
        <v>19.8</v>
      </c>
      <c r="T20" s="232">
        <v>19.7</v>
      </c>
      <c r="U20" s="232">
        <v>16.748999999999999</v>
      </c>
      <c r="V20" s="232">
        <v>12.9</v>
      </c>
      <c r="W20" s="232">
        <v>12.9</v>
      </c>
      <c r="X20" s="308">
        <v>11.6</v>
      </c>
      <c r="Y20" s="306">
        <f>SUM(Y21:Y26)</f>
        <v>12.3</v>
      </c>
      <c r="Z20" s="335"/>
    </row>
    <row r="21" spans="1:83" ht="12.95" customHeight="1" x14ac:dyDescent="0.2">
      <c r="C21" s="13" t="str">
        <f>VLOOKUP(32,Textbausteine_203[],Hilfsgrössen!$D$2,FALSE)</f>
        <v>Wirtschaft</v>
      </c>
      <c r="D21" s="1" t="str">
        <f>VLOOKUP(11,Textbausteine_203[],Hilfsgrössen!$D$2,FALSE)</f>
        <v>Mio. CHF</v>
      </c>
      <c r="E21" s="9">
        <v>1</v>
      </c>
      <c r="F21" s="9" t="s">
        <v>137</v>
      </c>
      <c r="H21" s="231" t="s">
        <v>30</v>
      </c>
      <c r="I21" s="231" t="s">
        <v>30</v>
      </c>
      <c r="J21" s="231" t="s">
        <v>30</v>
      </c>
      <c r="K21" s="231" t="s">
        <v>30</v>
      </c>
      <c r="L21" s="227" t="s">
        <v>30</v>
      </c>
      <c r="M21" s="227" t="s">
        <v>30</v>
      </c>
      <c r="N21" s="227" t="s">
        <v>30</v>
      </c>
      <c r="O21" s="227" t="s">
        <v>30</v>
      </c>
      <c r="P21" s="231" t="s">
        <v>30</v>
      </c>
      <c r="Q21" s="231" t="s">
        <v>30</v>
      </c>
      <c r="R21" s="249" t="s">
        <v>30</v>
      </c>
      <c r="S21" s="230">
        <v>1</v>
      </c>
      <c r="T21" s="232">
        <v>1.5</v>
      </c>
      <c r="U21" s="232">
        <v>1.6869999999999998</v>
      </c>
      <c r="V21" s="232">
        <v>1.1000000000000001</v>
      </c>
      <c r="W21" s="232">
        <v>0.9</v>
      </c>
      <c r="X21" s="308">
        <v>0.6</v>
      </c>
      <c r="Y21" s="376">
        <v>0.6</v>
      </c>
      <c r="Z21" s="335"/>
    </row>
    <row r="22" spans="1:83" ht="12.95" customHeight="1" x14ac:dyDescent="0.2">
      <c r="C22" s="13" t="str">
        <f>VLOOKUP(33,Textbausteine_203[],Hilfsgrössen!$D$2,FALSE)</f>
        <v>Sportsponsoring</v>
      </c>
      <c r="D22" s="1" t="str">
        <f>VLOOKUP(11,Textbausteine_203[],Hilfsgrössen!$D$2,FALSE)</f>
        <v>Mio. CHF</v>
      </c>
      <c r="F22" s="9" t="s">
        <v>137</v>
      </c>
      <c r="H22" s="232">
        <v>8.1300000000000008</v>
      </c>
      <c r="I22" s="232">
        <v>9.6</v>
      </c>
      <c r="J22" s="232">
        <v>9.65</v>
      </c>
      <c r="K22" s="232">
        <v>9.75</v>
      </c>
      <c r="L22" s="232">
        <v>12.65</v>
      </c>
      <c r="M22" s="232">
        <v>11.7</v>
      </c>
      <c r="N22" s="232">
        <v>11.8</v>
      </c>
      <c r="O22" s="232">
        <v>11.8</v>
      </c>
      <c r="P22" s="220">
        <v>11.9</v>
      </c>
      <c r="Q22" s="220">
        <v>10.3</v>
      </c>
      <c r="R22" s="230">
        <v>10.7</v>
      </c>
      <c r="S22" s="230">
        <v>9.9</v>
      </c>
      <c r="T22" s="248">
        <v>10.3</v>
      </c>
      <c r="U22" s="248">
        <v>9.7159999999999993</v>
      </c>
      <c r="V22" s="248">
        <v>9.5</v>
      </c>
      <c r="W22" s="248">
        <v>9.6</v>
      </c>
      <c r="X22" s="308">
        <v>8.3000000000000007</v>
      </c>
      <c r="Y22" s="376">
        <v>8.8000000000000007</v>
      </c>
      <c r="Z22" s="335"/>
    </row>
    <row r="23" spans="1:83" ht="12.95" customHeight="1" x14ac:dyDescent="0.2">
      <c r="C23" s="13" t="str">
        <f>VLOOKUP(34,Textbausteine_203[],Hilfsgrössen!$D$2,FALSE)</f>
        <v>Kultursponsoring</v>
      </c>
      <c r="D23" s="1" t="str">
        <f>VLOOKUP(11,Textbausteine_203[],Hilfsgrössen!$D$2,FALSE)</f>
        <v>Mio. CHF</v>
      </c>
      <c r="F23" s="9" t="s">
        <v>137</v>
      </c>
      <c r="H23" s="220">
        <v>4.91</v>
      </c>
      <c r="I23" s="220">
        <v>5.14</v>
      </c>
      <c r="J23" s="220">
        <v>3.63</v>
      </c>
      <c r="K23" s="220">
        <v>4.6500000000000004</v>
      </c>
      <c r="L23" s="232">
        <v>4.2699999999999996</v>
      </c>
      <c r="M23" s="232">
        <v>4</v>
      </c>
      <c r="N23" s="232">
        <v>2.6</v>
      </c>
      <c r="O23" s="232">
        <v>2.5</v>
      </c>
      <c r="P23" s="220">
        <v>2.2999999999999998</v>
      </c>
      <c r="Q23" s="220">
        <v>5.0999999999999996</v>
      </c>
      <c r="R23" s="230">
        <v>4.4000000000000004</v>
      </c>
      <c r="S23" s="230">
        <v>3.9</v>
      </c>
      <c r="T23" s="248">
        <v>3.4</v>
      </c>
      <c r="U23" s="248">
        <v>2.96</v>
      </c>
      <c r="V23" s="248">
        <v>0</v>
      </c>
      <c r="W23" s="248">
        <v>0</v>
      </c>
      <c r="X23" s="308">
        <v>0</v>
      </c>
      <c r="Y23" s="376">
        <v>0.1</v>
      </c>
      <c r="Z23" s="335"/>
    </row>
    <row r="24" spans="1:83" ht="12.95" customHeight="1" x14ac:dyDescent="0.2">
      <c r="C24" s="17" t="str">
        <f>VLOOKUP(35,Textbausteine_203[],Hilfsgrössen!$D$2,FALSE)</f>
        <v>Soziale Engagements / Vergabungen / Spenden</v>
      </c>
      <c r="D24" s="1" t="str">
        <f>VLOOKUP(11,Textbausteine_203[],Hilfsgrössen!$D$2,FALSE)</f>
        <v>Mio. CHF</v>
      </c>
      <c r="F24" s="9" t="s">
        <v>137</v>
      </c>
      <c r="H24" s="220">
        <v>3.65</v>
      </c>
      <c r="I24" s="220">
        <v>3.11</v>
      </c>
      <c r="J24" s="220">
        <v>3.4</v>
      </c>
      <c r="K24" s="220">
        <v>3.43</v>
      </c>
      <c r="L24" s="232">
        <v>3.22</v>
      </c>
      <c r="M24" s="232">
        <v>5</v>
      </c>
      <c r="N24" s="232">
        <v>4.5999999999999996</v>
      </c>
      <c r="O24" s="232">
        <v>6.4</v>
      </c>
      <c r="P24" s="227">
        <v>5.9</v>
      </c>
      <c r="Q24" s="220">
        <v>5.0999999999999996</v>
      </c>
      <c r="R24" s="230">
        <v>4.5999999999999996</v>
      </c>
      <c r="S24" s="230">
        <v>5</v>
      </c>
      <c r="T24" s="232">
        <v>4.5</v>
      </c>
      <c r="U24" s="232">
        <v>0.7</v>
      </c>
      <c r="V24" s="232">
        <v>0.6</v>
      </c>
      <c r="W24" s="232">
        <v>0.7</v>
      </c>
      <c r="X24" s="308">
        <v>0.7</v>
      </c>
      <c r="Y24" s="376">
        <v>0.8</v>
      </c>
      <c r="Z24" s="335"/>
    </row>
    <row r="25" spans="1:83" ht="12.95" customHeight="1" x14ac:dyDescent="0.2">
      <c r="C25" s="13" t="str">
        <f>VLOOKUP(36,Textbausteine_203[],Hilfsgrössen!$D$2,FALSE)</f>
        <v>Spenden an politische Parteien</v>
      </c>
      <c r="D25" s="1" t="str">
        <f>VLOOKUP(11,Textbausteine_203[],Hilfsgrössen!$D$2,FALSE)</f>
        <v>Mio. CHF</v>
      </c>
      <c r="F25" s="9" t="s">
        <v>138</v>
      </c>
      <c r="H25" s="220">
        <v>0</v>
      </c>
      <c r="I25" s="220">
        <v>0</v>
      </c>
      <c r="J25" s="220">
        <v>0</v>
      </c>
      <c r="K25" s="220">
        <v>0</v>
      </c>
      <c r="L25" s="232">
        <v>0</v>
      </c>
      <c r="M25" s="232">
        <v>0</v>
      </c>
      <c r="N25" s="232">
        <v>0</v>
      </c>
      <c r="O25" s="232">
        <v>0</v>
      </c>
      <c r="P25" s="220">
        <v>0</v>
      </c>
      <c r="Q25" s="220">
        <v>0</v>
      </c>
      <c r="R25" s="230">
        <v>0</v>
      </c>
      <c r="S25" s="230">
        <v>0</v>
      </c>
      <c r="T25" s="220">
        <v>0</v>
      </c>
      <c r="U25" s="220">
        <v>0</v>
      </c>
      <c r="V25" s="220">
        <v>0</v>
      </c>
      <c r="W25" s="220">
        <v>0</v>
      </c>
      <c r="X25" s="220">
        <v>0</v>
      </c>
      <c r="Y25" s="376">
        <v>0</v>
      </c>
      <c r="Z25" s="335"/>
    </row>
    <row r="26" spans="1:83" ht="12.95" customHeight="1" x14ac:dyDescent="0.2">
      <c r="C26" s="13" t="str">
        <f>VLOOKUP(37,Textbausteine_203[],Hilfsgrössen!$D$2,FALSE)</f>
        <v>Engagements für die Schweiz</v>
      </c>
      <c r="D26" s="1" t="str">
        <f>VLOOKUP(11,Textbausteine_203[],Hilfsgrössen!$D$2,FALSE)</f>
        <v>Mio. CHF</v>
      </c>
      <c r="H26" s="231" t="s">
        <v>30</v>
      </c>
      <c r="I26" s="231" t="s">
        <v>30</v>
      </c>
      <c r="J26" s="231" t="s">
        <v>30</v>
      </c>
      <c r="K26" s="231" t="s">
        <v>30</v>
      </c>
      <c r="L26" s="227" t="s">
        <v>30</v>
      </c>
      <c r="M26" s="227" t="s">
        <v>30</v>
      </c>
      <c r="N26" s="227" t="s">
        <v>30</v>
      </c>
      <c r="O26" s="227" t="s">
        <v>30</v>
      </c>
      <c r="P26" s="231" t="s">
        <v>30</v>
      </c>
      <c r="Q26" s="231" t="s">
        <v>30</v>
      </c>
      <c r="R26" s="249" t="s">
        <v>30</v>
      </c>
      <c r="S26" s="249" t="s">
        <v>30</v>
      </c>
      <c r="T26" s="231" t="s">
        <v>30</v>
      </c>
      <c r="U26" s="231">
        <v>1.6859999999999999</v>
      </c>
      <c r="V26" s="231">
        <v>1.7</v>
      </c>
      <c r="W26" s="231">
        <v>1.7</v>
      </c>
      <c r="X26" s="288">
        <v>2</v>
      </c>
      <c r="Y26" s="377">
        <v>2</v>
      </c>
      <c r="Z26" s="335"/>
    </row>
    <row r="27" spans="1:83" ht="12.95" customHeight="1" x14ac:dyDescent="0.2">
      <c r="C27" s="13"/>
      <c r="L27" s="11"/>
      <c r="M27" s="11"/>
      <c r="N27" s="11"/>
      <c r="O27" s="11"/>
      <c r="S27" s="99"/>
      <c r="T27" s="9"/>
      <c r="U27" s="9"/>
      <c r="V27" s="9"/>
      <c r="W27" s="9"/>
      <c r="X27" s="9"/>
      <c r="Y27" s="306"/>
    </row>
    <row r="28" spans="1:83" ht="12.95" customHeight="1" x14ac:dyDescent="0.2">
      <c r="C28" s="16" t="str">
        <f>VLOOKUP(31,Textbausteine_203[],Hilfsgrössen!$D$2,FALSE)</f>
        <v>Beiträge</v>
      </c>
      <c r="D28" s="1" t="str">
        <f>VLOOKUP(12,Textbausteine_203[],Hilfsgrössen!$D$2,FALSE)</f>
        <v>%</v>
      </c>
      <c r="F28" s="9" t="s">
        <v>137</v>
      </c>
      <c r="H28" s="9">
        <f t="shared" ref="H28:T28" si="0">IFERROR(H20/H$20*100,"'—")</f>
        <v>100</v>
      </c>
      <c r="I28" s="9">
        <f t="shared" si="0"/>
        <v>100</v>
      </c>
      <c r="J28" s="9">
        <f t="shared" si="0"/>
        <v>100</v>
      </c>
      <c r="K28" s="9">
        <f t="shared" si="0"/>
        <v>100</v>
      </c>
      <c r="L28" s="9">
        <f t="shared" si="0"/>
        <v>100</v>
      </c>
      <c r="M28" s="9">
        <f t="shared" si="0"/>
        <v>100</v>
      </c>
      <c r="N28" s="9">
        <f t="shared" si="0"/>
        <v>100</v>
      </c>
      <c r="O28" s="9">
        <f t="shared" si="0"/>
        <v>100</v>
      </c>
      <c r="P28" s="9">
        <f t="shared" si="0"/>
        <v>100</v>
      </c>
      <c r="Q28" s="9">
        <f t="shared" si="0"/>
        <v>100</v>
      </c>
      <c r="R28" s="9">
        <f t="shared" si="0"/>
        <v>100</v>
      </c>
      <c r="S28" s="9">
        <f t="shared" si="0"/>
        <v>100</v>
      </c>
      <c r="T28" s="9">
        <f t="shared" si="0"/>
        <v>100</v>
      </c>
      <c r="U28" s="9">
        <v>100</v>
      </c>
      <c r="V28" s="9">
        <v>100</v>
      </c>
      <c r="W28" s="9">
        <v>100</v>
      </c>
      <c r="X28" s="9">
        <v>100</v>
      </c>
      <c r="Y28" s="306">
        <v>100</v>
      </c>
      <c r="Z28" s="335"/>
    </row>
    <row r="29" spans="1:83" ht="12.95" customHeight="1" x14ac:dyDescent="0.2">
      <c r="C29" s="13" t="str">
        <f>VLOOKUP(32,Textbausteine_203[],Hilfsgrössen!$D$2,FALSE)</f>
        <v>Wirtschaft</v>
      </c>
      <c r="D29" s="1" t="str">
        <f>VLOOKUP(12,Textbausteine_203[],Hilfsgrössen!$D$2,FALSE)</f>
        <v>%</v>
      </c>
      <c r="E29" s="9">
        <v>1</v>
      </c>
      <c r="F29" s="9" t="s">
        <v>137</v>
      </c>
      <c r="H29" s="304" t="str">
        <f t="shared" ref="H29:R29" si="1">IFERROR(H21/H$20*100,"—")</f>
        <v>—</v>
      </c>
      <c r="I29" s="304" t="str">
        <f t="shared" si="1"/>
        <v>—</v>
      </c>
      <c r="J29" s="304" t="str">
        <f t="shared" si="1"/>
        <v>—</v>
      </c>
      <c r="K29" s="304" t="str">
        <f t="shared" si="1"/>
        <v>—</v>
      </c>
      <c r="L29" s="304" t="str">
        <f t="shared" si="1"/>
        <v>—</v>
      </c>
      <c r="M29" s="304" t="str">
        <f t="shared" si="1"/>
        <v>—</v>
      </c>
      <c r="N29" s="304" t="str">
        <f t="shared" si="1"/>
        <v>—</v>
      </c>
      <c r="O29" s="304" t="str">
        <f t="shared" si="1"/>
        <v>—</v>
      </c>
      <c r="P29" s="304" t="str">
        <f t="shared" si="1"/>
        <v>—</v>
      </c>
      <c r="Q29" s="304" t="str">
        <f t="shared" si="1"/>
        <v>—</v>
      </c>
      <c r="R29" s="304" t="str">
        <f t="shared" si="1"/>
        <v>—</v>
      </c>
      <c r="S29" s="304">
        <f t="shared" ref="S29:T33" si="2">IFERROR(S21/S$20*100,"'—")</f>
        <v>5.0505050505050502</v>
      </c>
      <c r="T29" s="304">
        <f t="shared" si="2"/>
        <v>7.6142131979695442</v>
      </c>
      <c r="U29" s="304">
        <v>10.072243118992178</v>
      </c>
      <c r="V29" s="304">
        <v>8.6999999999999993</v>
      </c>
      <c r="W29" s="304">
        <v>7</v>
      </c>
      <c r="X29" s="308">
        <v>5.4</v>
      </c>
      <c r="Y29" s="376">
        <v>4.9000000000000004</v>
      </c>
      <c r="Z29" s="335"/>
    </row>
    <row r="30" spans="1:83" ht="12.95" customHeight="1" x14ac:dyDescent="0.2">
      <c r="C30" s="13" t="str">
        <f>VLOOKUP(33,Textbausteine_203[],Hilfsgrössen!$D$2,FALSE)</f>
        <v>Sportsponsoring</v>
      </c>
      <c r="D30" s="1" t="str">
        <f>VLOOKUP(12,Textbausteine_203[],Hilfsgrössen!$D$2,FALSE)</f>
        <v>%</v>
      </c>
      <c r="F30" s="9" t="s">
        <v>137</v>
      </c>
      <c r="H30" s="304">
        <f t="shared" ref="H30:R30" si="3">IFERROR(H22/H$20*100,"'—")</f>
        <v>48.711803475134815</v>
      </c>
      <c r="I30" s="304">
        <f t="shared" si="3"/>
        <v>53.781512605042025</v>
      </c>
      <c r="J30" s="304">
        <f t="shared" si="3"/>
        <v>57.853717026378902</v>
      </c>
      <c r="K30" s="304">
        <f t="shared" si="3"/>
        <v>54.6831183398766</v>
      </c>
      <c r="L30" s="304">
        <f t="shared" si="3"/>
        <v>62.810327706057599</v>
      </c>
      <c r="M30" s="304">
        <f t="shared" si="3"/>
        <v>56.521739130434781</v>
      </c>
      <c r="N30" s="304">
        <f t="shared" si="3"/>
        <v>62.10526315789474</v>
      </c>
      <c r="O30" s="304">
        <f t="shared" si="3"/>
        <v>57.004830917874393</v>
      </c>
      <c r="P30" s="304">
        <f t="shared" si="3"/>
        <v>59.203980099502488</v>
      </c>
      <c r="Q30" s="304">
        <f t="shared" si="3"/>
        <v>50.243902439024389</v>
      </c>
      <c r="R30" s="304">
        <f t="shared" si="3"/>
        <v>54.314720812182735</v>
      </c>
      <c r="S30" s="304">
        <f t="shared" si="2"/>
        <v>50</v>
      </c>
      <c r="T30" s="304">
        <f t="shared" si="2"/>
        <v>52.284263959390863</v>
      </c>
      <c r="U30" s="304">
        <v>58.009433399008898</v>
      </c>
      <c r="V30" s="304">
        <v>73.2</v>
      </c>
      <c r="W30" s="304">
        <v>74.400000000000006</v>
      </c>
      <c r="X30" s="308">
        <v>71.400000000000006</v>
      </c>
      <c r="Y30" s="306">
        <v>71.5</v>
      </c>
      <c r="Z30" s="335"/>
    </row>
    <row r="31" spans="1:83" ht="12.95" customHeight="1" x14ac:dyDescent="0.2">
      <c r="C31" s="13" t="str">
        <f>VLOOKUP(34,Textbausteine_203[],Hilfsgrössen!$D$2,FALSE)</f>
        <v>Kultursponsoring</v>
      </c>
      <c r="D31" s="1" t="str">
        <f>VLOOKUP(12,Textbausteine_203[],Hilfsgrössen!$D$2,FALSE)</f>
        <v>%</v>
      </c>
      <c r="F31" s="9" t="s">
        <v>137</v>
      </c>
      <c r="H31" s="304">
        <f t="shared" ref="H31:R31" si="4">IFERROR(H23/H$20*100,"'—")</f>
        <v>29.418813660874775</v>
      </c>
      <c r="I31" s="304">
        <f t="shared" si="4"/>
        <v>28.795518207282917</v>
      </c>
      <c r="J31" s="304">
        <f t="shared" si="4"/>
        <v>21.762589928057555</v>
      </c>
      <c r="K31" s="304">
        <f t="shared" si="4"/>
        <v>26.079641054402693</v>
      </c>
      <c r="L31" s="304">
        <f t="shared" si="4"/>
        <v>21.201588877855013</v>
      </c>
      <c r="M31" s="304">
        <f t="shared" si="4"/>
        <v>19.323671497584542</v>
      </c>
      <c r="N31" s="304">
        <f t="shared" si="4"/>
        <v>13.684210526315791</v>
      </c>
      <c r="O31" s="304">
        <f t="shared" si="4"/>
        <v>12.077294685990337</v>
      </c>
      <c r="P31" s="304">
        <f t="shared" si="4"/>
        <v>11.442786069651739</v>
      </c>
      <c r="Q31" s="304">
        <f t="shared" si="4"/>
        <v>24.878048780487802</v>
      </c>
      <c r="R31" s="304">
        <f t="shared" si="4"/>
        <v>22.335025380710665</v>
      </c>
      <c r="S31" s="304">
        <f t="shared" si="2"/>
        <v>19.696969696969695</v>
      </c>
      <c r="T31" s="304">
        <f t="shared" si="2"/>
        <v>17.258883248730964</v>
      </c>
      <c r="U31" s="304">
        <v>17.672696877425519</v>
      </c>
      <c r="V31" s="304">
        <v>0</v>
      </c>
      <c r="W31" s="304">
        <v>0</v>
      </c>
      <c r="X31" s="308">
        <v>0</v>
      </c>
      <c r="Y31" s="376">
        <v>0.8</v>
      </c>
      <c r="Z31" s="335"/>
    </row>
    <row r="32" spans="1:83" ht="12.95" customHeight="1" x14ac:dyDescent="0.2">
      <c r="C32" s="17" t="str">
        <f>VLOOKUP(35,Textbausteine_203[],Hilfsgrössen!$D$2,FALSE)</f>
        <v>Soziale Engagements / Vergabungen / Spenden</v>
      </c>
      <c r="D32" s="1" t="str">
        <f>VLOOKUP(12,Textbausteine_203[],Hilfsgrössen!$D$2,FALSE)</f>
        <v>%</v>
      </c>
      <c r="F32" s="9" t="s">
        <v>137</v>
      </c>
      <c r="H32" s="304">
        <f t="shared" ref="H32:R32" si="5">IFERROR(H24/H$20*100,"'—")</f>
        <v>21.86938286399041</v>
      </c>
      <c r="I32" s="304">
        <f t="shared" si="5"/>
        <v>17.422969187675072</v>
      </c>
      <c r="J32" s="304">
        <f t="shared" si="5"/>
        <v>20.38369304556355</v>
      </c>
      <c r="K32" s="304">
        <f t="shared" si="5"/>
        <v>19.237240605720697</v>
      </c>
      <c r="L32" s="304">
        <f t="shared" si="5"/>
        <v>15.98808341608739</v>
      </c>
      <c r="M32" s="304">
        <f t="shared" si="5"/>
        <v>24.154589371980677</v>
      </c>
      <c r="N32" s="304">
        <f t="shared" si="5"/>
        <v>24.210526315789473</v>
      </c>
      <c r="O32" s="304">
        <f t="shared" si="5"/>
        <v>30.917874396135264</v>
      </c>
      <c r="P32" s="304">
        <f t="shared" si="5"/>
        <v>29.35323383084577</v>
      </c>
      <c r="Q32" s="304">
        <f t="shared" si="5"/>
        <v>24.878048780487802</v>
      </c>
      <c r="R32" s="304">
        <f t="shared" si="5"/>
        <v>23.350253807106597</v>
      </c>
      <c r="S32" s="304">
        <f t="shared" si="2"/>
        <v>25.252525252525253</v>
      </c>
      <c r="T32" s="304">
        <f t="shared" si="2"/>
        <v>22.842639593908633</v>
      </c>
      <c r="U32" s="304">
        <v>4.1793539912830617</v>
      </c>
      <c r="V32" s="304">
        <v>4.9000000000000004</v>
      </c>
      <c r="W32" s="304">
        <v>5.4</v>
      </c>
      <c r="X32" s="308">
        <v>6</v>
      </c>
      <c r="Y32" s="376">
        <v>6.5</v>
      </c>
      <c r="Z32" s="335"/>
    </row>
    <row r="33" spans="1:83" ht="12.95" customHeight="1" x14ac:dyDescent="0.2">
      <c r="C33" s="13" t="str">
        <f>VLOOKUP(36,Textbausteine_203[],Hilfsgrössen!$D$2,FALSE)</f>
        <v>Spenden an politische Parteien</v>
      </c>
      <c r="D33" s="1" t="str">
        <f>VLOOKUP(12,Textbausteine_203[],Hilfsgrössen!$D$2,FALSE)</f>
        <v>%</v>
      </c>
      <c r="F33" s="9" t="s">
        <v>138</v>
      </c>
      <c r="H33" s="304">
        <f t="shared" ref="H33:R33" si="6">IFERROR(H25/H$20*100,"'—")</f>
        <v>0</v>
      </c>
      <c r="I33" s="304">
        <f t="shared" si="6"/>
        <v>0</v>
      </c>
      <c r="J33" s="304">
        <f t="shared" si="6"/>
        <v>0</v>
      </c>
      <c r="K33" s="304">
        <f t="shared" si="6"/>
        <v>0</v>
      </c>
      <c r="L33" s="304">
        <f t="shared" si="6"/>
        <v>0</v>
      </c>
      <c r="M33" s="304">
        <f t="shared" si="6"/>
        <v>0</v>
      </c>
      <c r="N33" s="304">
        <f t="shared" si="6"/>
        <v>0</v>
      </c>
      <c r="O33" s="304">
        <f t="shared" si="6"/>
        <v>0</v>
      </c>
      <c r="P33" s="304">
        <f t="shared" si="6"/>
        <v>0</v>
      </c>
      <c r="Q33" s="304">
        <f t="shared" si="6"/>
        <v>0</v>
      </c>
      <c r="R33" s="304">
        <f t="shared" si="6"/>
        <v>0</v>
      </c>
      <c r="S33" s="304">
        <f t="shared" si="2"/>
        <v>0</v>
      </c>
      <c r="T33" s="304">
        <f t="shared" si="2"/>
        <v>0</v>
      </c>
      <c r="U33" s="304">
        <v>0</v>
      </c>
      <c r="V33" s="304">
        <v>0</v>
      </c>
      <c r="W33" s="304">
        <v>0</v>
      </c>
      <c r="X33" s="308">
        <v>0</v>
      </c>
      <c r="Y33" s="376">
        <v>0</v>
      </c>
      <c r="Z33" s="335"/>
    </row>
    <row r="34" spans="1:83" ht="12.95" customHeight="1" x14ac:dyDescent="0.2">
      <c r="C34" s="13" t="str">
        <f>VLOOKUP(37,Textbausteine_203[],Hilfsgrössen!$D$2,FALSE)</f>
        <v>Engagements für die Schweiz</v>
      </c>
      <c r="D34" s="1" t="str">
        <f>VLOOKUP(12,Textbausteine_203[],Hilfsgrössen!$D$2,FALSE)</f>
        <v>%</v>
      </c>
      <c r="H34" s="201" t="s">
        <v>30</v>
      </c>
      <c r="I34" s="201" t="s">
        <v>30</v>
      </c>
      <c r="J34" s="201" t="s">
        <v>30</v>
      </c>
      <c r="K34" s="201" t="s">
        <v>30</v>
      </c>
      <c r="L34" s="201" t="s">
        <v>30</v>
      </c>
      <c r="M34" s="201" t="s">
        <v>30</v>
      </c>
      <c r="N34" s="201" t="s">
        <v>30</v>
      </c>
      <c r="O34" s="201" t="s">
        <v>30</v>
      </c>
      <c r="P34" s="201" t="s">
        <v>30</v>
      </c>
      <c r="Q34" s="201" t="s">
        <v>30</v>
      </c>
      <c r="R34" s="201" t="s">
        <v>30</v>
      </c>
      <c r="S34" s="201" t="s">
        <v>30</v>
      </c>
      <c r="T34" s="201" t="s">
        <v>30</v>
      </c>
      <c r="U34" s="201">
        <v>10.066272613290346</v>
      </c>
      <c r="V34" s="201">
        <v>13.2</v>
      </c>
      <c r="W34" s="201">
        <v>13.2</v>
      </c>
      <c r="X34" s="308">
        <v>17.2</v>
      </c>
      <c r="Y34" s="306">
        <v>16.326530612244898</v>
      </c>
      <c r="Z34" s="335"/>
    </row>
    <row r="35" spans="1:83" ht="12.95" customHeight="1" x14ac:dyDescent="0.2">
      <c r="T35" s="9"/>
      <c r="U35" s="9"/>
      <c r="V35" s="9"/>
      <c r="W35" s="9"/>
      <c r="X35" s="9"/>
      <c r="Y35" s="9"/>
    </row>
    <row r="36" spans="1:83" ht="12.95" customHeight="1" x14ac:dyDescent="0.25">
      <c r="B36" s="18" t="str">
        <f>VLOOKUP(201,Textbausteine_203[],Hilfsgrössen!$D$2,FALSE)</f>
        <v>1) Ab 1.1.2015 ist das Wirtschaftssponsoring expliziter Bestandteil des Sponsoring der Schweizerischen Post.</v>
      </c>
      <c r="T36" s="9"/>
      <c r="U36" s="9"/>
      <c r="V36" s="9"/>
      <c r="W36" s="9"/>
      <c r="X36" s="9"/>
      <c r="Y36" s="9"/>
    </row>
    <row r="37" spans="1:83" ht="12.95" customHeight="1" x14ac:dyDescent="0.2">
      <c r="A37" s="47"/>
      <c r="E37" s="29"/>
      <c r="F37" s="29"/>
      <c r="G37" s="35"/>
      <c r="N37" s="11"/>
      <c r="T37" s="9"/>
      <c r="U37" s="9"/>
      <c r="V37" s="9"/>
      <c r="W37" s="9"/>
      <c r="X37" s="9"/>
      <c r="Y37" s="9"/>
    </row>
    <row r="38" spans="1:83" ht="12.95" customHeight="1" x14ac:dyDescent="0.25">
      <c r="A38" s="47"/>
      <c r="E38" s="30"/>
      <c r="F38" s="30"/>
      <c r="G38" s="35"/>
      <c r="N38" s="11"/>
      <c r="T38" s="9"/>
      <c r="U38" s="9"/>
      <c r="V38" s="9"/>
      <c r="W38" s="9"/>
      <c r="X38" s="9"/>
      <c r="Y38" s="9"/>
    </row>
    <row r="39" spans="1:83" s="6" customFormat="1" ht="12.95" customHeight="1" x14ac:dyDescent="0.25">
      <c r="A39" s="39" t="s">
        <v>27</v>
      </c>
      <c r="B39" s="401" t="str">
        <f>$C$8</f>
        <v>Zugangspunkte</v>
      </c>
      <c r="C39" s="401"/>
      <c r="D39" s="6" t="str">
        <f>VLOOKUP(32,Textbausteine_Menu[],Hilfsgrössen!$D$2,FALSE)</f>
        <v>Einheit</v>
      </c>
      <c r="E39" s="28" t="str">
        <f>VLOOKUP(33,Textbausteine_Menu[],Hilfsgrössen!$D$2,FALSE)</f>
        <v>Fussnoten</v>
      </c>
      <c r="F39" s="28" t="str">
        <f>VLOOKUP(34,Textbausteine_Menu[],Hilfsgrössen!$D$2,FALSE)</f>
        <v>GRI</v>
      </c>
      <c r="G39" s="36"/>
      <c r="H39" s="7">
        <v>2004</v>
      </c>
      <c r="I39" s="7">
        <v>2005</v>
      </c>
      <c r="J39" s="7">
        <v>2006</v>
      </c>
      <c r="K39" s="7">
        <v>2007</v>
      </c>
      <c r="L39" s="7">
        <v>2008</v>
      </c>
      <c r="M39" s="7">
        <v>2009</v>
      </c>
      <c r="N39" s="7">
        <v>2010</v>
      </c>
      <c r="O39" s="7">
        <v>2011</v>
      </c>
      <c r="P39" s="7">
        <v>2012</v>
      </c>
      <c r="Q39" s="7">
        <v>2013</v>
      </c>
      <c r="R39" s="7">
        <v>2014</v>
      </c>
      <c r="S39" s="7">
        <v>2015</v>
      </c>
      <c r="T39" s="7">
        <v>2016</v>
      </c>
      <c r="U39" s="7">
        <v>2017</v>
      </c>
      <c r="V39" s="7">
        <v>2018</v>
      </c>
      <c r="W39" s="7">
        <v>2019</v>
      </c>
      <c r="X39" s="7">
        <v>2020</v>
      </c>
      <c r="Y39" s="149">
        <v>2021</v>
      </c>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row>
    <row r="40" spans="1:83" s="6" customFormat="1" ht="12.95" customHeight="1" x14ac:dyDescent="0.2">
      <c r="A40" s="38"/>
      <c r="B40" s="401"/>
      <c r="C40" s="401"/>
      <c r="E40" s="9"/>
      <c r="F40" s="9"/>
      <c r="G40" s="34"/>
      <c r="H40" s="7"/>
      <c r="I40" s="7"/>
      <c r="J40" s="7"/>
      <c r="K40" s="7"/>
      <c r="L40" s="68"/>
      <c r="M40" s="68"/>
      <c r="N40" s="9"/>
      <c r="O40" s="9"/>
      <c r="P40" s="9"/>
      <c r="Q40" s="9"/>
      <c r="R40" s="9"/>
      <c r="S40" s="9"/>
      <c r="T40" s="11"/>
      <c r="U40" s="11"/>
      <c r="V40" s="11"/>
      <c r="W40" s="11"/>
      <c r="X40" s="11"/>
      <c r="Y40" s="315"/>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row>
    <row r="41" spans="1:83" ht="12.95" customHeight="1" x14ac:dyDescent="0.2">
      <c r="A41" s="47"/>
      <c r="B41" s="2"/>
      <c r="E41" s="28"/>
      <c r="F41" s="28"/>
      <c r="H41" s="7"/>
      <c r="I41" s="7"/>
      <c r="J41" s="7"/>
      <c r="K41" s="7"/>
      <c r="L41" s="68"/>
      <c r="M41" s="68"/>
      <c r="Y41" s="315"/>
    </row>
    <row r="42" spans="1:83" ht="12.95" customHeight="1" x14ac:dyDescent="0.2">
      <c r="A42" s="47"/>
      <c r="B42" s="2" t="str">
        <f>VLOOKUP(37,Textbausteine_Menu[],Hilfsgrössen!$D$2,FALSE)</f>
        <v>Konzern Schweiz</v>
      </c>
      <c r="C42" s="2"/>
      <c r="E42" s="28"/>
      <c r="F42" s="28"/>
      <c r="Y42" s="315"/>
    </row>
    <row r="43" spans="1:83" ht="12.95" customHeight="1" x14ac:dyDescent="0.2">
      <c r="A43" s="47"/>
      <c r="B43" s="2"/>
      <c r="C43" s="116" t="str">
        <f>VLOOKUP(41,Textbausteine_203[],Hilfsgrössen!$D$2,FALSE)</f>
        <v>Filialen</v>
      </c>
      <c r="D43" s="1" t="str">
        <f>VLOOKUP(13,Textbausteine_203[],Hilfsgrössen!$D$2,FALSE)</f>
        <v>Anzahl</v>
      </c>
      <c r="E43" s="28"/>
      <c r="F43" s="9" t="s">
        <v>137</v>
      </c>
      <c r="H43" s="102" t="s">
        <v>30</v>
      </c>
      <c r="I43" s="9">
        <v>2389</v>
      </c>
      <c r="J43" s="9">
        <v>2357</v>
      </c>
      <c r="K43" s="9">
        <v>2312</v>
      </c>
      <c r="L43" s="9">
        <v>2195</v>
      </c>
      <c r="M43" s="9">
        <v>2060</v>
      </c>
      <c r="N43" s="9">
        <v>1950</v>
      </c>
      <c r="O43" s="9">
        <v>1846</v>
      </c>
      <c r="P43" s="9">
        <v>1752</v>
      </c>
      <c r="Q43" s="9">
        <v>1657</v>
      </c>
      <c r="R43" s="9">
        <v>1557</v>
      </c>
      <c r="S43" s="9">
        <v>1459</v>
      </c>
      <c r="T43" s="11">
        <v>1323</v>
      </c>
      <c r="U43" s="11">
        <v>1189</v>
      </c>
      <c r="V43" s="11">
        <v>1078</v>
      </c>
      <c r="W43" s="11">
        <v>981</v>
      </c>
      <c r="X43" s="11">
        <v>904</v>
      </c>
      <c r="Y43" s="315">
        <v>805</v>
      </c>
      <c r="Z43" s="335"/>
    </row>
    <row r="44" spans="1:83" ht="12.95" customHeight="1" x14ac:dyDescent="0.2">
      <c r="A44" s="47"/>
      <c r="B44" s="2"/>
      <c r="C44" s="116" t="str">
        <f>VLOOKUP(42,Textbausteine_203[],Hilfsgrössen!$D$2,FALSE)</f>
        <v>Filialen mit Partner</v>
      </c>
      <c r="D44" s="1" t="str">
        <f>VLOOKUP(13,Textbausteine_203[],Hilfsgrössen!$D$2,FALSE)</f>
        <v>Anzahl</v>
      </c>
      <c r="E44" s="28"/>
      <c r="F44" s="9" t="s">
        <v>137</v>
      </c>
      <c r="H44" s="102" t="s">
        <v>30</v>
      </c>
      <c r="I44" s="9">
        <v>135</v>
      </c>
      <c r="J44" s="9">
        <v>129</v>
      </c>
      <c r="K44" s="9">
        <v>150</v>
      </c>
      <c r="L44" s="9">
        <v>208</v>
      </c>
      <c r="M44" s="9">
        <v>283</v>
      </c>
      <c r="N44" s="9">
        <v>358</v>
      </c>
      <c r="O44" s="9">
        <v>427</v>
      </c>
      <c r="P44" s="9">
        <v>497</v>
      </c>
      <c r="Q44" s="9">
        <v>569</v>
      </c>
      <c r="R44" s="9">
        <v>660</v>
      </c>
      <c r="S44" s="9">
        <v>735</v>
      </c>
      <c r="T44" s="11">
        <v>849</v>
      </c>
      <c r="U44" s="11">
        <v>968</v>
      </c>
      <c r="V44" s="11">
        <v>1061</v>
      </c>
      <c r="W44" s="11">
        <v>1136</v>
      </c>
      <c r="X44" s="11">
        <v>1194</v>
      </c>
      <c r="Y44" s="315">
        <v>1251</v>
      </c>
      <c r="Z44" s="335"/>
    </row>
    <row r="45" spans="1:83" ht="12.95" customHeight="1" x14ac:dyDescent="0.2">
      <c r="C45" s="116" t="str">
        <f>VLOOKUP(43,Textbausteine_203[],Hilfsgrössen!$D$2,FALSE)</f>
        <v>Hausservice</v>
      </c>
      <c r="D45" s="1" t="str">
        <f>VLOOKUP(14,Textbausteine_203[],Hilfsgrössen!$D$2,FALSE)</f>
        <v>Orte</v>
      </c>
      <c r="E45" s="16">
        <v>1</v>
      </c>
      <c r="F45" s="9" t="s">
        <v>137</v>
      </c>
      <c r="H45" s="102" t="s">
        <v>30</v>
      </c>
      <c r="I45" s="9">
        <v>991</v>
      </c>
      <c r="J45" s="9">
        <v>1023</v>
      </c>
      <c r="K45" s="9">
        <v>1043</v>
      </c>
      <c r="L45" s="9">
        <v>1097</v>
      </c>
      <c r="M45" s="9">
        <v>1154</v>
      </c>
      <c r="N45" s="9">
        <v>1192</v>
      </c>
      <c r="O45" s="9">
        <v>1226</v>
      </c>
      <c r="P45" s="9">
        <v>1251</v>
      </c>
      <c r="Q45" s="9">
        <v>1269</v>
      </c>
      <c r="R45" s="9">
        <v>1278</v>
      </c>
      <c r="S45" s="9">
        <v>1295</v>
      </c>
      <c r="T45" s="11">
        <v>1710</v>
      </c>
      <c r="U45" s="11">
        <v>1717</v>
      </c>
      <c r="V45" s="11">
        <v>1732</v>
      </c>
      <c r="W45" s="11">
        <v>1775</v>
      </c>
      <c r="X45" s="11">
        <v>1797</v>
      </c>
      <c r="Y45" s="315">
        <v>1847</v>
      </c>
      <c r="Z45" s="335"/>
    </row>
    <row r="46" spans="1:83" ht="12.95" customHeight="1" x14ac:dyDescent="0.2">
      <c r="C46" s="116" t="str">
        <f>VLOOKUP(44,Textbausteine_203[],Hilfsgrössen!$D$2,FALSE)</f>
        <v>Aufgabe- und Abholstellen</v>
      </c>
      <c r="D46" s="1" t="str">
        <f>VLOOKUP(13,Textbausteine_203[],Hilfsgrössen!$D$2,FALSE)</f>
        <v>Anzahl</v>
      </c>
      <c r="E46" s="16"/>
      <c r="F46" s="9" t="s">
        <v>137</v>
      </c>
      <c r="H46" s="102" t="s">
        <v>30</v>
      </c>
      <c r="I46" s="15">
        <v>37</v>
      </c>
      <c r="J46" s="15">
        <v>70</v>
      </c>
      <c r="K46" s="15">
        <v>71</v>
      </c>
      <c r="L46" s="15">
        <v>100</v>
      </c>
      <c r="M46" s="15">
        <v>105</v>
      </c>
      <c r="N46" s="15">
        <v>107</v>
      </c>
      <c r="O46" s="15">
        <v>103</v>
      </c>
      <c r="P46" s="15">
        <v>102</v>
      </c>
      <c r="Q46" s="15">
        <v>99</v>
      </c>
      <c r="R46" s="15">
        <v>99</v>
      </c>
      <c r="S46" s="15">
        <v>102</v>
      </c>
      <c r="T46" s="12">
        <v>208</v>
      </c>
      <c r="U46" s="12">
        <v>200</v>
      </c>
      <c r="V46" s="12">
        <v>197</v>
      </c>
      <c r="W46" s="12">
        <v>572</v>
      </c>
      <c r="X46" s="12">
        <v>502</v>
      </c>
      <c r="Y46" s="315">
        <v>528</v>
      </c>
      <c r="Z46" s="335"/>
    </row>
    <row r="47" spans="1:83" ht="12.95" customHeight="1" x14ac:dyDescent="0.2">
      <c r="C47" s="116" t="str">
        <f>VLOOKUP(45,Textbausteine_203[],Hilfsgrössen!$D$2,FALSE)</f>
        <v>My Post 24-Automaten</v>
      </c>
      <c r="D47" s="1" t="str">
        <f>VLOOKUP(13,Textbausteine_203[],Hilfsgrössen!$D$2,FALSE)</f>
        <v>Anzahl</v>
      </c>
      <c r="E47" s="16"/>
      <c r="F47" s="9" t="s">
        <v>137</v>
      </c>
      <c r="H47" s="102" t="s">
        <v>30</v>
      </c>
      <c r="I47" s="246" t="s">
        <v>30</v>
      </c>
      <c r="J47" s="246" t="s">
        <v>30</v>
      </c>
      <c r="K47" s="246" t="s">
        <v>30</v>
      </c>
      <c r="L47" s="246" t="s">
        <v>30</v>
      </c>
      <c r="M47" s="246" t="s">
        <v>30</v>
      </c>
      <c r="N47" s="246" t="s">
        <v>30</v>
      </c>
      <c r="O47" s="246" t="s">
        <v>30</v>
      </c>
      <c r="P47" s="246" t="s">
        <v>30</v>
      </c>
      <c r="Q47" s="246" t="s">
        <v>30</v>
      </c>
      <c r="R47" s="15">
        <v>29</v>
      </c>
      <c r="S47" s="15">
        <v>55</v>
      </c>
      <c r="T47" s="12">
        <v>80</v>
      </c>
      <c r="U47" s="12">
        <v>92</v>
      </c>
      <c r="V47" s="12">
        <v>111</v>
      </c>
      <c r="W47" s="12">
        <v>155</v>
      </c>
      <c r="X47" s="12">
        <v>183</v>
      </c>
      <c r="Y47" s="315">
        <v>199</v>
      </c>
      <c r="Z47" s="335"/>
    </row>
    <row r="48" spans="1:83" ht="12.95" customHeight="1" x14ac:dyDescent="0.2">
      <c r="C48" s="116" t="str">
        <f>VLOOKUP(46,Textbausteine_203[],Hilfsgrössen!$D$2,FALSE)</f>
        <v>Geschäftskundenstellen</v>
      </c>
      <c r="D48" s="1" t="str">
        <f>VLOOKUP(13,Textbausteine_203[],Hilfsgrössen!$D$2,FALSE)</f>
        <v>Anzahl</v>
      </c>
      <c r="E48" s="16">
        <v>2</v>
      </c>
      <c r="F48" s="9" t="s">
        <v>137</v>
      </c>
      <c r="H48" s="102" t="s">
        <v>30</v>
      </c>
      <c r="I48" s="246" t="s">
        <v>30</v>
      </c>
      <c r="J48" s="246" t="s">
        <v>30</v>
      </c>
      <c r="K48" s="246" t="s">
        <v>30</v>
      </c>
      <c r="L48" s="246" t="s">
        <v>30</v>
      </c>
      <c r="M48" s="246" t="s">
        <v>30</v>
      </c>
      <c r="N48" s="246" t="s">
        <v>30</v>
      </c>
      <c r="O48" s="246" t="s">
        <v>30</v>
      </c>
      <c r="P48" s="246" t="s">
        <v>30</v>
      </c>
      <c r="Q48" s="15">
        <v>6</v>
      </c>
      <c r="R48" s="15">
        <v>13</v>
      </c>
      <c r="S48" s="15">
        <v>22</v>
      </c>
      <c r="T48" s="12">
        <v>29</v>
      </c>
      <c r="U48" s="12">
        <v>92</v>
      </c>
      <c r="V48" s="12">
        <v>115</v>
      </c>
      <c r="W48" s="12">
        <v>134</v>
      </c>
      <c r="X48" s="12">
        <v>162</v>
      </c>
      <c r="Y48" s="315">
        <v>185</v>
      </c>
      <c r="Z48" s="335"/>
    </row>
    <row r="49" spans="1:83" ht="12.95" customHeight="1" x14ac:dyDescent="0.2">
      <c r="C49" s="116"/>
      <c r="E49" s="16"/>
      <c r="H49" s="102"/>
      <c r="Y49" s="315"/>
    </row>
    <row r="50" spans="1:83" ht="12.95" customHeight="1" x14ac:dyDescent="0.2">
      <c r="B50" s="6" t="str">
        <f>VLOOKUP(49,Textbausteine_Menu[],Hilfsgrössen!$D$2,FALSE)</f>
        <v>PostFinance</v>
      </c>
      <c r="C50" s="116"/>
      <c r="E50" s="16"/>
      <c r="H50" s="102"/>
      <c r="Y50" s="315"/>
    </row>
    <row r="51" spans="1:83" ht="12.95" customHeight="1" x14ac:dyDescent="0.2">
      <c r="C51" s="116" t="str">
        <f>VLOOKUP(47,Textbausteine_203[],Hilfsgrössen!$D$2,FALSE)</f>
        <v>PostFinance-Filialen</v>
      </c>
      <c r="D51" s="1" t="str">
        <f>VLOOKUP(13,Textbausteine_203[],Hilfsgrössen!$D$2,FALSE)</f>
        <v>Anzahl</v>
      </c>
      <c r="E51" s="16"/>
      <c r="F51" s="9" t="s">
        <v>137</v>
      </c>
      <c r="H51" s="246" t="s">
        <v>30</v>
      </c>
      <c r="I51" s="246" t="s">
        <v>30</v>
      </c>
      <c r="J51" s="15">
        <v>28</v>
      </c>
      <c r="K51" s="15">
        <v>29</v>
      </c>
      <c r="L51" s="15">
        <v>32</v>
      </c>
      <c r="M51" s="15">
        <v>38</v>
      </c>
      <c r="N51" s="15">
        <v>40</v>
      </c>
      <c r="O51" s="15">
        <v>44</v>
      </c>
      <c r="P51" s="15">
        <v>45</v>
      </c>
      <c r="Q51" s="15">
        <v>45</v>
      </c>
      <c r="R51" s="15">
        <v>44</v>
      </c>
      <c r="S51" s="15">
        <v>43</v>
      </c>
      <c r="T51" s="12">
        <v>43</v>
      </c>
      <c r="U51" s="12">
        <v>39</v>
      </c>
      <c r="V51" s="12">
        <v>39</v>
      </c>
      <c r="W51" s="12">
        <v>38</v>
      </c>
      <c r="X51" s="12">
        <v>38</v>
      </c>
      <c r="Y51" s="370">
        <v>34</v>
      </c>
    </row>
    <row r="52" spans="1:83" ht="12.95" customHeight="1" x14ac:dyDescent="0.2">
      <c r="C52" s="4" t="str">
        <f>VLOOKUP(48,Textbausteine_203[],Hilfsgrössen!$D$2,FALSE)</f>
        <v>Postomaten</v>
      </c>
      <c r="D52" s="1" t="str">
        <f>VLOOKUP(13,Textbausteine_203[],Hilfsgrössen!$D$2,FALSE)</f>
        <v>Anzahl</v>
      </c>
      <c r="E52" s="16"/>
      <c r="F52" s="9" t="s">
        <v>137</v>
      </c>
      <c r="H52" s="102" t="s">
        <v>30</v>
      </c>
      <c r="I52" s="102" t="s">
        <v>30</v>
      </c>
      <c r="J52" s="9">
        <v>732</v>
      </c>
      <c r="K52" s="9">
        <v>749</v>
      </c>
      <c r="L52" s="9">
        <v>774</v>
      </c>
      <c r="M52" s="9">
        <v>819</v>
      </c>
      <c r="N52" s="9">
        <v>858</v>
      </c>
      <c r="O52" s="9">
        <v>933</v>
      </c>
      <c r="P52" s="9">
        <v>971</v>
      </c>
      <c r="Q52" s="9">
        <v>982</v>
      </c>
      <c r="R52" s="9">
        <v>985</v>
      </c>
      <c r="S52" s="9">
        <v>995</v>
      </c>
      <c r="T52" s="11">
        <v>1004</v>
      </c>
      <c r="U52" s="11">
        <v>999</v>
      </c>
      <c r="V52" s="11">
        <v>984</v>
      </c>
      <c r="W52" s="11">
        <v>975</v>
      </c>
      <c r="X52" s="11">
        <v>961</v>
      </c>
      <c r="Y52" s="315">
        <v>888</v>
      </c>
      <c r="Z52" s="335"/>
    </row>
    <row r="53" spans="1:83" ht="12.95" customHeight="1" x14ac:dyDescent="0.25">
      <c r="B53" s="18"/>
      <c r="G53" s="303"/>
      <c r="T53" s="9"/>
      <c r="U53" s="9"/>
      <c r="V53" s="9"/>
      <c r="W53" s="9"/>
      <c r="X53" s="9"/>
      <c r="Y53" s="9"/>
    </row>
    <row r="54" spans="1:83" ht="12.95" customHeight="1" x14ac:dyDescent="0.25">
      <c r="B54" s="18" t="str">
        <f>VLOOKUP(204,Textbausteine_203[],Hilfsgrössen!$D$2,FALSE)</f>
        <v>1) Die Berechnungsmethode zur Ermittlung der Anzahl Orte mit Hausservice wurde 2019 angepasst. Die Werte 2016 - 2018 wurden vergleichbar gemacht.</v>
      </c>
      <c r="G54" s="303"/>
      <c r="T54" s="9"/>
      <c r="U54" s="9"/>
      <c r="V54" s="9"/>
      <c r="W54" s="9"/>
      <c r="X54" s="9"/>
      <c r="Y54" s="9"/>
      <c r="Z54" s="335"/>
    </row>
    <row r="55" spans="1:83" ht="12.95" customHeight="1" x14ac:dyDescent="0.25">
      <c r="B55" s="18" t="str">
        <f>VLOOKUP(205,Textbausteine_203[],Hilfsgrössen!$D$2,FALSE)</f>
        <v>2) Ab 2017 werden bei den Geschäftskundenstellen auch die von PostMail und PostLogistics mitberücksichtigt.</v>
      </c>
      <c r="G55" s="303"/>
      <c r="T55" s="9"/>
      <c r="U55" s="9"/>
      <c r="V55" s="9"/>
      <c r="W55" s="9"/>
      <c r="X55" s="9"/>
      <c r="Y55" s="9"/>
      <c r="Z55" s="335"/>
    </row>
    <row r="56" spans="1:83" ht="12.95" customHeight="1" x14ac:dyDescent="0.2">
      <c r="T56" s="9"/>
      <c r="U56" s="9"/>
      <c r="V56" s="9"/>
      <c r="W56" s="9"/>
      <c r="X56" s="9"/>
      <c r="Y56" s="9"/>
    </row>
    <row r="57" spans="1:83" ht="12.95" customHeight="1" x14ac:dyDescent="0.2">
      <c r="T57" s="9"/>
      <c r="U57" s="9"/>
      <c r="V57" s="9"/>
      <c r="W57" s="9"/>
      <c r="X57" s="9"/>
      <c r="Y57" s="9"/>
    </row>
    <row r="58" spans="1:83" s="6" customFormat="1" ht="12.95" customHeight="1" x14ac:dyDescent="0.25">
      <c r="A58" s="39" t="s">
        <v>27</v>
      </c>
      <c r="B58" s="401" t="str">
        <f>$C$9</f>
        <v>Arbeitsplätze in den Regionen</v>
      </c>
      <c r="C58" s="401"/>
      <c r="D58" s="6" t="str">
        <f>VLOOKUP(32,Textbausteine_Menu[],Hilfsgrössen!$D$2,FALSE)</f>
        <v>Einheit</v>
      </c>
      <c r="E58" s="28" t="str">
        <f>VLOOKUP(33,Textbausteine_Menu[],Hilfsgrössen!$D$2,FALSE)</f>
        <v>Fussnoten</v>
      </c>
      <c r="F58" s="28" t="str">
        <f>VLOOKUP(34,Textbausteine_Menu[],Hilfsgrössen!$D$2,FALSE)</f>
        <v>GRI</v>
      </c>
      <c r="G58" s="36"/>
      <c r="H58" s="7">
        <v>2004</v>
      </c>
      <c r="I58" s="7">
        <v>2005</v>
      </c>
      <c r="J58" s="7">
        <v>2006</v>
      </c>
      <c r="K58" s="7">
        <v>2007</v>
      </c>
      <c r="L58" s="7">
        <v>2008</v>
      </c>
      <c r="M58" s="7">
        <v>2009</v>
      </c>
      <c r="N58" s="7">
        <v>2010</v>
      </c>
      <c r="O58" s="7">
        <v>2011</v>
      </c>
      <c r="P58" s="7">
        <v>2012</v>
      </c>
      <c r="Q58" s="7">
        <v>2013</v>
      </c>
      <c r="R58" s="7">
        <v>2014</v>
      </c>
      <c r="S58" s="7">
        <v>2015</v>
      </c>
      <c r="T58" s="7">
        <v>2016</v>
      </c>
      <c r="U58" s="7">
        <v>2017</v>
      </c>
      <c r="V58" s="7">
        <v>2018</v>
      </c>
      <c r="W58" s="7">
        <v>2019</v>
      </c>
      <c r="X58" s="7">
        <v>2020</v>
      </c>
      <c r="Y58" s="149">
        <v>2021</v>
      </c>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row>
    <row r="59" spans="1:83" s="6" customFormat="1" ht="12.95" customHeight="1" x14ac:dyDescent="0.2">
      <c r="A59" s="38"/>
      <c r="B59" s="401"/>
      <c r="C59" s="401"/>
      <c r="E59" s="9"/>
      <c r="F59" s="9"/>
      <c r="G59" s="34"/>
      <c r="H59" s="7"/>
      <c r="I59" s="7"/>
      <c r="J59" s="7"/>
      <c r="K59" s="7"/>
      <c r="L59" s="68"/>
      <c r="M59" s="68"/>
      <c r="N59" s="9"/>
      <c r="O59" s="9"/>
      <c r="P59" s="9"/>
      <c r="Q59" s="9"/>
      <c r="R59" s="9"/>
      <c r="S59" s="9"/>
      <c r="T59" s="11"/>
      <c r="U59" s="11"/>
      <c r="V59" s="11"/>
      <c r="W59" s="11"/>
      <c r="X59" s="11"/>
      <c r="Y59" s="315"/>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9"/>
      <c r="BZ59" s="9"/>
      <c r="CA59" s="9"/>
      <c r="CB59" s="9"/>
      <c r="CC59" s="9"/>
      <c r="CD59" s="9"/>
      <c r="CE59" s="9"/>
    </row>
    <row r="60" spans="1:83" ht="12.95" customHeight="1" x14ac:dyDescent="0.2">
      <c r="A60" s="47"/>
      <c r="B60" s="2"/>
      <c r="E60" s="28"/>
      <c r="F60" s="28"/>
      <c r="H60" s="7"/>
      <c r="I60" s="7"/>
      <c r="J60" s="7"/>
      <c r="K60" s="7"/>
      <c r="L60" s="68"/>
      <c r="M60" s="68"/>
      <c r="Y60" s="315"/>
    </row>
    <row r="61" spans="1:83" ht="12.95" customHeight="1" x14ac:dyDescent="0.2">
      <c r="A61" s="47"/>
      <c r="B61" s="2" t="str">
        <f>VLOOKUP(37,Textbausteine_Menu[],Hilfsgrössen!$D$2,FALSE)</f>
        <v>Konzern Schweiz</v>
      </c>
      <c r="E61" s="28"/>
      <c r="F61" s="28"/>
      <c r="H61" s="7"/>
      <c r="I61" s="7"/>
      <c r="J61" s="7"/>
      <c r="K61" s="7"/>
      <c r="L61" s="68"/>
      <c r="M61" s="68"/>
      <c r="Y61" s="315"/>
    </row>
    <row r="62" spans="1:83" ht="12.95" customHeight="1" x14ac:dyDescent="0.2">
      <c r="A62" s="47"/>
      <c r="B62" s="94"/>
      <c r="C62" s="2" t="str">
        <f>VLOOKUP(61,Textbausteine_203[],Hilfsgrössen!$D$2,FALSE)</f>
        <v>Arbeitsplätze nach Kantonen</v>
      </c>
      <c r="E62" s="28"/>
      <c r="F62" s="28"/>
      <c r="Y62" s="315"/>
    </row>
    <row r="63" spans="1:83" ht="12.95" customHeight="1" x14ac:dyDescent="0.2">
      <c r="C63" s="13" t="str">
        <f>VLOOKUP(89,Textbausteine_203[],Hilfsgrössen!$D$2,FALSE)</f>
        <v>Schweiz</v>
      </c>
      <c r="D63" s="1" t="str">
        <f>VLOOKUP(15,Textbausteine_203[],Hilfsgrössen!$D$2,FALSE)</f>
        <v>Personaleinheiten</v>
      </c>
      <c r="E63" s="9" t="s">
        <v>139</v>
      </c>
      <c r="F63" s="9" t="s">
        <v>137</v>
      </c>
      <c r="H63" s="15">
        <v>41125</v>
      </c>
      <c r="I63" s="15">
        <v>39727</v>
      </c>
      <c r="J63" s="15">
        <v>38799</v>
      </c>
      <c r="K63" s="15">
        <v>37935</v>
      </c>
      <c r="L63" s="15">
        <v>37902</v>
      </c>
      <c r="M63" s="15">
        <v>37817</v>
      </c>
      <c r="N63" s="15">
        <v>37873</v>
      </c>
      <c r="O63" s="15">
        <v>37703</v>
      </c>
      <c r="P63" s="15">
        <v>37984</v>
      </c>
      <c r="Q63" s="15">
        <v>37326</v>
      </c>
      <c r="R63" s="15">
        <v>37054.487249999998</v>
      </c>
      <c r="S63" s="15">
        <v>36681</v>
      </c>
      <c r="T63" s="12">
        <v>36223</v>
      </c>
      <c r="U63" s="12">
        <v>35278</v>
      </c>
      <c r="V63" s="12">
        <v>33746</v>
      </c>
      <c r="W63" s="12">
        <v>33398</v>
      </c>
      <c r="X63" s="12">
        <v>33301.071576666633</v>
      </c>
      <c r="Y63" s="315">
        <v>33531.821915730652</v>
      </c>
      <c r="Z63" s="335"/>
    </row>
    <row r="64" spans="1:83" ht="12.95" customHeight="1" x14ac:dyDescent="0.2">
      <c r="C64" s="26" t="str">
        <f>VLOOKUP(88,Textbausteine_203[],Hilfsgrössen!$D$2,FALSE)</f>
        <v>Zürich</v>
      </c>
      <c r="D64" s="1" t="str">
        <f>VLOOKUP(15,Textbausteine_203[],Hilfsgrössen!$D$2,FALSE)</f>
        <v>Personaleinheiten</v>
      </c>
      <c r="E64" s="9" t="s">
        <v>140</v>
      </c>
      <c r="F64" s="9" t="s">
        <v>137</v>
      </c>
      <c r="H64" s="15">
        <v>6784</v>
      </c>
      <c r="I64" s="15">
        <v>6451</v>
      </c>
      <c r="J64" s="15">
        <v>6310</v>
      </c>
      <c r="K64" s="15">
        <v>6016</v>
      </c>
      <c r="L64" s="15">
        <v>5938</v>
      </c>
      <c r="M64" s="15">
        <v>6084.2270000000008</v>
      </c>
      <c r="N64" s="15">
        <v>6331.5433466505292</v>
      </c>
      <c r="O64" s="15">
        <v>6248</v>
      </c>
      <c r="P64" s="15">
        <v>6351</v>
      </c>
      <c r="Q64" s="15">
        <v>6244.6764999999996</v>
      </c>
      <c r="R64" s="15">
        <v>6178.0165000000006</v>
      </c>
      <c r="S64" s="15">
        <v>6059</v>
      </c>
      <c r="T64" s="12">
        <v>6063</v>
      </c>
      <c r="U64" s="12">
        <v>5917</v>
      </c>
      <c r="V64" s="12">
        <v>5629</v>
      </c>
      <c r="W64" s="12">
        <v>5562</v>
      </c>
      <c r="X64" s="12">
        <v>5537.61099333333</v>
      </c>
      <c r="Y64" s="315">
        <v>5441.423393453927</v>
      </c>
      <c r="Z64" s="335"/>
    </row>
    <row r="65" spans="3:26" ht="12.95" customHeight="1" x14ac:dyDescent="0.2">
      <c r="C65" s="26" t="str">
        <f>VLOOKUP(66,Textbausteine_203[],Hilfsgrössen!$D$2,FALSE)</f>
        <v>Bern</v>
      </c>
      <c r="D65" s="1" t="str">
        <f>VLOOKUP(15,Textbausteine_203[],Hilfsgrössen!$D$2,FALSE)</f>
        <v>Personaleinheiten</v>
      </c>
      <c r="E65" s="9" t="s">
        <v>140</v>
      </c>
      <c r="F65" s="9" t="s">
        <v>137</v>
      </c>
      <c r="G65" s="303"/>
      <c r="H65" s="15">
        <v>8405</v>
      </c>
      <c r="I65" s="15">
        <v>8277</v>
      </c>
      <c r="J65" s="15">
        <v>8240</v>
      </c>
      <c r="K65" s="15">
        <v>8349</v>
      </c>
      <c r="L65" s="15">
        <v>8269</v>
      </c>
      <c r="M65" s="15">
        <v>7938.2110000000002</v>
      </c>
      <c r="N65" s="15">
        <v>7973.0468378380756</v>
      </c>
      <c r="O65" s="15">
        <v>7929</v>
      </c>
      <c r="P65" s="15">
        <v>8080</v>
      </c>
      <c r="Q65" s="15">
        <v>7981.5377499999995</v>
      </c>
      <c r="R65" s="15">
        <v>7975.4466666666667</v>
      </c>
      <c r="S65" s="15">
        <v>8048</v>
      </c>
      <c r="T65" s="12">
        <v>8037</v>
      </c>
      <c r="U65" s="12">
        <v>7870</v>
      </c>
      <c r="V65" s="12">
        <v>7669</v>
      </c>
      <c r="W65" s="12">
        <v>7720</v>
      </c>
      <c r="X65" s="12">
        <v>7901.7459166666704</v>
      </c>
      <c r="Y65" s="315">
        <v>8089.0082802060415</v>
      </c>
      <c r="Z65" s="335"/>
    </row>
    <row r="66" spans="3:26" ht="12.95" customHeight="1" x14ac:dyDescent="0.2">
      <c r="C66" s="26" t="str">
        <f>VLOOKUP(74,Textbausteine_203[],Hilfsgrössen!$D$2,FALSE)</f>
        <v>Luzern</v>
      </c>
      <c r="D66" s="1" t="str">
        <f>VLOOKUP(15,Textbausteine_203[],Hilfsgrössen!$D$2,FALSE)</f>
        <v>Personaleinheiten</v>
      </c>
      <c r="E66" s="9" t="s">
        <v>140</v>
      </c>
      <c r="F66" s="9" t="s">
        <v>137</v>
      </c>
      <c r="H66" s="15">
        <v>1832</v>
      </c>
      <c r="I66" s="15">
        <v>1759</v>
      </c>
      <c r="J66" s="15">
        <v>1753</v>
      </c>
      <c r="K66" s="15">
        <v>1738</v>
      </c>
      <c r="L66" s="15">
        <v>1647</v>
      </c>
      <c r="M66" s="15">
        <v>1531.7330000000002</v>
      </c>
      <c r="N66" s="15">
        <v>1696.4962445402036</v>
      </c>
      <c r="O66" s="15">
        <v>1672</v>
      </c>
      <c r="P66" s="15">
        <v>1656</v>
      </c>
      <c r="Q66" s="15">
        <v>1631.0616666666667</v>
      </c>
      <c r="R66" s="15">
        <v>1574.9935833333334</v>
      </c>
      <c r="S66" s="15">
        <v>1644</v>
      </c>
      <c r="T66" s="15">
        <v>1612</v>
      </c>
      <c r="U66" s="15">
        <v>1532</v>
      </c>
      <c r="V66" s="15">
        <v>1407</v>
      </c>
      <c r="W66" s="15">
        <v>1346</v>
      </c>
      <c r="X66" s="15">
        <v>1337.6677499999998</v>
      </c>
      <c r="Y66" s="315">
        <v>1292.7342555024877</v>
      </c>
      <c r="Z66" s="335"/>
    </row>
    <row r="67" spans="3:26" ht="12.95" customHeight="1" x14ac:dyDescent="0.2">
      <c r="C67" s="26" t="str">
        <f>VLOOKUP(84,Textbausteine_203[],Hilfsgrössen!$D$2,FALSE)</f>
        <v>Uri</v>
      </c>
      <c r="D67" s="1" t="str">
        <f>VLOOKUP(15,Textbausteine_203[],Hilfsgrössen!$D$2,FALSE)</f>
        <v>Personaleinheiten</v>
      </c>
      <c r="E67" s="9" t="s">
        <v>94</v>
      </c>
      <c r="F67" s="9" t="s">
        <v>137</v>
      </c>
      <c r="G67" s="35"/>
      <c r="H67" s="15">
        <v>103</v>
      </c>
      <c r="I67" s="15">
        <v>98</v>
      </c>
      <c r="J67" s="15">
        <v>99</v>
      </c>
      <c r="K67" s="15">
        <v>97</v>
      </c>
      <c r="L67" s="15">
        <v>95</v>
      </c>
      <c r="M67" s="15">
        <v>96.533999999999992</v>
      </c>
      <c r="N67" s="15">
        <v>92.973333333333343</v>
      </c>
      <c r="O67" s="15">
        <v>93</v>
      </c>
      <c r="P67" s="15">
        <v>91</v>
      </c>
      <c r="Q67" s="15">
        <v>86.510083333333327</v>
      </c>
      <c r="R67" s="15">
        <v>85.333749999999995</v>
      </c>
      <c r="S67" s="15">
        <v>83</v>
      </c>
      <c r="T67" s="12">
        <v>80</v>
      </c>
      <c r="U67" s="12">
        <v>76</v>
      </c>
      <c r="V67" s="12">
        <v>70.299333300000001</v>
      </c>
      <c r="W67" s="12">
        <v>64</v>
      </c>
      <c r="X67" s="12">
        <v>60.627666666666698</v>
      </c>
      <c r="Y67" s="370">
        <v>62</v>
      </c>
      <c r="Z67" s="335"/>
    </row>
    <row r="68" spans="3:26" ht="12.95" customHeight="1" x14ac:dyDescent="0.2">
      <c r="C68" s="26" t="str">
        <f>VLOOKUP(81,Textbausteine_203[],Hilfsgrössen!$D$2,FALSE)</f>
        <v>Schwyz</v>
      </c>
      <c r="D68" s="1" t="str">
        <f>VLOOKUP(15,Textbausteine_203[],Hilfsgrössen!$D$2,FALSE)</f>
        <v>Personaleinheiten</v>
      </c>
      <c r="E68" s="9" t="s">
        <v>140</v>
      </c>
      <c r="F68" s="9" t="s">
        <v>137</v>
      </c>
      <c r="H68" s="15">
        <v>371</v>
      </c>
      <c r="I68" s="15">
        <v>365</v>
      </c>
      <c r="J68" s="15">
        <v>361</v>
      </c>
      <c r="K68" s="15">
        <v>345</v>
      </c>
      <c r="L68" s="15">
        <v>390</v>
      </c>
      <c r="M68" s="15">
        <v>386.738</v>
      </c>
      <c r="N68" s="15">
        <v>347.43000000000006</v>
      </c>
      <c r="O68" s="15">
        <v>346</v>
      </c>
      <c r="P68" s="15">
        <v>328</v>
      </c>
      <c r="Q68" s="15">
        <v>314.661</v>
      </c>
      <c r="R68" s="15">
        <v>305.14208333333335</v>
      </c>
      <c r="S68" s="15">
        <v>292</v>
      </c>
      <c r="T68" s="15">
        <v>286</v>
      </c>
      <c r="U68" s="15">
        <v>278</v>
      </c>
      <c r="V68" s="15">
        <v>273</v>
      </c>
      <c r="W68" s="15">
        <v>249</v>
      </c>
      <c r="X68" s="15">
        <v>266.82458333333301</v>
      </c>
      <c r="Y68" s="315">
        <v>269.12908333333297</v>
      </c>
      <c r="Z68" s="335"/>
    </row>
    <row r="69" spans="3:26" ht="12.95" customHeight="1" x14ac:dyDescent="0.2">
      <c r="C69" s="26" t="str">
        <f>VLOOKUP(77,Textbausteine_203[],Hilfsgrössen!$D$2,FALSE)</f>
        <v>Obwalden</v>
      </c>
      <c r="D69" s="1" t="str">
        <f>VLOOKUP(15,Textbausteine_203[],Hilfsgrössen!$D$2,FALSE)</f>
        <v>Personaleinheiten</v>
      </c>
      <c r="E69" s="9" t="s">
        <v>94</v>
      </c>
      <c r="F69" s="9" t="s">
        <v>137</v>
      </c>
      <c r="H69" s="15">
        <v>91</v>
      </c>
      <c r="I69" s="15">
        <v>86</v>
      </c>
      <c r="J69" s="15">
        <v>86</v>
      </c>
      <c r="K69" s="15">
        <v>86</v>
      </c>
      <c r="L69" s="15">
        <v>87</v>
      </c>
      <c r="M69" s="15">
        <v>89.718000000000004</v>
      </c>
      <c r="N69" s="15">
        <v>84.689166666666679</v>
      </c>
      <c r="O69" s="15">
        <v>85</v>
      </c>
      <c r="P69" s="15">
        <v>79</v>
      </c>
      <c r="Q69" s="15">
        <v>79.333749999999995</v>
      </c>
      <c r="R69" s="15">
        <v>76.456583333333327</v>
      </c>
      <c r="S69" s="15">
        <v>76</v>
      </c>
      <c r="T69" s="15">
        <v>70</v>
      </c>
      <c r="U69" s="15">
        <v>67</v>
      </c>
      <c r="V69" s="15">
        <v>63.588083300000001</v>
      </c>
      <c r="W69" s="15">
        <v>81</v>
      </c>
      <c r="X69" s="15">
        <v>91.315666666666701</v>
      </c>
      <c r="Y69" s="380">
        <v>93</v>
      </c>
      <c r="Z69" s="335"/>
    </row>
    <row r="70" spans="3:26" ht="12.95" customHeight="1" x14ac:dyDescent="0.2">
      <c r="C70" s="26" t="str">
        <f>VLOOKUP(76,Textbausteine_203[],Hilfsgrössen!$D$2,FALSE)</f>
        <v>Nidwalden</v>
      </c>
      <c r="D70" s="1" t="str">
        <f>VLOOKUP(15,Textbausteine_203[],Hilfsgrössen!$D$2,FALSE)</f>
        <v>Personaleinheiten</v>
      </c>
      <c r="E70" s="9" t="s">
        <v>94</v>
      </c>
      <c r="F70" s="9" t="s">
        <v>137</v>
      </c>
      <c r="H70" s="15">
        <v>110</v>
      </c>
      <c r="I70" s="15">
        <v>108</v>
      </c>
      <c r="J70" s="15">
        <v>112</v>
      </c>
      <c r="K70" s="15">
        <v>110</v>
      </c>
      <c r="L70" s="15">
        <v>110</v>
      </c>
      <c r="M70" s="15">
        <v>109.753</v>
      </c>
      <c r="N70" s="15">
        <v>100.94333333333333</v>
      </c>
      <c r="O70" s="15">
        <v>97</v>
      </c>
      <c r="P70" s="15">
        <v>84</v>
      </c>
      <c r="Q70" s="15">
        <v>81.878500000000003</v>
      </c>
      <c r="R70" s="15">
        <v>82.684583333333336</v>
      </c>
      <c r="S70" s="15">
        <v>79</v>
      </c>
      <c r="T70" s="15">
        <v>75</v>
      </c>
      <c r="U70" s="15">
        <v>71</v>
      </c>
      <c r="V70" s="15">
        <v>69.337500000000006</v>
      </c>
      <c r="W70" s="15">
        <v>68</v>
      </c>
      <c r="X70" s="15">
        <v>64.756083333333294</v>
      </c>
      <c r="Y70" s="315">
        <v>105.15175000000001</v>
      </c>
      <c r="Z70" s="335"/>
    </row>
    <row r="71" spans="3:26" ht="12.95" customHeight="1" x14ac:dyDescent="0.2">
      <c r="C71" s="26" t="str">
        <f>VLOOKUP(71,Textbausteine_203[],Hilfsgrössen!$D$2,FALSE)</f>
        <v>Glarus</v>
      </c>
      <c r="D71" s="1" t="str">
        <f>VLOOKUP(15,Textbausteine_203[],Hilfsgrössen!$D$2,FALSE)</f>
        <v>Personaleinheiten</v>
      </c>
      <c r="E71" s="9" t="s">
        <v>94</v>
      </c>
      <c r="F71" s="9" t="s">
        <v>137</v>
      </c>
      <c r="H71" s="15">
        <v>259</v>
      </c>
      <c r="I71" s="15">
        <v>269</v>
      </c>
      <c r="J71" s="15">
        <v>256</v>
      </c>
      <c r="K71" s="15">
        <v>246</v>
      </c>
      <c r="L71" s="15">
        <v>261</v>
      </c>
      <c r="M71" s="15">
        <v>270.69299999999998</v>
      </c>
      <c r="N71" s="15">
        <v>269.86</v>
      </c>
      <c r="O71" s="15">
        <v>268</v>
      </c>
      <c r="P71" s="15">
        <v>260</v>
      </c>
      <c r="Q71" s="15">
        <v>249.26050000000001</v>
      </c>
      <c r="R71" s="15">
        <v>239.46583333333334</v>
      </c>
      <c r="S71" s="15">
        <v>241</v>
      </c>
      <c r="T71" s="15">
        <v>239</v>
      </c>
      <c r="U71" s="15">
        <v>228</v>
      </c>
      <c r="V71" s="15">
        <v>236.73349999999999</v>
      </c>
      <c r="W71" s="15">
        <v>277</v>
      </c>
      <c r="X71" s="15">
        <v>282.18158333333298</v>
      </c>
      <c r="Y71" s="315">
        <v>264.27924999999999</v>
      </c>
      <c r="Z71" s="335"/>
    </row>
    <row r="72" spans="3:26" ht="12.95" customHeight="1" x14ac:dyDescent="0.25">
      <c r="C72" s="26" t="str">
        <f>VLOOKUP(87,Textbausteine_203[],Hilfsgrössen!$D$2,FALSE)</f>
        <v>Zug</v>
      </c>
      <c r="D72" s="1" t="str">
        <f>VLOOKUP(15,Textbausteine_203[],Hilfsgrössen!$D$2,FALSE)</f>
        <v>Personaleinheiten</v>
      </c>
      <c r="E72" s="9" t="s">
        <v>140</v>
      </c>
      <c r="F72" s="9" t="s">
        <v>137</v>
      </c>
      <c r="G72" s="36"/>
      <c r="H72" s="15">
        <v>393</v>
      </c>
      <c r="I72" s="15">
        <v>378</v>
      </c>
      <c r="J72" s="15">
        <v>375</v>
      </c>
      <c r="K72" s="15">
        <v>367</v>
      </c>
      <c r="L72" s="15">
        <v>343</v>
      </c>
      <c r="M72" s="15">
        <v>351.76799999999997</v>
      </c>
      <c r="N72" s="15">
        <v>328.64416666666665</v>
      </c>
      <c r="O72" s="15">
        <v>327</v>
      </c>
      <c r="P72" s="15">
        <v>387</v>
      </c>
      <c r="Q72" s="15">
        <v>384.39941666666664</v>
      </c>
      <c r="R72" s="15">
        <v>367.84800000000001</v>
      </c>
      <c r="S72" s="15">
        <v>358</v>
      </c>
      <c r="T72" s="12">
        <v>344</v>
      </c>
      <c r="U72" s="12">
        <v>328</v>
      </c>
      <c r="V72" s="12">
        <v>268</v>
      </c>
      <c r="W72" s="12">
        <v>261</v>
      </c>
      <c r="X72" s="12">
        <v>250.14699999999999</v>
      </c>
      <c r="Y72" s="315">
        <v>274.83733333333305</v>
      </c>
      <c r="Z72" s="335"/>
    </row>
    <row r="73" spans="3:26" ht="12.95" customHeight="1" x14ac:dyDescent="0.2">
      <c r="C73" s="122" t="str">
        <f>VLOOKUP(69,Textbausteine_203[],Hilfsgrössen!$D$2,FALSE)</f>
        <v>Freiburg</v>
      </c>
      <c r="D73" s="1" t="str">
        <f>VLOOKUP(15,Textbausteine_203[],Hilfsgrössen!$D$2,FALSE)</f>
        <v>Personaleinheiten</v>
      </c>
      <c r="E73" s="9" t="s">
        <v>94</v>
      </c>
      <c r="F73" s="9" t="s">
        <v>137</v>
      </c>
      <c r="H73" s="15">
        <v>1150</v>
      </c>
      <c r="I73" s="15">
        <v>1187</v>
      </c>
      <c r="J73" s="15">
        <v>1164</v>
      </c>
      <c r="K73" s="15">
        <v>1136</v>
      </c>
      <c r="L73" s="15">
        <v>1117</v>
      </c>
      <c r="M73" s="15">
        <v>1092.145</v>
      </c>
      <c r="N73" s="15">
        <v>1078.5083333333332</v>
      </c>
      <c r="O73" s="15">
        <v>1083</v>
      </c>
      <c r="P73" s="15">
        <v>1096</v>
      </c>
      <c r="Q73" s="15">
        <v>1116.1558333333332</v>
      </c>
      <c r="R73" s="15">
        <v>1138.31925</v>
      </c>
      <c r="S73" s="15">
        <v>1132</v>
      </c>
      <c r="T73" s="12">
        <v>1098</v>
      </c>
      <c r="U73" s="12">
        <v>1054</v>
      </c>
      <c r="V73" s="12">
        <v>1041.1721700000001</v>
      </c>
      <c r="W73" s="12">
        <v>1030</v>
      </c>
      <c r="X73" s="12">
        <v>1009.6277499999997</v>
      </c>
      <c r="Y73" s="315">
        <v>985.40566189060428</v>
      </c>
      <c r="Z73" s="335"/>
    </row>
    <row r="74" spans="3:26" ht="12.95" customHeight="1" x14ac:dyDescent="0.2">
      <c r="C74" s="26" t="str">
        <f>VLOOKUP(80,Textbausteine_203[],Hilfsgrössen!$D$2,FALSE)</f>
        <v>Solothurn</v>
      </c>
      <c r="D74" s="1" t="str">
        <f>VLOOKUP(15,Textbausteine_203[],Hilfsgrössen!$D$2,FALSE)</f>
        <v>Personaleinheiten</v>
      </c>
      <c r="E74" s="9" t="s">
        <v>140</v>
      </c>
      <c r="F74" s="9" t="s">
        <v>137</v>
      </c>
      <c r="H74" s="15">
        <v>1512</v>
      </c>
      <c r="I74" s="15">
        <v>1374</v>
      </c>
      <c r="J74" s="15">
        <v>1310</v>
      </c>
      <c r="K74" s="15">
        <v>1334</v>
      </c>
      <c r="L74" s="15">
        <v>1539</v>
      </c>
      <c r="M74" s="15">
        <v>2059.9280000000003</v>
      </c>
      <c r="N74" s="15">
        <v>2099.9425000000001</v>
      </c>
      <c r="O74" s="15">
        <v>2134</v>
      </c>
      <c r="P74" s="15">
        <v>2228</v>
      </c>
      <c r="Q74" s="15">
        <v>2162.4022500000001</v>
      </c>
      <c r="R74" s="15">
        <v>2154.30375</v>
      </c>
      <c r="S74" s="15">
        <v>2176</v>
      </c>
      <c r="T74" s="15">
        <v>2136</v>
      </c>
      <c r="U74" s="15">
        <v>2169</v>
      </c>
      <c r="V74" s="15">
        <v>2129</v>
      </c>
      <c r="W74" s="15">
        <v>2128</v>
      </c>
      <c r="X74" s="15">
        <v>2095.8149999999969</v>
      </c>
      <c r="Y74" s="315">
        <v>2010.3748196122272</v>
      </c>
      <c r="Z74" s="335"/>
    </row>
    <row r="75" spans="3:26" ht="12.95" customHeight="1" x14ac:dyDescent="0.2">
      <c r="C75" s="122" t="str">
        <f>VLOOKUP(68,Textbausteine_203[],Hilfsgrössen!$D$2,FALSE)</f>
        <v>Basel-Stadt</v>
      </c>
      <c r="D75" s="1" t="str">
        <f>VLOOKUP(15,Textbausteine_203[],Hilfsgrössen!$D$2,FALSE)</f>
        <v>Personaleinheiten</v>
      </c>
      <c r="E75" s="9" t="s">
        <v>140</v>
      </c>
      <c r="F75" s="9" t="s">
        <v>137</v>
      </c>
      <c r="H75" s="15">
        <v>1692</v>
      </c>
      <c r="I75" s="15">
        <v>1573</v>
      </c>
      <c r="J75" s="15">
        <v>1527</v>
      </c>
      <c r="K75" s="15">
        <v>1495</v>
      </c>
      <c r="L75" s="15">
        <v>1426</v>
      </c>
      <c r="M75" s="15">
        <v>1264.5559999999998</v>
      </c>
      <c r="N75" s="15">
        <v>1287.9200056752909</v>
      </c>
      <c r="O75" s="15">
        <v>1198</v>
      </c>
      <c r="P75" s="15">
        <v>1501</v>
      </c>
      <c r="Q75" s="15">
        <v>1511.6490833333332</v>
      </c>
      <c r="R75" s="15">
        <v>1551.9482500000001</v>
      </c>
      <c r="S75" s="15">
        <v>1404</v>
      </c>
      <c r="T75" s="12">
        <v>1408</v>
      </c>
      <c r="U75" s="12">
        <v>1340</v>
      </c>
      <c r="V75" s="12">
        <v>1027</v>
      </c>
      <c r="W75" s="12">
        <v>935</v>
      </c>
      <c r="X75" s="12">
        <v>889.31299999999953</v>
      </c>
      <c r="Y75" s="315">
        <v>858.5821450199993</v>
      </c>
      <c r="Z75" s="335"/>
    </row>
    <row r="76" spans="3:26" ht="12.95" customHeight="1" x14ac:dyDescent="0.2">
      <c r="C76" s="26" t="str">
        <f>VLOOKUP(67,Textbausteine_203[],Hilfsgrössen!$D$2,FALSE)</f>
        <v>Basel-Landschaft</v>
      </c>
      <c r="D76" s="1" t="str">
        <f>VLOOKUP(15,Textbausteine_203[],Hilfsgrössen!$D$2,FALSE)</f>
        <v>Personaleinheiten</v>
      </c>
      <c r="E76" s="9" t="s">
        <v>140</v>
      </c>
      <c r="F76" s="9" t="s">
        <v>137</v>
      </c>
      <c r="H76" s="15">
        <v>1116</v>
      </c>
      <c r="I76" s="15">
        <v>1013</v>
      </c>
      <c r="J76" s="15">
        <v>972</v>
      </c>
      <c r="K76" s="15">
        <v>983</v>
      </c>
      <c r="L76" s="15">
        <v>1054</v>
      </c>
      <c r="M76" s="15">
        <v>1100.6089999999999</v>
      </c>
      <c r="N76" s="15">
        <v>954.14249999999993</v>
      </c>
      <c r="O76" s="15">
        <v>931</v>
      </c>
      <c r="P76" s="15">
        <v>906</v>
      </c>
      <c r="Q76" s="15">
        <v>874.64083333333338</v>
      </c>
      <c r="R76" s="15">
        <v>813.07783333333339</v>
      </c>
      <c r="S76" s="15">
        <v>784</v>
      </c>
      <c r="T76" s="12">
        <v>756</v>
      </c>
      <c r="U76" s="12">
        <v>732</v>
      </c>
      <c r="V76" s="12">
        <v>699</v>
      </c>
      <c r="W76" s="12">
        <v>630</v>
      </c>
      <c r="X76" s="12">
        <v>634.85025000000007</v>
      </c>
      <c r="Y76" s="315">
        <v>699.61066666666693</v>
      </c>
      <c r="Z76" s="335"/>
    </row>
    <row r="77" spans="3:26" ht="12.95" customHeight="1" x14ac:dyDescent="0.2">
      <c r="C77" s="26" t="str">
        <f>VLOOKUP(79,Textbausteine_203[],Hilfsgrössen!$D$2,FALSE)</f>
        <v>Schaffhausen</v>
      </c>
      <c r="D77" s="1" t="str">
        <f>VLOOKUP(15,Textbausteine_203[],Hilfsgrössen!$D$2,FALSE)</f>
        <v>Personaleinheiten</v>
      </c>
      <c r="E77" s="9" t="s">
        <v>94</v>
      </c>
      <c r="F77" s="9" t="s">
        <v>137</v>
      </c>
      <c r="H77" s="15">
        <v>250</v>
      </c>
      <c r="I77" s="15">
        <v>263</v>
      </c>
      <c r="J77" s="15">
        <v>272</v>
      </c>
      <c r="K77" s="15">
        <v>257</v>
      </c>
      <c r="L77" s="15">
        <v>258</v>
      </c>
      <c r="M77" s="15">
        <v>270.46499999999997</v>
      </c>
      <c r="N77" s="15">
        <v>274.57583333333332</v>
      </c>
      <c r="O77" s="15">
        <v>300</v>
      </c>
      <c r="P77" s="15">
        <v>298</v>
      </c>
      <c r="Q77" s="15">
        <v>301.18891666666667</v>
      </c>
      <c r="R77" s="15">
        <v>293.68608333333333</v>
      </c>
      <c r="S77" s="15">
        <v>307</v>
      </c>
      <c r="T77" s="15">
        <v>280</v>
      </c>
      <c r="U77" s="15">
        <v>288</v>
      </c>
      <c r="V77" s="15">
        <v>271.89</v>
      </c>
      <c r="W77" s="15">
        <v>264</v>
      </c>
      <c r="X77" s="15">
        <v>261.6925</v>
      </c>
      <c r="Y77" s="315">
        <v>266.57833333333298</v>
      </c>
      <c r="Z77" s="335"/>
    </row>
    <row r="78" spans="3:26" ht="12.95" customHeight="1" x14ac:dyDescent="0.2">
      <c r="C78" s="122" t="str">
        <f>VLOOKUP(65,Textbausteine_203[],Hilfsgrössen!$D$2,FALSE)</f>
        <v>Appenzell Ausserrhoden</v>
      </c>
      <c r="D78" s="1" t="str">
        <f>VLOOKUP(15,Textbausteine_203[],Hilfsgrössen!$D$2,FALSE)</f>
        <v>Personaleinheiten</v>
      </c>
      <c r="E78" s="9" t="s">
        <v>94</v>
      </c>
      <c r="F78" s="9" t="s">
        <v>137</v>
      </c>
      <c r="G78" s="303"/>
      <c r="H78" s="15">
        <v>200</v>
      </c>
      <c r="I78" s="15">
        <v>192</v>
      </c>
      <c r="J78" s="15">
        <v>186</v>
      </c>
      <c r="K78" s="15">
        <v>174</v>
      </c>
      <c r="L78" s="15">
        <v>170</v>
      </c>
      <c r="M78" s="15">
        <v>169.29000000000002</v>
      </c>
      <c r="N78" s="15">
        <v>147.40916666666666</v>
      </c>
      <c r="O78" s="15">
        <v>142</v>
      </c>
      <c r="P78" s="15">
        <v>137</v>
      </c>
      <c r="Q78" s="15">
        <v>132.54058333333333</v>
      </c>
      <c r="R78" s="15">
        <v>129.78966666666668</v>
      </c>
      <c r="S78" s="15">
        <v>124</v>
      </c>
      <c r="T78" s="12">
        <v>121</v>
      </c>
      <c r="U78" s="12">
        <v>119</v>
      </c>
      <c r="V78" s="12">
        <v>114.274917</v>
      </c>
      <c r="W78" s="12">
        <v>108</v>
      </c>
      <c r="X78" s="12">
        <v>101.811833333333</v>
      </c>
      <c r="Y78" s="315">
        <v>100</v>
      </c>
      <c r="Z78" s="335"/>
    </row>
    <row r="79" spans="3:26" ht="12.95" customHeight="1" x14ac:dyDescent="0.2">
      <c r="C79" s="122" t="str">
        <f>VLOOKUP(64,Textbausteine_203[],Hilfsgrössen!$D$2,FALSE)</f>
        <v>Appenzell Innerrhoden</v>
      </c>
      <c r="D79" s="1" t="str">
        <f>VLOOKUP(15,Textbausteine_203[],Hilfsgrössen!$D$2,FALSE)</f>
        <v>Personaleinheiten</v>
      </c>
      <c r="E79" s="9" t="s">
        <v>94</v>
      </c>
      <c r="F79" s="9" t="s">
        <v>137</v>
      </c>
      <c r="H79" s="15">
        <v>39</v>
      </c>
      <c r="I79" s="15">
        <v>40</v>
      </c>
      <c r="J79" s="15">
        <v>41</v>
      </c>
      <c r="K79" s="15">
        <v>40</v>
      </c>
      <c r="L79" s="15">
        <v>40</v>
      </c>
      <c r="M79" s="15">
        <v>41.997999999999998</v>
      </c>
      <c r="N79" s="15">
        <v>39.446666666666673</v>
      </c>
      <c r="O79" s="15">
        <v>39</v>
      </c>
      <c r="P79" s="15">
        <v>37</v>
      </c>
      <c r="Q79" s="15">
        <v>39.22291666666667</v>
      </c>
      <c r="R79" s="15">
        <v>40.095416666666665</v>
      </c>
      <c r="S79" s="15">
        <v>37</v>
      </c>
      <c r="T79" s="12">
        <v>40</v>
      </c>
      <c r="U79" s="12">
        <v>39</v>
      </c>
      <c r="V79" s="12">
        <v>38.465416699999999</v>
      </c>
      <c r="W79" s="12">
        <v>43</v>
      </c>
      <c r="X79" s="12">
        <v>53.016500000000001</v>
      </c>
      <c r="Y79" s="370">
        <v>53.016500000000001</v>
      </c>
      <c r="Z79" s="335"/>
    </row>
    <row r="80" spans="3:26" ht="12.95" customHeight="1" x14ac:dyDescent="0.2">
      <c r="C80" s="26" t="str">
        <f>VLOOKUP(78,Textbausteine_203[],Hilfsgrössen!$D$2,FALSE)</f>
        <v>St. Gallen</v>
      </c>
      <c r="D80" s="1" t="str">
        <f>VLOOKUP(15,Textbausteine_203[],Hilfsgrössen!$D$2,FALSE)</f>
        <v>Personaleinheiten</v>
      </c>
      <c r="E80" s="9" t="s">
        <v>140</v>
      </c>
      <c r="F80" s="9" t="s">
        <v>137</v>
      </c>
      <c r="H80" s="15">
        <v>2001</v>
      </c>
      <c r="I80" s="15">
        <v>1922</v>
      </c>
      <c r="J80" s="15">
        <v>1901</v>
      </c>
      <c r="K80" s="15">
        <v>1854</v>
      </c>
      <c r="L80" s="15">
        <v>1803</v>
      </c>
      <c r="M80" s="15">
        <v>1818.3240000000001</v>
      </c>
      <c r="N80" s="15">
        <v>1912.5952319625715</v>
      </c>
      <c r="O80" s="15">
        <v>1945</v>
      </c>
      <c r="P80" s="15">
        <v>1929</v>
      </c>
      <c r="Q80" s="15">
        <v>1947.7953333333332</v>
      </c>
      <c r="R80" s="15">
        <v>2056.2443333333331</v>
      </c>
      <c r="S80" s="15">
        <v>2026</v>
      </c>
      <c r="T80" s="15">
        <v>1976</v>
      </c>
      <c r="U80" s="15">
        <v>1803</v>
      </c>
      <c r="V80" s="15">
        <v>1596</v>
      </c>
      <c r="W80" s="15">
        <v>1483</v>
      </c>
      <c r="X80" s="15">
        <v>1375.1025</v>
      </c>
      <c r="Y80" s="315">
        <v>1343.6888444660826</v>
      </c>
      <c r="Z80" s="335"/>
    </row>
    <row r="81" spans="2:26" ht="12.95" customHeight="1" x14ac:dyDescent="0.2">
      <c r="C81" s="26" t="str">
        <f>VLOOKUP(72,Textbausteine_203[],Hilfsgrössen!$D$2,FALSE)</f>
        <v>Graubünden</v>
      </c>
      <c r="D81" s="1" t="str">
        <f>VLOOKUP(15,Textbausteine_203[],Hilfsgrössen!$D$2,FALSE)</f>
        <v>Personaleinheiten</v>
      </c>
      <c r="E81" s="9" t="s">
        <v>94</v>
      </c>
      <c r="F81" s="9" t="s">
        <v>137</v>
      </c>
      <c r="H81" s="15">
        <v>1120</v>
      </c>
      <c r="I81" s="15">
        <v>1053</v>
      </c>
      <c r="J81" s="15">
        <v>1005</v>
      </c>
      <c r="K81" s="15">
        <v>966</v>
      </c>
      <c r="L81" s="15">
        <v>946</v>
      </c>
      <c r="M81" s="15">
        <v>944.60699999999997</v>
      </c>
      <c r="N81" s="15">
        <v>934.55416666666645</v>
      </c>
      <c r="O81" s="15">
        <v>930</v>
      </c>
      <c r="P81" s="15">
        <v>911</v>
      </c>
      <c r="Q81" s="15">
        <v>899.74924999999996</v>
      </c>
      <c r="R81" s="15">
        <v>920.70725000000004</v>
      </c>
      <c r="S81" s="15">
        <v>901</v>
      </c>
      <c r="T81" s="15">
        <v>875</v>
      </c>
      <c r="U81" s="15">
        <v>861</v>
      </c>
      <c r="V81" s="15">
        <v>844.06224999999995</v>
      </c>
      <c r="W81" s="15">
        <v>845</v>
      </c>
      <c r="X81" s="15">
        <v>850.21391666666705</v>
      </c>
      <c r="Y81" s="315">
        <v>861.49641666666707</v>
      </c>
      <c r="Z81" s="335"/>
    </row>
    <row r="82" spans="2:26" ht="12.95" customHeight="1" x14ac:dyDescent="0.2">
      <c r="C82" s="180" t="str">
        <f>VLOOKUP(63,Textbausteine_203[],Hilfsgrössen!$D$2,FALSE)</f>
        <v>Aargau</v>
      </c>
      <c r="D82" s="1" t="str">
        <f>VLOOKUP(15,Textbausteine_203[],Hilfsgrössen!$D$2,FALSE)</f>
        <v>Personaleinheiten</v>
      </c>
      <c r="E82" s="9" t="s">
        <v>94</v>
      </c>
      <c r="F82" s="9" t="s">
        <v>137</v>
      </c>
      <c r="H82" s="15">
        <v>2575</v>
      </c>
      <c r="I82" s="15">
        <v>2546</v>
      </c>
      <c r="J82" s="15">
        <v>2452</v>
      </c>
      <c r="K82" s="15">
        <v>2354</v>
      </c>
      <c r="L82" s="15">
        <v>2570</v>
      </c>
      <c r="M82" s="15">
        <v>2557.2199999999998</v>
      </c>
      <c r="N82" s="15">
        <v>2505.5350000000003</v>
      </c>
      <c r="O82" s="15">
        <v>2504</v>
      </c>
      <c r="P82" s="15">
        <v>2406</v>
      </c>
      <c r="Q82" s="15">
        <v>2228.5073333333335</v>
      </c>
      <c r="R82" s="15">
        <v>2103.5278333333335</v>
      </c>
      <c r="S82" s="15">
        <v>2008</v>
      </c>
      <c r="T82" s="12">
        <v>1983</v>
      </c>
      <c r="U82" s="12">
        <v>1904</v>
      </c>
      <c r="V82" s="12">
        <v>1918.1749199999999</v>
      </c>
      <c r="W82" s="12">
        <v>1976</v>
      </c>
      <c r="X82" s="12">
        <v>1950.11816666667</v>
      </c>
      <c r="Y82" s="315">
        <v>2043.5475984416764</v>
      </c>
      <c r="Z82" s="335"/>
    </row>
    <row r="83" spans="2:26" ht="12.95" customHeight="1" x14ac:dyDescent="0.2">
      <c r="C83" s="26" t="str">
        <f>VLOOKUP(82,Textbausteine_203[],Hilfsgrössen!$D$2,FALSE)</f>
        <v>Thurgau</v>
      </c>
      <c r="D83" s="1" t="str">
        <f>VLOOKUP(15,Textbausteine_203[],Hilfsgrössen!$D$2,FALSE)</f>
        <v>Personaleinheiten</v>
      </c>
      <c r="E83" s="9" t="s">
        <v>94</v>
      </c>
      <c r="F83" s="9" t="s">
        <v>137</v>
      </c>
      <c r="G83" s="35"/>
      <c r="H83" s="15">
        <v>1103</v>
      </c>
      <c r="I83" s="15">
        <v>1051</v>
      </c>
      <c r="J83" s="15">
        <v>1028</v>
      </c>
      <c r="K83" s="15">
        <v>1017</v>
      </c>
      <c r="L83" s="15">
        <v>1054</v>
      </c>
      <c r="M83" s="15">
        <v>1053.6889999999999</v>
      </c>
      <c r="N83" s="15">
        <v>998.76166666666666</v>
      </c>
      <c r="O83" s="15">
        <v>1014</v>
      </c>
      <c r="P83" s="15">
        <v>1018</v>
      </c>
      <c r="Q83" s="15">
        <v>1028.6684166666666</v>
      </c>
      <c r="R83" s="15">
        <v>995.8000833333333</v>
      </c>
      <c r="S83" s="15">
        <v>993</v>
      </c>
      <c r="T83" s="15">
        <v>973</v>
      </c>
      <c r="U83" s="15">
        <v>1078</v>
      </c>
      <c r="V83" s="15">
        <v>1102.99</v>
      </c>
      <c r="W83" s="15">
        <v>1124</v>
      </c>
      <c r="X83" s="15">
        <v>1150.499</v>
      </c>
      <c r="Y83" s="315">
        <v>1202.23583333333</v>
      </c>
      <c r="Z83" s="335"/>
    </row>
    <row r="84" spans="2:26" ht="12.95" customHeight="1" x14ac:dyDescent="0.2">
      <c r="C84" s="26" t="str">
        <f>VLOOKUP(83,Textbausteine_203[],Hilfsgrössen!$D$2,FALSE)</f>
        <v>Tessin</v>
      </c>
      <c r="D84" s="1" t="str">
        <f>VLOOKUP(15,Textbausteine_203[],Hilfsgrössen!$D$2,FALSE)</f>
        <v>Personaleinheiten</v>
      </c>
      <c r="E84" s="9" t="s">
        <v>140</v>
      </c>
      <c r="F84" s="9" t="s">
        <v>137</v>
      </c>
      <c r="G84" s="35"/>
      <c r="H84" s="15">
        <v>1845</v>
      </c>
      <c r="I84" s="15">
        <v>1768</v>
      </c>
      <c r="J84" s="15">
        <v>1703</v>
      </c>
      <c r="K84" s="15">
        <v>1640</v>
      </c>
      <c r="L84" s="15">
        <v>1603</v>
      </c>
      <c r="M84" s="15">
        <v>1572.279</v>
      </c>
      <c r="N84" s="15">
        <v>1560.2808333333335</v>
      </c>
      <c r="O84" s="15">
        <v>1545</v>
      </c>
      <c r="P84" s="15">
        <v>1575</v>
      </c>
      <c r="Q84" s="15">
        <v>1547.4628333333333</v>
      </c>
      <c r="R84" s="15">
        <v>1523.1366666666665</v>
      </c>
      <c r="S84" s="15">
        <v>1512</v>
      </c>
      <c r="T84" s="15">
        <v>1482</v>
      </c>
      <c r="U84" s="15">
        <v>1443</v>
      </c>
      <c r="V84" s="15">
        <v>1359</v>
      </c>
      <c r="W84" s="15">
        <v>1346</v>
      </c>
      <c r="X84" s="15">
        <v>1370.8184166666699</v>
      </c>
      <c r="Y84" s="315">
        <v>1452.9214166666702</v>
      </c>
      <c r="Z84" s="335"/>
    </row>
    <row r="85" spans="2:26" ht="12.95" customHeight="1" x14ac:dyDescent="0.2">
      <c r="C85" s="26" t="str">
        <f>VLOOKUP(85,Textbausteine_203[],Hilfsgrössen!$D$2,FALSE)</f>
        <v>Waadt</v>
      </c>
      <c r="D85" s="1" t="str">
        <f>VLOOKUP(15,Textbausteine_203[],Hilfsgrössen!$D$2,FALSE)</f>
        <v>Personaleinheiten</v>
      </c>
      <c r="E85" s="9" t="s">
        <v>94</v>
      </c>
      <c r="F85" s="9" t="s">
        <v>137</v>
      </c>
      <c r="G85" s="35"/>
      <c r="H85" s="15">
        <v>3764</v>
      </c>
      <c r="I85" s="15">
        <v>3637</v>
      </c>
      <c r="J85" s="15">
        <v>3477</v>
      </c>
      <c r="K85" s="15">
        <v>3348</v>
      </c>
      <c r="L85" s="15">
        <v>3367</v>
      </c>
      <c r="M85" s="15">
        <v>3392.8409999999999</v>
      </c>
      <c r="N85" s="15">
        <v>3303.060833333333</v>
      </c>
      <c r="O85" s="15">
        <v>3316</v>
      </c>
      <c r="P85" s="15">
        <v>3177</v>
      </c>
      <c r="Q85" s="15">
        <v>3084.159916666667</v>
      </c>
      <c r="R85" s="15">
        <v>3059.771666666667</v>
      </c>
      <c r="S85" s="15">
        <v>3038</v>
      </c>
      <c r="T85" s="12">
        <v>2982</v>
      </c>
      <c r="U85" s="12">
        <v>2890</v>
      </c>
      <c r="V85" s="12">
        <v>2820.0921699999999</v>
      </c>
      <c r="W85" s="12">
        <v>2799</v>
      </c>
      <c r="X85" s="12">
        <v>2742.6490000000031</v>
      </c>
      <c r="Y85" s="315">
        <v>2755.9782797701682</v>
      </c>
      <c r="Z85" s="335"/>
    </row>
    <row r="86" spans="2:26" ht="12.95" customHeight="1" x14ac:dyDescent="0.2">
      <c r="C86" s="26" t="str">
        <f>VLOOKUP(86,Textbausteine_203[],Hilfsgrössen!$D$2,FALSE)</f>
        <v>Wallis</v>
      </c>
      <c r="D86" s="1" t="str">
        <f>VLOOKUP(15,Textbausteine_203[],Hilfsgrössen!$D$2,FALSE)</f>
        <v>Personaleinheiten</v>
      </c>
      <c r="E86" s="9" t="s">
        <v>140</v>
      </c>
      <c r="F86" s="9" t="s">
        <v>137</v>
      </c>
      <c r="G86" s="35"/>
      <c r="H86" s="15">
        <v>1142</v>
      </c>
      <c r="I86" s="15">
        <v>1109</v>
      </c>
      <c r="J86" s="15">
        <v>1074</v>
      </c>
      <c r="K86" s="15">
        <v>1038</v>
      </c>
      <c r="L86" s="15">
        <v>1047</v>
      </c>
      <c r="M86" s="15">
        <v>1047.3909999999998</v>
      </c>
      <c r="N86" s="15">
        <v>1042.2274999999997</v>
      </c>
      <c r="O86" s="15">
        <v>1059</v>
      </c>
      <c r="P86" s="15">
        <v>1062</v>
      </c>
      <c r="Q86" s="15">
        <v>1062.9904166666668</v>
      </c>
      <c r="R86" s="15">
        <v>1086.8663333333334</v>
      </c>
      <c r="S86" s="15">
        <v>1082</v>
      </c>
      <c r="T86" s="12">
        <v>1071</v>
      </c>
      <c r="U86" s="12">
        <v>1057</v>
      </c>
      <c r="V86" s="12">
        <v>1055</v>
      </c>
      <c r="W86" s="12">
        <v>1026</v>
      </c>
      <c r="X86" s="12">
        <v>1044.79608333333</v>
      </c>
      <c r="Y86" s="315">
        <v>1086.5649166666699</v>
      </c>
      <c r="Z86" s="335"/>
    </row>
    <row r="87" spans="2:26" ht="12.95" customHeight="1" x14ac:dyDescent="0.2">
      <c r="C87" s="26" t="str">
        <f>VLOOKUP(75,Textbausteine_203[],Hilfsgrössen!$D$2,FALSE)</f>
        <v>Neuenburg</v>
      </c>
      <c r="D87" s="1" t="str">
        <f>VLOOKUP(15,Textbausteine_203[],Hilfsgrössen!$D$2,FALSE)</f>
        <v>Personaleinheiten</v>
      </c>
      <c r="E87" s="9" t="s">
        <v>94</v>
      </c>
      <c r="F87" s="9" t="s">
        <v>137</v>
      </c>
      <c r="H87" s="15">
        <v>743</v>
      </c>
      <c r="I87" s="15">
        <v>709</v>
      </c>
      <c r="J87" s="15">
        <v>680</v>
      </c>
      <c r="K87" s="15">
        <v>655</v>
      </c>
      <c r="L87" s="15">
        <v>645</v>
      </c>
      <c r="M87" s="15">
        <v>644.33799999999997</v>
      </c>
      <c r="N87" s="15">
        <v>632.70416666666654</v>
      </c>
      <c r="O87" s="15">
        <v>626</v>
      </c>
      <c r="P87" s="15">
        <v>597</v>
      </c>
      <c r="Q87" s="15">
        <v>590.3054166666667</v>
      </c>
      <c r="R87" s="15">
        <v>580.35141666666664</v>
      </c>
      <c r="S87" s="15">
        <v>567</v>
      </c>
      <c r="T87" s="15">
        <v>546</v>
      </c>
      <c r="U87" s="15">
        <v>519</v>
      </c>
      <c r="V87" s="15">
        <v>488.40341699999999</v>
      </c>
      <c r="W87" s="15">
        <v>482</v>
      </c>
      <c r="X87" s="15">
        <v>479.56074999999998</v>
      </c>
      <c r="Y87" s="315">
        <v>473.76241666666704</v>
      </c>
      <c r="Z87" s="335"/>
    </row>
    <row r="88" spans="2:26" ht="12.95" customHeight="1" x14ac:dyDescent="0.2">
      <c r="C88" s="26" t="str">
        <f>VLOOKUP(70,Textbausteine_203[],Hilfsgrössen!$D$2,FALSE)</f>
        <v>Genf</v>
      </c>
      <c r="D88" s="1" t="str">
        <f>VLOOKUP(15,Textbausteine_203[],Hilfsgrössen!$D$2,FALSE)</f>
        <v>Personaleinheiten</v>
      </c>
      <c r="E88" s="9" t="s">
        <v>94</v>
      </c>
      <c r="F88" s="9" t="s">
        <v>137</v>
      </c>
      <c r="H88" s="15">
        <v>2187</v>
      </c>
      <c r="I88" s="15">
        <v>2169</v>
      </c>
      <c r="J88" s="15">
        <v>2097</v>
      </c>
      <c r="K88" s="15">
        <v>1979</v>
      </c>
      <c r="L88" s="15">
        <v>1806</v>
      </c>
      <c r="M88" s="15">
        <v>1612.6959999999999</v>
      </c>
      <c r="N88" s="15">
        <v>1570.3766666666666</v>
      </c>
      <c r="O88" s="15">
        <v>1575</v>
      </c>
      <c r="P88" s="15">
        <v>1504</v>
      </c>
      <c r="Q88" s="15">
        <v>1465.8400833333335</v>
      </c>
      <c r="R88" s="15">
        <v>1431.9389999999999</v>
      </c>
      <c r="S88" s="15">
        <v>1392</v>
      </c>
      <c r="T88" s="15">
        <v>1357</v>
      </c>
      <c r="U88" s="15">
        <v>1289</v>
      </c>
      <c r="V88" s="15">
        <v>1235.62417</v>
      </c>
      <c r="W88" s="15">
        <v>1170</v>
      </c>
      <c r="X88" s="15">
        <v>1127.4347500000001</v>
      </c>
      <c r="Y88" s="315">
        <v>1083.5641373674555</v>
      </c>
      <c r="Z88" s="335"/>
    </row>
    <row r="89" spans="2:26" ht="12.95" customHeight="1" x14ac:dyDescent="0.2">
      <c r="C89" s="26" t="str">
        <f>VLOOKUP(73,Textbausteine_203[],Hilfsgrössen!$D$2,FALSE)</f>
        <v>Jura</v>
      </c>
      <c r="D89" s="1" t="str">
        <f>VLOOKUP(15,Textbausteine_203[],Hilfsgrössen!$D$2,FALSE)</f>
        <v>Personaleinheiten</v>
      </c>
      <c r="E89" s="9" t="s">
        <v>140</v>
      </c>
      <c r="F89" s="9" t="s">
        <v>137</v>
      </c>
      <c r="H89" s="15">
        <v>338</v>
      </c>
      <c r="I89" s="15">
        <v>329</v>
      </c>
      <c r="J89" s="15">
        <v>318</v>
      </c>
      <c r="K89" s="15">
        <v>311</v>
      </c>
      <c r="L89" s="15">
        <v>317</v>
      </c>
      <c r="M89" s="15">
        <v>315.41800000000001</v>
      </c>
      <c r="N89" s="15">
        <v>305.7</v>
      </c>
      <c r="O89" s="15">
        <v>297</v>
      </c>
      <c r="P89" s="15">
        <v>286</v>
      </c>
      <c r="Q89" s="15">
        <v>279.67633333333333</v>
      </c>
      <c r="R89" s="15">
        <v>289.53483333333332</v>
      </c>
      <c r="S89" s="15">
        <v>317</v>
      </c>
      <c r="T89" s="15">
        <v>334</v>
      </c>
      <c r="U89" s="15">
        <v>326</v>
      </c>
      <c r="V89" s="15">
        <v>320</v>
      </c>
      <c r="W89" s="15">
        <v>326</v>
      </c>
      <c r="X89" s="15">
        <v>318.87491666666699</v>
      </c>
      <c r="Y89" s="315">
        <v>317.49716666666694</v>
      </c>
      <c r="Z89" s="335"/>
    </row>
    <row r="90" spans="2:26" ht="12.95" customHeight="1" x14ac:dyDescent="0.2">
      <c r="C90" s="26" t="str">
        <f>VLOOKUP(90,Textbausteine_203[],Hilfsgrössen!$D$2,FALSE)</f>
        <v>Ausland</v>
      </c>
      <c r="D90" s="1" t="str">
        <f>VLOOKUP(15,Textbausteine_203[],Hilfsgrössen!$D$2,FALSE)</f>
        <v>Personaleinheiten</v>
      </c>
      <c r="E90" s="268" t="s">
        <v>141</v>
      </c>
      <c r="F90" s="9" t="s">
        <v>137</v>
      </c>
      <c r="G90" s="33"/>
      <c r="H90" s="201" t="s">
        <v>30</v>
      </c>
      <c r="I90" s="201" t="s">
        <v>30</v>
      </c>
      <c r="J90" s="201" t="s">
        <v>30</v>
      </c>
      <c r="K90" s="201" t="s">
        <v>30</v>
      </c>
      <c r="L90" s="201" t="s">
        <v>30</v>
      </c>
      <c r="M90" s="201" t="s">
        <v>30</v>
      </c>
      <c r="N90" s="201" t="s">
        <v>30</v>
      </c>
      <c r="O90" s="201" t="s">
        <v>30</v>
      </c>
      <c r="P90" s="201" t="s">
        <v>30</v>
      </c>
      <c r="Q90" s="201" t="s">
        <v>30</v>
      </c>
      <c r="R90" s="201" t="s">
        <v>30</v>
      </c>
      <c r="S90" s="201" t="s">
        <v>30</v>
      </c>
      <c r="T90" s="201" t="s">
        <v>30</v>
      </c>
      <c r="U90" s="201" t="s">
        <v>30</v>
      </c>
      <c r="V90" s="201" t="s">
        <v>30</v>
      </c>
      <c r="W90" s="75">
        <v>55</v>
      </c>
      <c r="X90" s="75">
        <v>52</v>
      </c>
      <c r="Y90" s="315">
        <v>45.879166666666663</v>
      </c>
      <c r="Z90" s="335"/>
    </row>
    <row r="91" spans="2:26" ht="12.95" customHeight="1" x14ac:dyDescent="0.2">
      <c r="E91" s="11"/>
      <c r="G91" s="33"/>
      <c r="T91" s="75"/>
      <c r="U91" s="75"/>
      <c r="V91" s="75"/>
      <c r="W91" s="75"/>
      <c r="X91" s="75"/>
      <c r="Y91" s="316"/>
    </row>
    <row r="92" spans="2:26" ht="12.95" customHeight="1" x14ac:dyDescent="0.2">
      <c r="B92" s="94"/>
      <c r="C92" s="2" t="str">
        <f>VLOOKUP(62,Textbausteine_203[],Hilfsgrössen!$D$2,FALSE)</f>
        <v>Mitarbeitende Post auf 100 Beschäftigte nach Kantonen</v>
      </c>
      <c r="E92" s="28"/>
      <c r="F92" s="28"/>
      <c r="T92" s="75"/>
      <c r="U92" s="75"/>
      <c r="V92" s="75"/>
      <c r="W92" s="75"/>
      <c r="X92" s="75"/>
      <c r="Y92" s="316"/>
    </row>
    <row r="93" spans="2:26" ht="12.95" customHeight="1" x14ac:dyDescent="0.2">
      <c r="C93" s="13" t="str">
        <f>VLOOKUP(89,Textbausteine_203[],Hilfsgrössen!$D$2,FALSE)</f>
        <v>Schweiz</v>
      </c>
      <c r="D93" s="1" t="str">
        <f>VLOOKUP(12,Textbausteine_203[],Hilfsgrössen!$D$2,FALSE)</f>
        <v>%</v>
      </c>
      <c r="E93" s="11" t="s">
        <v>142</v>
      </c>
      <c r="F93" s="9" t="s">
        <v>137</v>
      </c>
      <c r="H93" s="114">
        <v>1.4108364367286998</v>
      </c>
      <c r="I93" s="114">
        <v>1.3763565711030843</v>
      </c>
      <c r="J93" s="114">
        <v>1.3358271694868376</v>
      </c>
      <c r="K93" s="114">
        <v>1.2925343995785739</v>
      </c>
      <c r="L93" s="114">
        <v>1.3026169595629598</v>
      </c>
      <c r="M93" s="114">
        <v>1.3263171993287255</v>
      </c>
      <c r="N93" s="114">
        <v>1.3361010167950553</v>
      </c>
      <c r="O93" s="114">
        <v>1.3084444302818399</v>
      </c>
      <c r="P93" s="114">
        <v>1.1599999999999999</v>
      </c>
      <c r="Q93" s="114">
        <v>1.1499999999999999</v>
      </c>
      <c r="R93" s="114">
        <v>1.1599999999999999</v>
      </c>
      <c r="S93" s="114">
        <v>1.1299999999999999</v>
      </c>
      <c r="T93" s="99">
        <v>1.1200000000000001</v>
      </c>
      <c r="U93" s="99">
        <v>1.08</v>
      </c>
      <c r="V93" s="99">
        <v>1.01426694</v>
      </c>
      <c r="W93" s="99">
        <v>0.98</v>
      </c>
      <c r="X93" s="99">
        <v>0.94195828561916772</v>
      </c>
      <c r="Y93" s="316">
        <v>0.92991186005618076</v>
      </c>
      <c r="Z93" s="335"/>
    </row>
    <row r="94" spans="2:26" ht="12.95" customHeight="1" x14ac:dyDescent="0.2">
      <c r="C94" s="26" t="str">
        <f>VLOOKUP(88,Textbausteine_203[],Hilfsgrössen!$D$2,FALSE)</f>
        <v>Zürich</v>
      </c>
      <c r="D94" s="1" t="str">
        <f>VLOOKUP(12,Textbausteine_203[],Hilfsgrössen!$D$2,FALSE)</f>
        <v>%</v>
      </c>
      <c r="E94" s="11" t="s">
        <v>142</v>
      </c>
      <c r="F94" s="9" t="s">
        <v>137</v>
      </c>
      <c r="H94" s="114">
        <v>1.1052724449021936</v>
      </c>
      <c r="I94" s="114">
        <v>1.052315759520462</v>
      </c>
      <c r="J94" s="114">
        <v>1.017758101117737</v>
      </c>
      <c r="K94" s="114">
        <v>0.95760243980882986</v>
      </c>
      <c r="L94" s="114">
        <v>0.9426998665547045</v>
      </c>
      <c r="M94" s="114">
        <v>1.0534211260713899</v>
      </c>
      <c r="N94" s="114">
        <v>1.2699964835664153</v>
      </c>
      <c r="O94" s="114">
        <v>1.1967319042714593</v>
      </c>
      <c r="P94" s="114">
        <v>1.08</v>
      </c>
      <c r="Q94" s="114">
        <v>1.05</v>
      </c>
      <c r="R94" s="114">
        <v>1.07</v>
      </c>
      <c r="S94" s="114">
        <v>1.04</v>
      </c>
      <c r="T94" s="99">
        <v>1.05</v>
      </c>
      <c r="U94" s="99">
        <v>1.02</v>
      </c>
      <c r="V94" s="99">
        <v>0.97397592</v>
      </c>
      <c r="W94" s="99">
        <v>0.95</v>
      </c>
      <c r="X94" s="99">
        <v>0.8995838898608981</v>
      </c>
      <c r="Y94" s="316">
        <v>0.83757669895865672</v>
      </c>
      <c r="Z94" s="335"/>
    </row>
    <row r="95" spans="2:26" ht="12.95" customHeight="1" x14ac:dyDescent="0.2">
      <c r="C95" s="26" t="str">
        <f>VLOOKUP(66,Textbausteine_203[],Hilfsgrössen!$D$2,FALSE)</f>
        <v>Bern</v>
      </c>
      <c r="D95" s="1" t="str">
        <f>VLOOKUP(12,Textbausteine_203[],Hilfsgrössen!$D$2,FALSE)</f>
        <v>%</v>
      </c>
      <c r="E95" s="11" t="s">
        <v>142</v>
      </c>
      <c r="F95" s="9" t="s">
        <v>137</v>
      </c>
      <c r="H95" s="114">
        <v>2.4419239472726408</v>
      </c>
      <c r="I95" s="114">
        <v>2.4137907550425872</v>
      </c>
      <c r="J95" s="114">
        <v>2.3593339786042642</v>
      </c>
      <c r="K95" s="114">
        <v>2.2824917316791415</v>
      </c>
      <c r="L95" s="114">
        <v>2.2168363848316535</v>
      </c>
      <c r="M95" s="114">
        <v>2.1918632206098776</v>
      </c>
      <c r="N95" s="114">
        <v>2.1615220517799179</v>
      </c>
      <c r="O95" s="114">
        <v>2.1316871858169946</v>
      </c>
      <c r="P95" s="114">
        <v>1.93</v>
      </c>
      <c r="Q95" s="114">
        <v>1.91</v>
      </c>
      <c r="R95" s="114">
        <v>1.91</v>
      </c>
      <c r="S95" s="114">
        <v>1.92</v>
      </c>
      <c r="T95" s="99">
        <v>1.91</v>
      </c>
      <c r="U95" s="99">
        <v>1.86</v>
      </c>
      <c r="V95" s="99">
        <v>1.7813217699999999</v>
      </c>
      <c r="W95" s="99">
        <v>1.81</v>
      </c>
      <c r="X95" s="99">
        <v>1.815835245729984</v>
      </c>
      <c r="Y95" s="316">
        <v>1.8482162946420542</v>
      </c>
      <c r="Z95" s="335"/>
    </row>
    <row r="96" spans="2:26" ht="12.95" customHeight="1" x14ac:dyDescent="0.2">
      <c r="C96" s="26" t="str">
        <f>VLOOKUP(74,Textbausteine_203[],Hilfsgrössen!$D$2,FALSE)</f>
        <v>Luzern</v>
      </c>
      <c r="D96" s="1" t="str">
        <f>VLOOKUP(12,Textbausteine_203[],Hilfsgrössen!$D$2,FALSE)</f>
        <v>%</v>
      </c>
      <c r="E96" s="11" t="s">
        <v>142</v>
      </c>
      <c r="F96" s="9" t="s">
        <v>137</v>
      </c>
      <c r="H96" s="114">
        <v>1.3643902949750102</v>
      </c>
      <c r="I96" s="114">
        <v>1.3095296744252047</v>
      </c>
      <c r="J96" s="114">
        <v>1.2952407453242287</v>
      </c>
      <c r="K96" s="114">
        <v>1.276222909193103</v>
      </c>
      <c r="L96" s="114">
        <v>1.2420580472026141</v>
      </c>
      <c r="M96" s="114">
        <v>1.2223124101105949</v>
      </c>
      <c r="N96" s="114">
        <v>1.6291948436424248</v>
      </c>
      <c r="O96" s="114">
        <v>1.6048760237978468</v>
      </c>
      <c r="P96" s="114">
        <v>1.31</v>
      </c>
      <c r="Q96" s="114">
        <v>1.3</v>
      </c>
      <c r="R96" s="114">
        <v>1.25</v>
      </c>
      <c r="S96" s="114">
        <v>1.43</v>
      </c>
      <c r="T96" s="88">
        <v>1.42</v>
      </c>
      <c r="U96" s="88">
        <v>1.38</v>
      </c>
      <c r="V96" s="88">
        <v>1.26056634</v>
      </c>
      <c r="W96" s="88">
        <v>1.22</v>
      </c>
      <c r="X96" s="88">
        <v>1.1871164409886281</v>
      </c>
      <c r="Y96" s="316">
        <v>1.1471953645839295</v>
      </c>
      <c r="Z96" s="335"/>
    </row>
    <row r="97" spans="3:26" ht="12.95" customHeight="1" x14ac:dyDescent="0.2">
      <c r="C97" s="26" t="str">
        <f>VLOOKUP(84,Textbausteine_203[],Hilfsgrössen!$D$2,FALSE)</f>
        <v>Uri</v>
      </c>
      <c r="D97" s="1" t="str">
        <f>VLOOKUP(12,Textbausteine_203[],Hilfsgrössen!$D$2,FALSE)</f>
        <v>%</v>
      </c>
      <c r="E97" s="11" t="s">
        <v>142</v>
      </c>
      <c r="F97" s="9" t="s">
        <v>137</v>
      </c>
      <c r="H97" s="114">
        <v>1.079694986166408</v>
      </c>
      <c r="I97" s="114">
        <v>1.0622624108689294</v>
      </c>
      <c r="J97" s="114">
        <v>1.0735092336414964</v>
      </c>
      <c r="K97" s="114">
        <v>1.1134354544841083</v>
      </c>
      <c r="L97" s="114">
        <v>1.1606721101288886</v>
      </c>
      <c r="M97" s="114">
        <v>1.1640461569606586</v>
      </c>
      <c r="N97" s="114">
        <v>0.97285016982702377</v>
      </c>
      <c r="O97" s="114">
        <v>0.95935398249994353</v>
      </c>
      <c r="P97" s="114">
        <v>0.85</v>
      </c>
      <c r="Q97" s="114">
        <v>0.81</v>
      </c>
      <c r="R97" s="114">
        <v>0.79</v>
      </c>
      <c r="S97" s="114">
        <v>0.78</v>
      </c>
      <c r="T97" s="99">
        <v>0.75</v>
      </c>
      <c r="U97" s="99">
        <v>0.7</v>
      </c>
      <c r="V97" s="99">
        <v>0.61658411999999996</v>
      </c>
      <c r="W97" s="99">
        <v>0.56000000000000005</v>
      </c>
      <c r="X97" s="99">
        <v>0.50678272231189014</v>
      </c>
      <c r="Y97" s="316">
        <v>0.51446852663131193</v>
      </c>
      <c r="Z97" s="335"/>
    </row>
    <row r="98" spans="3:26" ht="12.95" customHeight="1" x14ac:dyDescent="0.2">
      <c r="C98" s="26" t="str">
        <f>VLOOKUP(81,Textbausteine_203[],Hilfsgrössen!$D$2,FALSE)</f>
        <v>Schwyz</v>
      </c>
      <c r="D98" s="1" t="str">
        <f>VLOOKUP(12,Textbausteine_203[],Hilfsgrössen!$D$2,FALSE)</f>
        <v>%</v>
      </c>
      <c r="E98" s="11" t="s">
        <v>142</v>
      </c>
      <c r="F98" s="9" t="s">
        <v>137</v>
      </c>
      <c r="H98" s="114">
        <v>0.98230842479827607</v>
      </c>
      <c r="I98" s="114">
        <v>0.95975542524933588</v>
      </c>
      <c r="J98" s="114">
        <v>0.94346714779732377</v>
      </c>
      <c r="K98" s="114">
        <v>0.91214353731268483</v>
      </c>
      <c r="L98" s="114">
        <v>1.0201751894730393</v>
      </c>
      <c r="M98" s="114">
        <v>1.0856061745100987</v>
      </c>
      <c r="N98" s="114">
        <v>0.82429821190909758</v>
      </c>
      <c r="O98" s="114">
        <v>0.79450597793704092</v>
      </c>
      <c r="P98" s="114">
        <v>0.62</v>
      </c>
      <c r="Q98" s="114">
        <v>0.59</v>
      </c>
      <c r="R98" s="114">
        <v>0.56999999999999995</v>
      </c>
      <c r="S98" s="114">
        <v>1.52</v>
      </c>
      <c r="T98" s="99">
        <v>0.51</v>
      </c>
      <c r="U98" s="99">
        <v>0.49</v>
      </c>
      <c r="V98" s="99">
        <v>0.45962395</v>
      </c>
      <c r="W98" s="99">
        <v>0.41</v>
      </c>
      <c r="X98" s="99">
        <v>0.42166791697924483</v>
      </c>
      <c r="Y98" s="316">
        <v>0.42175543885971495</v>
      </c>
      <c r="Z98" s="335"/>
    </row>
    <row r="99" spans="3:26" ht="12.95" customHeight="1" x14ac:dyDescent="0.2">
      <c r="C99" s="26" t="str">
        <f>VLOOKUP(77,Textbausteine_203[],Hilfsgrössen!$D$2,FALSE)</f>
        <v>Obwalden</v>
      </c>
      <c r="D99" s="1" t="str">
        <f>VLOOKUP(12,Textbausteine_203[],Hilfsgrössen!$D$2,FALSE)</f>
        <v>%</v>
      </c>
      <c r="E99" s="11" t="s">
        <v>142</v>
      </c>
      <c r="F99" s="9" t="s">
        <v>137</v>
      </c>
      <c r="H99" s="114">
        <v>0.77406869859700045</v>
      </c>
      <c r="I99" s="114">
        <v>0.72770520883728429</v>
      </c>
      <c r="J99" s="114">
        <v>0.73022496371552981</v>
      </c>
      <c r="K99" s="114">
        <v>0.74383164005805513</v>
      </c>
      <c r="L99" s="114">
        <v>0.78011611030478956</v>
      </c>
      <c r="M99" s="114">
        <v>0.89451499758103536</v>
      </c>
      <c r="N99" s="114">
        <v>0.77205289469440408</v>
      </c>
      <c r="O99" s="114">
        <v>0.76701338493791316</v>
      </c>
      <c r="P99" s="114">
        <v>0.61</v>
      </c>
      <c r="Q99" s="114">
        <v>0.61</v>
      </c>
      <c r="R99" s="114">
        <v>0.59</v>
      </c>
      <c r="S99" s="114">
        <v>0.56000000000000005</v>
      </c>
      <c r="T99" s="99">
        <v>0.52</v>
      </c>
      <c r="U99" s="99">
        <v>0.49</v>
      </c>
      <c r="V99" s="99">
        <v>0.43803576</v>
      </c>
      <c r="W99" s="99">
        <v>0.54</v>
      </c>
      <c r="X99" s="99">
        <v>0.5799638671718883</v>
      </c>
      <c r="Y99" s="316">
        <v>0.59035605224870735</v>
      </c>
      <c r="Z99" s="335"/>
    </row>
    <row r="100" spans="3:26" ht="12.95" customHeight="1" x14ac:dyDescent="0.2">
      <c r="C100" s="26" t="str">
        <f>VLOOKUP(76,Textbausteine_203[],Hilfsgrössen!$D$2,FALSE)</f>
        <v>Nidwalden</v>
      </c>
      <c r="D100" s="1" t="str">
        <f>VLOOKUP(12,Textbausteine_203[],Hilfsgrössen!$D$2,FALSE)</f>
        <v>%</v>
      </c>
      <c r="E100" s="11" t="s">
        <v>142</v>
      </c>
      <c r="F100" s="9" t="s">
        <v>137</v>
      </c>
      <c r="H100" s="114">
        <v>0.91697508700215435</v>
      </c>
      <c r="I100" s="114">
        <v>0.87186285882634562</v>
      </c>
      <c r="J100" s="114">
        <v>0.8704818722495351</v>
      </c>
      <c r="K100" s="114">
        <v>0.86725957023697731</v>
      </c>
      <c r="L100" s="114">
        <v>0.88935535546594491</v>
      </c>
      <c r="M100" s="114">
        <v>0.9648511296470198</v>
      </c>
      <c r="N100" s="114">
        <v>0.79867057025539057</v>
      </c>
      <c r="O100" s="114">
        <v>0.76138393268150772</v>
      </c>
      <c r="P100" s="114">
        <v>0.57999999999999996</v>
      </c>
      <c r="Q100" s="114">
        <v>0.55000000000000004</v>
      </c>
      <c r="R100" s="114">
        <v>0.55000000000000004</v>
      </c>
      <c r="S100" s="114">
        <v>0.51</v>
      </c>
      <c r="T100" s="88">
        <v>0.48</v>
      </c>
      <c r="U100" s="88">
        <v>0.46</v>
      </c>
      <c r="V100" s="88">
        <v>0.42093978999999998</v>
      </c>
      <c r="W100" s="88">
        <v>0.39</v>
      </c>
      <c r="X100" s="88">
        <v>0.3670186023127201</v>
      </c>
      <c r="Y100" s="316">
        <v>0.56704733175321265</v>
      </c>
      <c r="Z100" s="335"/>
    </row>
    <row r="101" spans="3:26" ht="12.95" customHeight="1" x14ac:dyDescent="0.2">
      <c r="C101" s="26" t="str">
        <f>VLOOKUP(71,Textbausteine_203[],Hilfsgrössen!$D$2,FALSE)</f>
        <v>Glarus</v>
      </c>
      <c r="D101" s="1" t="str">
        <f>VLOOKUP(12,Textbausteine_203[],Hilfsgrössen!$D$2,FALSE)</f>
        <v>%</v>
      </c>
      <c r="E101" s="11" t="s">
        <v>142</v>
      </c>
      <c r="F101" s="9" t="s">
        <v>137</v>
      </c>
      <c r="H101" s="114">
        <v>1.9809162435131966</v>
      </c>
      <c r="I101" s="114">
        <v>2.0980972043970763</v>
      </c>
      <c r="J101" s="114">
        <v>2.005561445603854</v>
      </c>
      <c r="K101" s="114">
        <v>1.9362758774621951</v>
      </c>
      <c r="L101" s="114">
        <v>2.0032364265386975</v>
      </c>
      <c r="M101" s="114">
        <v>2.0339266781987613</v>
      </c>
      <c r="N101" s="114">
        <v>1.9511559994791958</v>
      </c>
      <c r="O101" s="114">
        <v>1.9107006677454756</v>
      </c>
      <c r="P101" s="114">
        <v>1.61</v>
      </c>
      <c r="Q101" s="114">
        <v>1.55</v>
      </c>
      <c r="R101" s="114">
        <v>1.46</v>
      </c>
      <c r="S101" s="114">
        <v>1.46</v>
      </c>
      <c r="T101" s="99">
        <v>1.42</v>
      </c>
      <c r="U101" s="99">
        <v>1.33</v>
      </c>
      <c r="V101" s="99">
        <v>1.32967295</v>
      </c>
      <c r="W101" s="99">
        <v>1.54</v>
      </c>
      <c r="X101" s="99">
        <v>1.5667986578248509</v>
      </c>
      <c r="Y101" s="316">
        <v>1.4852980932843518</v>
      </c>
      <c r="Z101" s="335"/>
    </row>
    <row r="102" spans="3:26" ht="12.95" customHeight="1" x14ac:dyDescent="0.2">
      <c r="C102" s="26" t="str">
        <f>VLOOKUP(87,Textbausteine_203[],Hilfsgrössen!$D$2,FALSE)</f>
        <v>Zug</v>
      </c>
      <c r="D102" s="1" t="str">
        <f>VLOOKUP(12,Textbausteine_203[],Hilfsgrössen!$D$2,FALSE)</f>
        <v>%</v>
      </c>
      <c r="E102" s="11" t="s">
        <v>142</v>
      </c>
      <c r="F102" s="9" t="s">
        <v>137</v>
      </c>
      <c r="H102" s="114">
        <v>0.61501676197988564</v>
      </c>
      <c r="I102" s="114">
        <v>0.59221553934135274</v>
      </c>
      <c r="J102" s="114">
        <v>0.57742555708933152</v>
      </c>
      <c r="K102" s="114">
        <v>0.56448432261881287</v>
      </c>
      <c r="L102" s="114">
        <v>0.57434431078682713</v>
      </c>
      <c r="M102" s="114">
        <v>0.65712753894695319</v>
      </c>
      <c r="N102" s="114">
        <v>0.5262768684677579</v>
      </c>
      <c r="O102" s="114">
        <v>0.51816291987116281</v>
      </c>
      <c r="P102" s="114">
        <v>0.71</v>
      </c>
      <c r="Q102" s="114">
        <v>0.71</v>
      </c>
      <c r="R102" s="114">
        <v>0.72</v>
      </c>
      <c r="S102" s="114">
        <v>0.7</v>
      </c>
      <c r="T102" s="99">
        <v>0.68</v>
      </c>
      <c r="U102" s="99">
        <v>0.65</v>
      </c>
      <c r="V102" s="99">
        <v>0.60757103000000001</v>
      </c>
      <c r="W102" s="99">
        <v>0.43</v>
      </c>
      <c r="X102" s="99">
        <v>0.26654729093154067</v>
      </c>
      <c r="Y102" s="316">
        <v>0.28315163644236868</v>
      </c>
      <c r="Z102" s="335"/>
    </row>
    <row r="103" spans="3:26" ht="12.95" customHeight="1" x14ac:dyDescent="0.2">
      <c r="C103" s="26" t="str">
        <f>VLOOKUP(69,Textbausteine_203[],Hilfsgrössen!$D$2,FALSE)</f>
        <v>Freiburg</v>
      </c>
      <c r="D103" s="1" t="str">
        <f>VLOOKUP(12,Textbausteine_203[],Hilfsgrössen!$D$2,FALSE)</f>
        <v>%</v>
      </c>
      <c r="E103" s="11" t="s">
        <v>142</v>
      </c>
      <c r="F103" s="9" t="s">
        <v>137</v>
      </c>
      <c r="H103" s="114">
        <v>1.5774245599718086</v>
      </c>
      <c r="I103" s="114">
        <v>1.6629277548375423</v>
      </c>
      <c r="J103" s="114">
        <v>1.6472077452380509</v>
      </c>
      <c r="K103" s="114">
        <v>1.6302835840273013</v>
      </c>
      <c r="L103" s="114">
        <v>1.6183432501391302</v>
      </c>
      <c r="M103" s="114">
        <v>1.5040868371756588</v>
      </c>
      <c r="N103" s="114">
        <v>1.4054781732415873</v>
      </c>
      <c r="O103" s="114">
        <v>1.3810579223621491</v>
      </c>
      <c r="P103" s="114">
        <v>1.1200000000000001</v>
      </c>
      <c r="Q103" s="114">
        <v>1.1399999999999999</v>
      </c>
      <c r="R103" s="114">
        <v>1.1499999999999999</v>
      </c>
      <c r="S103" s="114">
        <v>1.1299999999999999</v>
      </c>
      <c r="T103" s="99">
        <v>1.0900000000000001</v>
      </c>
      <c r="U103" s="99">
        <v>1.04</v>
      </c>
      <c r="V103" s="99">
        <v>0.96203344000000002</v>
      </c>
      <c r="W103" s="99">
        <v>0.93</v>
      </c>
      <c r="X103" s="99">
        <v>0.89269926999588944</v>
      </c>
      <c r="Y103" s="316">
        <v>0.86611808112113009</v>
      </c>
      <c r="Z103" s="335"/>
    </row>
    <row r="104" spans="3:26" ht="12.95" customHeight="1" x14ac:dyDescent="0.2">
      <c r="C104" s="26" t="str">
        <f>VLOOKUP(80,Textbausteine_203[],Hilfsgrössen!$D$2,FALSE)</f>
        <v>Solothurn</v>
      </c>
      <c r="D104" s="1" t="str">
        <f>VLOOKUP(12,Textbausteine_203[],Hilfsgrössen!$D$2,FALSE)</f>
        <v>%</v>
      </c>
      <c r="E104" s="11" t="s">
        <v>142</v>
      </c>
      <c r="F104" s="9" t="s">
        <v>137</v>
      </c>
      <c r="H104" s="114">
        <v>1.8399741399843479</v>
      </c>
      <c r="I104" s="114">
        <v>1.7046672037910258</v>
      </c>
      <c r="J104" s="114">
        <v>1.5919677021271295</v>
      </c>
      <c r="K104" s="114">
        <v>1.5805233250535913</v>
      </c>
      <c r="L104" s="114">
        <v>1.8901629861512812</v>
      </c>
      <c r="M104" s="114">
        <v>2.2489281704038926</v>
      </c>
      <c r="N104" s="114">
        <v>2.1691080563022438</v>
      </c>
      <c r="O104" s="114">
        <v>2.1770475347919289</v>
      </c>
      <c r="P104" s="114">
        <v>2.2400000000000002</v>
      </c>
      <c r="Q104" s="114">
        <v>2.2000000000000002</v>
      </c>
      <c r="R104" s="114">
        <v>2.1800000000000002</v>
      </c>
      <c r="S104" s="114">
        <v>2.21</v>
      </c>
      <c r="T104" s="99">
        <v>2.15</v>
      </c>
      <c r="U104" s="99">
        <v>2.16</v>
      </c>
      <c r="V104" s="99">
        <v>2.0841260500000001</v>
      </c>
      <c r="W104" s="99">
        <v>1.88</v>
      </c>
      <c r="X104" s="99">
        <v>1.7228937077852824</v>
      </c>
      <c r="Y104" s="316">
        <v>1.6472986338955959</v>
      </c>
      <c r="Z104" s="335"/>
    </row>
    <row r="105" spans="3:26" ht="12.95" customHeight="1" x14ac:dyDescent="0.2">
      <c r="C105" s="26" t="str">
        <f>VLOOKUP(68,Textbausteine_203[],Hilfsgrössen!$D$2,FALSE)</f>
        <v>Basel-Stadt</v>
      </c>
      <c r="D105" s="1" t="str">
        <f>VLOOKUP(12,Textbausteine_203[],Hilfsgrössen!$D$2,FALSE)</f>
        <v>%</v>
      </c>
      <c r="E105" s="11" t="s">
        <v>142</v>
      </c>
      <c r="F105" s="9" t="s">
        <v>137</v>
      </c>
      <c r="H105" s="114">
        <v>1.3629080398378837</v>
      </c>
      <c r="I105" s="114">
        <v>1.272476881669756</v>
      </c>
      <c r="J105" s="114">
        <v>1.2224932515918825</v>
      </c>
      <c r="K105" s="114">
        <v>1.1794275660561122</v>
      </c>
      <c r="L105" s="114">
        <v>1.2391215558138804</v>
      </c>
      <c r="M105" s="114">
        <v>1.0637575795658047</v>
      </c>
      <c r="N105" s="114">
        <v>1.2916051254477872</v>
      </c>
      <c r="O105" s="114">
        <v>1.2049807827243497</v>
      </c>
      <c r="P105" s="114">
        <v>1.48</v>
      </c>
      <c r="Q105" s="114">
        <v>1.53</v>
      </c>
      <c r="R105" s="114">
        <v>1.64</v>
      </c>
      <c r="S105" s="114">
        <v>1.26</v>
      </c>
      <c r="T105" s="99">
        <v>1.25</v>
      </c>
      <c r="U105" s="99">
        <v>1.18</v>
      </c>
      <c r="V105" s="99">
        <v>1.06752702</v>
      </c>
      <c r="W105" s="99">
        <v>0.93</v>
      </c>
      <c r="X105" s="99">
        <v>0.90832507346475544</v>
      </c>
      <c r="Y105" s="316">
        <v>0.89554758216554475</v>
      </c>
      <c r="Z105" s="335"/>
    </row>
    <row r="106" spans="3:26" ht="12.95" customHeight="1" x14ac:dyDescent="0.2">
      <c r="C106" s="26" t="str">
        <f>VLOOKUP(67,Textbausteine_203[],Hilfsgrössen!$D$2,FALSE)</f>
        <v>Basel-Landschaft</v>
      </c>
      <c r="D106" s="1" t="str">
        <f>VLOOKUP(12,Textbausteine_203[],Hilfsgrössen!$D$2,FALSE)</f>
        <v>%</v>
      </c>
      <c r="E106" s="11" t="s">
        <v>142</v>
      </c>
      <c r="F106" s="9" t="s">
        <v>137</v>
      </c>
      <c r="H106" s="114">
        <v>1.1903326662326492</v>
      </c>
      <c r="I106" s="114">
        <v>1.0989166034653897</v>
      </c>
      <c r="J106" s="114">
        <v>1.0472556222744078</v>
      </c>
      <c r="K106" s="114">
        <v>1.0488751717985194</v>
      </c>
      <c r="L106" s="114">
        <v>1.2795473360178107</v>
      </c>
      <c r="M106" s="114">
        <v>1.4396249768925968</v>
      </c>
      <c r="N106" s="114">
        <v>0.97787851266017789</v>
      </c>
      <c r="O106" s="114">
        <v>0.95249385811920462</v>
      </c>
      <c r="P106" s="114">
        <v>0.83</v>
      </c>
      <c r="Q106" s="114">
        <v>0.8</v>
      </c>
      <c r="R106" s="114">
        <v>0.75</v>
      </c>
      <c r="S106" s="114">
        <v>0.7</v>
      </c>
      <c r="T106" s="99">
        <v>0.67</v>
      </c>
      <c r="U106" s="99">
        <v>0.64</v>
      </c>
      <c r="V106" s="99">
        <v>0.59342196999999997</v>
      </c>
      <c r="W106" s="99">
        <v>0.53</v>
      </c>
      <c r="X106" s="99">
        <v>0.52758613685757039</v>
      </c>
      <c r="Y106" s="316">
        <v>0.56279239815573356</v>
      </c>
      <c r="Z106" s="335"/>
    </row>
    <row r="107" spans="3:26" ht="12.95" customHeight="1" x14ac:dyDescent="0.2">
      <c r="C107" s="26" t="str">
        <f>VLOOKUP(79,Textbausteine_203[],Hilfsgrössen!$D$2,FALSE)</f>
        <v>Schaffhausen</v>
      </c>
      <c r="D107" s="1" t="str">
        <f>VLOOKUP(12,Textbausteine_203[],Hilfsgrössen!$D$2,FALSE)</f>
        <v>%</v>
      </c>
      <c r="E107" s="11" t="s">
        <v>142</v>
      </c>
      <c r="F107" s="9" t="s">
        <v>137</v>
      </c>
      <c r="H107" s="114">
        <v>0.9880641846494348</v>
      </c>
      <c r="I107" s="114">
        <v>1.0240736349344364</v>
      </c>
      <c r="J107" s="114">
        <v>1.030880299317577</v>
      </c>
      <c r="K107" s="114">
        <v>0.98279450899797127</v>
      </c>
      <c r="L107" s="114">
        <v>0.9880641846494348</v>
      </c>
      <c r="M107" s="114">
        <v>1.0159486733591547</v>
      </c>
      <c r="N107" s="114">
        <v>0.96918118023168998</v>
      </c>
      <c r="O107" s="114">
        <v>1.0319781484116319</v>
      </c>
      <c r="P107" s="114">
        <v>0.89</v>
      </c>
      <c r="Q107" s="114">
        <v>0.87</v>
      </c>
      <c r="R107" s="114">
        <v>0.85</v>
      </c>
      <c r="S107" s="114">
        <v>0.53</v>
      </c>
      <c r="T107" s="99">
        <v>0.8</v>
      </c>
      <c r="U107" s="99">
        <v>0.81</v>
      </c>
      <c r="V107" s="99">
        <v>0.75841104999999998</v>
      </c>
      <c r="W107" s="99">
        <v>0.72</v>
      </c>
      <c r="X107" s="99">
        <v>0.69251819374850787</v>
      </c>
      <c r="Y107" s="316">
        <v>0.6966192436172759</v>
      </c>
      <c r="Z107" s="335"/>
    </row>
    <row r="108" spans="3:26" ht="12.95" customHeight="1" x14ac:dyDescent="0.2">
      <c r="C108" s="26" t="str">
        <f>VLOOKUP(65,Textbausteine_203[],Hilfsgrössen!$D$2,FALSE)</f>
        <v>Appenzell Ausserrhoden</v>
      </c>
      <c r="D108" s="1" t="str">
        <f>VLOOKUP(12,Textbausteine_203[],Hilfsgrössen!$D$2,FALSE)</f>
        <v>%</v>
      </c>
      <c r="E108" s="11" t="s">
        <v>142</v>
      </c>
      <c r="F108" s="9" t="s">
        <v>137</v>
      </c>
      <c r="H108" s="114">
        <v>1.3698630136986301</v>
      </c>
      <c r="I108" s="114">
        <v>1.3588029893665765</v>
      </c>
      <c r="J108" s="114">
        <v>1.2975778546712802</v>
      </c>
      <c r="K108" s="114">
        <v>1.1850026070057353</v>
      </c>
      <c r="L108" s="114">
        <v>1.1707825757216666</v>
      </c>
      <c r="M108" s="114">
        <v>1.275456226003697</v>
      </c>
      <c r="N108" s="114">
        <v>0.94444707778357107</v>
      </c>
      <c r="O108" s="114">
        <v>0.89230696307531865</v>
      </c>
      <c r="P108" s="114">
        <v>0.77</v>
      </c>
      <c r="Q108" s="114">
        <v>0.76</v>
      </c>
      <c r="R108" s="114">
        <v>0.73</v>
      </c>
      <c r="S108" s="114">
        <v>0.67</v>
      </c>
      <c r="T108" s="99">
        <v>0.66</v>
      </c>
      <c r="U108" s="99">
        <v>0.64</v>
      </c>
      <c r="V108" s="99">
        <v>0.58383233999999995</v>
      </c>
      <c r="W108" s="99">
        <v>0.55000000000000004</v>
      </c>
      <c r="X108" s="99">
        <v>0.51703044264834241</v>
      </c>
      <c r="Y108" s="316">
        <v>0.50954667916129792</v>
      </c>
      <c r="Z108" s="335"/>
    </row>
    <row r="109" spans="3:26" ht="12.95" customHeight="1" x14ac:dyDescent="0.2">
      <c r="C109" s="26" t="str">
        <f>VLOOKUP(64,Textbausteine_203[],Hilfsgrössen!$D$2,FALSE)</f>
        <v>Appenzell Innerrhoden</v>
      </c>
      <c r="D109" s="1" t="str">
        <f>VLOOKUP(12,Textbausteine_203[],Hilfsgrössen!$D$2,FALSE)</f>
        <v>%</v>
      </c>
      <c r="E109" s="11" t="s">
        <v>142</v>
      </c>
      <c r="F109" s="9" t="s">
        <v>137</v>
      </c>
      <c r="H109" s="114">
        <v>0.99901735997379626</v>
      </c>
      <c r="I109" s="114">
        <v>1.009935582487171</v>
      </c>
      <c r="J109" s="114">
        <v>1.0426902500272954</v>
      </c>
      <c r="K109" s="114">
        <v>1.0317720275139208</v>
      </c>
      <c r="L109" s="114">
        <v>1.0645266950540453</v>
      </c>
      <c r="M109" s="114">
        <v>1.151867016049787</v>
      </c>
      <c r="N109" s="114">
        <v>0.94579102522109415</v>
      </c>
      <c r="O109" s="114">
        <v>0.91849546893765699</v>
      </c>
      <c r="P109" s="114">
        <v>0.74</v>
      </c>
      <c r="Q109" s="114">
        <v>0.77</v>
      </c>
      <c r="R109" s="114">
        <v>0.79</v>
      </c>
      <c r="S109" s="114">
        <v>0.74</v>
      </c>
      <c r="T109" s="99">
        <v>0.79</v>
      </c>
      <c r="U109" s="99">
        <v>0.76</v>
      </c>
      <c r="V109" s="99">
        <v>0.71222350000000001</v>
      </c>
      <c r="W109" s="99">
        <v>0.78</v>
      </c>
      <c r="X109" s="99">
        <v>0.89113680154142627</v>
      </c>
      <c r="Y109" s="316">
        <v>0.8838066515875006</v>
      </c>
      <c r="Z109" s="335"/>
    </row>
    <row r="110" spans="3:26" ht="12.95" customHeight="1" x14ac:dyDescent="0.2">
      <c r="C110" s="26" t="str">
        <f>VLOOKUP(78,Textbausteine_203[],Hilfsgrössen!$D$2,FALSE)</f>
        <v>St. Gallen</v>
      </c>
      <c r="D110" s="1" t="str">
        <f>VLOOKUP(12,Textbausteine_203[],Hilfsgrössen!$D$2,FALSE)</f>
        <v>%</v>
      </c>
      <c r="E110" s="11" t="s">
        <v>142</v>
      </c>
      <c r="F110" s="9" t="s">
        <v>137</v>
      </c>
      <c r="H110" s="114">
        <v>1.1738766005062162</v>
      </c>
      <c r="I110" s="114">
        <v>1.13272416721376</v>
      </c>
      <c r="J110" s="114">
        <v>1.1278878143017375</v>
      </c>
      <c r="K110" s="114">
        <v>1.1107027982278304</v>
      </c>
      <c r="L110" s="114">
        <v>1.0958383741623277</v>
      </c>
      <c r="M110" s="114">
        <v>1.1529908459921796</v>
      </c>
      <c r="N110" s="114">
        <v>1.3034404351429221</v>
      </c>
      <c r="O110" s="114">
        <v>1.3400347111828641</v>
      </c>
      <c r="P110" s="114">
        <v>1.17</v>
      </c>
      <c r="Q110" s="114">
        <v>1.3</v>
      </c>
      <c r="R110" s="114">
        <v>1.55</v>
      </c>
      <c r="S110" s="114">
        <v>0.99</v>
      </c>
      <c r="T110" s="99">
        <v>1.45</v>
      </c>
      <c r="U110" s="99">
        <v>1.34</v>
      </c>
      <c r="V110" s="99">
        <v>1.18714389</v>
      </c>
      <c r="W110" s="99">
        <v>1.08</v>
      </c>
      <c r="X110" s="99">
        <v>0.98669417554215155</v>
      </c>
      <c r="Y110" s="316">
        <v>0.94199210036987235</v>
      </c>
      <c r="Z110" s="335"/>
    </row>
    <row r="111" spans="3:26" ht="12.95" customHeight="1" x14ac:dyDescent="0.2">
      <c r="C111" s="26" t="str">
        <f>VLOOKUP(72,Textbausteine_203[],Hilfsgrössen!$D$2,FALSE)</f>
        <v>Graubünden</v>
      </c>
      <c r="D111" s="1" t="str">
        <f>VLOOKUP(12,Textbausteine_203[],Hilfsgrössen!$D$2,FALSE)</f>
        <v>%</v>
      </c>
      <c r="E111" s="11" t="s">
        <v>142</v>
      </c>
      <c r="F111" s="9" t="s">
        <v>137</v>
      </c>
      <c r="H111" s="114">
        <v>1.7506620150477072</v>
      </c>
      <c r="I111" s="114">
        <v>1.6917286649012935</v>
      </c>
      <c r="J111" s="114">
        <v>1.6386623793311195</v>
      </c>
      <c r="K111" s="114">
        <v>1.5867344794249925</v>
      </c>
      <c r="L111" s="114">
        <v>1.6266655457946282</v>
      </c>
      <c r="M111" s="114">
        <v>1.5851582531209281</v>
      </c>
      <c r="N111" s="114">
        <v>1.3943473022011126</v>
      </c>
      <c r="O111" s="114">
        <v>1.3599330278957029</v>
      </c>
      <c r="P111" s="114">
        <v>1.07</v>
      </c>
      <c r="Q111" s="114">
        <v>1.05</v>
      </c>
      <c r="R111" s="114">
        <v>1.06</v>
      </c>
      <c r="S111" s="114">
        <v>1.03</v>
      </c>
      <c r="T111" s="168">
        <v>1</v>
      </c>
      <c r="U111" s="168">
        <v>0.97</v>
      </c>
      <c r="V111" s="168">
        <v>0.92750657000000003</v>
      </c>
      <c r="W111" s="168">
        <v>0.92</v>
      </c>
      <c r="X111" s="168">
        <v>0.90158647917122303</v>
      </c>
      <c r="Y111" s="316">
        <v>0.90975229984159212</v>
      </c>
      <c r="Z111" s="335"/>
    </row>
    <row r="112" spans="3:26" ht="12.95" customHeight="1" x14ac:dyDescent="0.2">
      <c r="C112" s="26" t="str">
        <f>VLOOKUP(63,Textbausteine_203[],Hilfsgrössen!$D$2,FALSE)</f>
        <v>Aargau</v>
      </c>
      <c r="D112" s="1" t="str">
        <f>VLOOKUP(12,Textbausteine_203[],Hilfsgrössen!$D$2,FALSE)</f>
        <v>%</v>
      </c>
      <c r="E112" s="11" t="s">
        <v>142</v>
      </c>
      <c r="F112" s="9" t="s">
        <v>137</v>
      </c>
      <c r="G112" s="33"/>
      <c r="H112" s="114">
        <v>1.309817049549385</v>
      </c>
      <c r="I112" s="114">
        <v>1.3080356761751266</v>
      </c>
      <c r="J112" s="114">
        <v>1.2523431029207071</v>
      </c>
      <c r="K112" s="114">
        <v>1.206391205514096</v>
      </c>
      <c r="L112" s="114">
        <v>1.2970258674248791</v>
      </c>
      <c r="M112" s="114">
        <v>1.2784483199695935</v>
      </c>
      <c r="N112" s="114">
        <v>1.179590633443703</v>
      </c>
      <c r="O112" s="114">
        <v>1.1588067898031134</v>
      </c>
      <c r="P112" s="114">
        <v>0.98</v>
      </c>
      <c r="Q112" s="114">
        <v>0.91</v>
      </c>
      <c r="R112" s="114">
        <v>0.86</v>
      </c>
      <c r="S112" s="114">
        <v>0.81</v>
      </c>
      <c r="T112" s="88">
        <v>0.79</v>
      </c>
      <c r="U112" s="88">
        <v>0.75</v>
      </c>
      <c r="V112" s="88">
        <v>0.72422096999999996</v>
      </c>
      <c r="W112" s="88">
        <v>0.73</v>
      </c>
      <c r="X112" s="88">
        <v>0.69897674437179558</v>
      </c>
      <c r="Y112" s="316">
        <v>0.72545660883281671</v>
      </c>
      <c r="Z112" s="335"/>
    </row>
    <row r="113" spans="1:83" ht="12.95" customHeight="1" x14ac:dyDescent="0.2">
      <c r="C113" s="26" t="str">
        <f>VLOOKUP(82,Textbausteine_203[],Hilfsgrössen!$D$2,FALSE)</f>
        <v>Thurgau</v>
      </c>
      <c r="D113" s="1" t="str">
        <f>VLOOKUP(12,Textbausteine_203[],Hilfsgrössen!$D$2,FALSE)</f>
        <v>%</v>
      </c>
      <c r="E113" s="11" t="s">
        <v>142</v>
      </c>
      <c r="F113" s="9" t="s">
        <v>137</v>
      </c>
      <c r="H113" s="114">
        <v>1.4557934734440263</v>
      </c>
      <c r="I113" s="114">
        <v>1.3977283084572423</v>
      </c>
      <c r="J113" s="114">
        <v>1.356634829041697</v>
      </c>
      <c r="K113" s="114">
        <v>1.3369916744453558</v>
      </c>
      <c r="L113" s="114">
        <v>1.3643349456434626</v>
      </c>
      <c r="M113" s="114">
        <v>1.4631007269538654</v>
      </c>
      <c r="N113" s="114">
        <v>1.2291114694022509</v>
      </c>
      <c r="O113" s="114">
        <v>1.2201541909063194</v>
      </c>
      <c r="P113" s="114">
        <v>1.0900000000000001</v>
      </c>
      <c r="Q113" s="114">
        <v>1.0900000000000001</v>
      </c>
      <c r="R113" s="114">
        <v>1.05</v>
      </c>
      <c r="S113" s="114">
        <v>0.97</v>
      </c>
      <c r="T113" s="99">
        <v>1</v>
      </c>
      <c r="U113" s="99">
        <v>1.0900000000000001</v>
      </c>
      <c r="V113" s="99">
        <v>1.07594028</v>
      </c>
      <c r="W113" s="99">
        <v>1.07</v>
      </c>
      <c r="X113" s="99">
        <v>1.0654106579831524</v>
      </c>
      <c r="Y113" s="316">
        <v>1.092223600558226</v>
      </c>
      <c r="Z113" s="335"/>
    </row>
    <row r="114" spans="1:83" ht="12.95" customHeight="1" x14ac:dyDescent="0.2">
      <c r="C114" s="26" t="str">
        <f>VLOOKUP(83,Textbausteine_203[],Hilfsgrössen!$D$2,FALSE)</f>
        <v>Tessin</v>
      </c>
      <c r="D114" s="1" t="str">
        <f>VLOOKUP(12,Textbausteine_203[],Hilfsgrössen!$D$2,FALSE)</f>
        <v>%</v>
      </c>
      <c r="E114" s="11" t="s">
        <v>142</v>
      </c>
      <c r="F114" s="9" t="s">
        <v>137</v>
      </c>
      <c r="H114" s="114">
        <v>1.3728575442540039</v>
      </c>
      <c r="I114" s="114">
        <v>1.3381983421021719</v>
      </c>
      <c r="J114" s="114">
        <v>1.3033178411692361</v>
      </c>
      <c r="K114" s="114">
        <v>1.2891261590334364</v>
      </c>
      <c r="L114" s="114">
        <v>1.2655240236021355</v>
      </c>
      <c r="M114" s="114">
        <v>1.2258595110986232</v>
      </c>
      <c r="N114" s="114">
        <v>1.1321063969279761</v>
      </c>
      <c r="O114" s="114">
        <v>1.1130467359745249</v>
      </c>
      <c r="P114" s="114">
        <v>1.03</v>
      </c>
      <c r="Q114" s="114">
        <v>1.02</v>
      </c>
      <c r="R114" s="114">
        <v>1.01</v>
      </c>
      <c r="S114" s="114">
        <v>1.02</v>
      </c>
      <c r="T114" s="99">
        <v>0.96</v>
      </c>
      <c r="U114" s="99">
        <v>0.93</v>
      </c>
      <c r="V114" s="99">
        <v>0.83160433</v>
      </c>
      <c r="W114" s="99">
        <v>0.82</v>
      </c>
      <c r="X114" s="99">
        <v>0.80595963595464204</v>
      </c>
      <c r="Y114" s="316">
        <v>0.82513456594592249</v>
      </c>
      <c r="Z114" s="335"/>
    </row>
    <row r="115" spans="1:83" ht="12.95" customHeight="1" x14ac:dyDescent="0.2">
      <c r="C115" s="26" t="str">
        <f>VLOOKUP(85,Textbausteine_203[],Hilfsgrössen!$D$2,FALSE)</f>
        <v>Waadt</v>
      </c>
      <c r="D115" s="1" t="str">
        <f>VLOOKUP(12,Textbausteine_203[],Hilfsgrössen!$D$2,FALSE)</f>
        <v>%</v>
      </c>
      <c r="E115" s="11" t="s">
        <v>142</v>
      </c>
      <c r="F115" s="9" t="s">
        <v>137</v>
      </c>
      <c r="H115" s="114">
        <v>1.4888809754779768</v>
      </c>
      <c r="I115" s="114">
        <v>1.4629350775832723</v>
      </c>
      <c r="J115" s="114">
        <v>1.4029073464613198</v>
      </c>
      <c r="K115" s="114">
        <v>1.3547281948008889</v>
      </c>
      <c r="L115" s="114">
        <v>1.3767185481091746</v>
      </c>
      <c r="M115" s="114">
        <v>1.3737867922443114</v>
      </c>
      <c r="N115" s="114">
        <v>1.3050476646569329</v>
      </c>
      <c r="O115" s="114">
        <v>1.2909263193225029</v>
      </c>
      <c r="P115" s="114">
        <v>1.01</v>
      </c>
      <c r="Q115" s="114">
        <v>0.97</v>
      </c>
      <c r="R115" s="114">
        <v>0.96</v>
      </c>
      <c r="S115" s="114">
        <v>0.94</v>
      </c>
      <c r="T115" s="99">
        <v>0.93</v>
      </c>
      <c r="U115" s="99">
        <v>0.9</v>
      </c>
      <c r="V115" s="99">
        <v>0.83015676999999999</v>
      </c>
      <c r="W115" s="99">
        <v>0.81</v>
      </c>
      <c r="X115" s="99">
        <v>0.76893825768938184</v>
      </c>
      <c r="Y115" s="316">
        <v>0.76754616118176833</v>
      </c>
      <c r="Z115" s="335"/>
    </row>
    <row r="116" spans="1:83" ht="12.95" customHeight="1" x14ac:dyDescent="0.2">
      <c r="C116" s="26" t="str">
        <f>VLOOKUP(86,Textbausteine_203[],Hilfsgrössen!$D$2,FALSE)</f>
        <v>Wallis</v>
      </c>
      <c r="D116" s="1" t="str">
        <f>VLOOKUP(12,Textbausteine_203[],Hilfsgrössen!$D$2,FALSE)</f>
        <v>%</v>
      </c>
      <c r="E116" s="11" t="s">
        <v>142</v>
      </c>
      <c r="F116" s="9" t="s">
        <v>137</v>
      </c>
      <c r="H116" s="114">
        <v>1.2505175348473463</v>
      </c>
      <c r="I116" s="114">
        <v>1.2424765767561683</v>
      </c>
      <c r="J116" s="114">
        <v>1.218059793803894</v>
      </c>
      <c r="K116" s="114">
        <v>1.2198488031527457</v>
      </c>
      <c r="L116" s="114">
        <v>1.2390167604618711</v>
      </c>
      <c r="M116" s="114">
        <v>1.2230437182770306</v>
      </c>
      <c r="N116" s="114">
        <v>1.1165974064475896</v>
      </c>
      <c r="O116" s="114">
        <v>1.1214532889659017</v>
      </c>
      <c r="P116" s="114">
        <v>0.93</v>
      </c>
      <c r="Q116" s="114">
        <v>0.92</v>
      </c>
      <c r="R116" s="114">
        <v>0.93</v>
      </c>
      <c r="S116" s="114">
        <v>0.91</v>
      </c>
      <c r="T116" s="99">
        <v>0.9</v>
      </c>
      <c r="U116" s="99">
        <v>0.88</v>
      </c>
      <c r="V116" s="99">
        <v>0.84012909000000002</v>
      </c>
      <c r="W116" s="99">
        <v>0.81</v>
      </c>
      <c r="X116" s="99">
        <v>0.78863347983236154</v>
      </c>
      <c r="Y116" s="316">
        <v>0.80185173200287707</v>
      </c>
      <c r="Z116" s="335"/>
    </row>
    <row r="117" spans="1:83" ht="12.95" customHeight="1" x14ac:dyDescent="0.2">
      <c r="C117" s="26" t="str">
        <f>VLOOKUP(75,Textbausteine_203[],Hilfsgrössen!$D$2,FALSE)</f>
        <v>Neuenburg</v>
      </c>
      <c r="D117" s="1" t="str">
        <f>VLOOKUP(12,Textbausteine_203[],Hilfsgrössen!$D$2,FALSE)</f>
        <v>%</v>
      </c>
      <c r="E117" s="11" t="s">
        <v>142</v>
      </c>
      <c r="F117" s="9" t="s">
        <v>137</v>
      </c>
      <c r="H117" s="114">
        <v>1.1246145474333396</v>
      </c>
      <c r="I117" s="114">
        <v>1.0840853437329947</v>
      </c>
      <c r="J117" s="114">
        <v>1.0398716669689823</v>
      </c>
      <c r="K117" s="114">
        <v>0.98970614910212218</v>
      </c>
      <c r="L117" s="114">
        <v>1.0051014439243662</v>
      </c>
      <c r="M117" s="114">
        <v>1.0235273444585524</v>
      </c>
      <c r="N117" s="114">
        <v>0.94596484067960585</v>
      </c>
      <c r="O117" s="114">
        <v>0.92943194872725088</v>
      </c>
      <c r="P117" s="114">
        <v>0.77</v>
      </c>
      <c r="Q117" s="114">
        <v>0.75</v>
      </c>
      <c r="R117" s="114">
        <v>0.73</v>
      </c>
      <c r="S117" s="114">
        <v>0.71</v>
      </c>
      <c r="T117" s="88">
        <v>0.68</v>
      </c>
      <c r="U117" s="88">
        <v>0.64</v>
      </c>
      <c r="V117" s="88">
        <v>0.58487454999999999</v>
      </c>
      <c r="W117" s="88">
        <v>0.56000000000000005</v>
      </c>
      <c r="X117" s="88">
        <v>0.53609159956598718</v>
      </c>
      <c r="Y117" s="316">
        <v>0.52635169004879501</v>
      </c>
      <c r="Z117" s="335"/>
    </row>
    <row r="118" spans="1:83" ht="12.95" customHeight="1" x14ac:dyDescent="0.2">
      <c r="C118" s="26" t="str">
        <f>VLOOKUP(70,Textbausteine_203[],Hilfsgrössen!$D$2,FALSE)</f>
        <v>Genf</v>
      </c>
      <c r="D118" s="1" t="str">
        <f>VLOOKUP(12,Textbausteine_203[],Hilfsgrössen!$D$2,FALSE)</f>
        <v>%</v>
      </c>
      <c r="E118" s="11" t="s">
        <v>142</v>
      </c>
      <c r="F118" s="9" t="s">
        <v>137</v>
      </c>
      <c r="H118" s="114">
        <v>1.0265724612674139</v>
      </c>
      <c r="I118" s="114">
        <v>1.0448868142712704</v>
      </c>
      <c r="J118" s="114">
        <v>1.0070472419492527</v>
      </c>
      <c r="K118" s="114">
        <v>0.93067184917449197</v>
      </c>
      <c r="L118" s="114">
        <v>0.83065285863504756</v>
      </c>
      <c r="M118" s="114">
        <v>0.75197813175436368</v>
      </c>
      <c r="N118" s="114">
        <v>0.72600517039916201</v>
      </c>
      <c r="O118" s="114">
        <v>0.72821621228908218</v>
      </c>
      <c r="P118" s="114">
        <v>0.59</v>
      </c>
      <c r="Q118" s="114">
        <v>0.57999999999999996</v>
      </c>
      <c r="R118" s="114">
        <v>0.56999999999999995</v>
      </c>
      <c r="S118" s="114">
        <v>0.54</v>
      </c>
      <c r="T118" s="99">
        <v>0.53</v>
      </c>
      <c r="U118" s="99">
        <v>0.5</v>
      </c>
      <c r="V118" s="99">
        <v>0.46017728000000002</v>
      </c>
      <c r="W118" s="99">
        <v>0.43</v>
      </c>
      <c r="X118" s="99">
        <v>0.40072061816166193</v>
      </c>
      <c r="Y118" s="316">
        <v>0.38501927208834197</v>
      </c>
      <c r="Z118" s="335"/>
    </row>
    <row r="119" spans="1:83" ht="12.95" customHeight="1" x14ac:dyDescent="0.2">
      <c r="C119" s="26" t="str">
        <f>VLOOKUP(73,Textbausteine_203[],Hilfsgrössen!$D$2,FALSE)</f>
        <v>Jura</v>
      </c>
      <c r="D119" s="1" t="str">
        <f>VLOOKUP(12,Textbausteine_203[],Hilfsgrössen!$D$2,FALSE)</f>
        <v>%</v>
      </c>
      <c r="E119" s="11" t="s">
        <v>142</v>
      </c>
      <c r="F119" s="9" t="s">
        <v>137</v>
      </c>
      <c r="H119" s="114">
        <v>1.4999107196000239</v>
      </c>
      <c r="I119" s="114">
        <v>1.4547745173898379</v>
      </c>
      <c r="J119" s="114">
        <v>1.4014542785151678</v>
      </c>
      <c r="K119" s="114">
        <v>1.4255103862865306</v>
      </c>
      <c r="L119" s="114">
        <v>1.4582465329444676</v>
      </c>
      <c r="M119" s="114">
        <v>1.38781322540325</v>
      </c>
      <c r="N119" s="114">
        <v>1.2397575541138424</v>
      </c>
      <c r="O119" s="114">
        <v>1.179245283018868</v>
      </c>
      <c r="P119" s="114">
        <v>0.98</v>
      </c>
      <c r="Q119" s="114">
        <v>0.97</v>
      </c>
      <c r="R119" s="114">
        <v>1.01</v>
      </c>
      <c r="S119" s="114">
        <v>1.07</v>
      </c>
      <c r="T119" s="168">
        <v>1.1100000000000001</v>
      </c>
      <c r="U119" s="168">
        <v>1.07</v>
      </c>
      <c r="V119" s="168">
        <v>1.0434845800000001</v>
      </c>
      <c r="W119" s="168">
        <v>1</v>
      </c>
      <c r="X119" s="168">
        <v>0.96535539395122494</v>
      </c>
      <c r="Y119" s="316">
        <v>0.95600078090682805</v>
      </c>
      <c r="Z119" s="335"/>
    </row>
    <row r="120" spans="1:83" ht="12.95" customHeight="1" x14ac:dyDescent="0.2">
      <c r="E120" s="11"/>
      <c r="T120" s="9"/>
      <c r="U120" s="9"/>
      <c r="V120" s="9"/>
      <c r="W120" s="9"/>
      <c r="X120" s="9"/>
      <c r="Y120" s="317"/>
    </row>
    <row r="121" spans="1:83" ht="12.95" customHeight="1" x14ac:dyDescent="0.2">
      <c r="B121" s="121"/>
      <c r="C121" s="2" t="str">
        <f>VLOOKUP(101,Textbausteine_203[],Hilfsgrössen!$D$2,FALSE)</f>
        <v>Arbeitsplätze in ländlichen Gemeinden</v>
      </c>
      <c r="E121" s="11"/>
      <c r="T121" s="9"/>
      <c r="U121" s="9"/>
      <c r="V121" s="9"/>
      <c r="W121" s="9"/>
      <c r="X121" s="9"/>
      <c r="Y121" s="317"/>
    </row>
    <row r="122" spans="1:83" s="6" customFormat="1" ht="12.95" customHeight="1" x14ac:dyDescent="0.2">
      <c r="A122" s="65"/>
      <c r="B122" s="121"/>
      <c r="C122" s="94" t="str">
        <f>VLOOKUP(102,Textbausteine_203[],Hilfsgrössen!$D$2,FALSE)</f>
        <v>Personalbestand</v>
      </c>
      <c r="E122" s="7"/>
      <c r="F122" s="28"/>
      <c r="G122" s="33"/>
      <c r="H122" s="28"/>
      <c r="I122" s="28"/>
      <c r="J122" s="28"/>
      <c r="K122" s="28"/>
      <c r="L122" s="28"/>
      <c r="M122" s="28"/>
      <c r="N122" s="28"/>
      <c r="O122" s="28"/>
      <c r="P122" s="28"/>
      <c r="Q122" s="28"/>
      <c r="R122" s="28"/>
      <c r="S122" s="28"/>
      <c r="T122" s="28"/>
      <c r="U122" s="28"/>
      <c r="V122" s="28"/>
      <c r="W122" s="28"/>
      <c r="X122" s="28"/>
      <c r="Y122" s="196"/>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row>
    <row r="123" spans="1:83" ht="12.95" customHeight="1" x14ac:dyDescent="0.2">
      <c r="C123" s="26" t="str">
        <f>VLOOKUP(103,Textbausteine_203[],Hilfsgrössen!$D$2,FALSE)</f>
        <v>Arbeitsplätze in ländlichen Gemeinden</v>
      </c>
      <c r="D123" s="1" t="str">
        <f>VLOOKUP(15,Textbausteine_203[],Hilfsgrössen!$D$2,FALSE)</f>
        <v>Personaleinheiten</v>
      </c>
      <c r="E123" s="11" t="s">
        <v>143</v>
      </c>
      <c r="F123" s="9" t="s">
        <v>137</v>
      </c>
      <c r="H123" s="9">
        <v>15818.296666666667</v>
      </c>
      <c r="I123" s="9">
        <v>15315.269166666663</v>
      </c>
      <c r="J123" s="9">
        <v>14931.553249999999</v>
      </c>
      <c r="K123" s="9">
        <v>14492.717416666666</v>
      </c>
      <c r="L123" s="9">
        <v>14628.051666666668</v>
      </c>
      <c r="M123" s="9">
        <v>14515.069166666668</v>
      </c>
      <c r="N123" s="9">
        <v>14523</v>
      </c>
      <c r="O123" s="9">
        <v>14338.631416666669</v>
      </c>
      <c r="P123" s="9">
        <v>14203</v>
      </c>
      <c r="Q123" s="9">
        <v>13668.8575833333</v>
      </c>
      <c r="R123" s="9">
        <v>13442</v>
      </c>
      <c r="S123" s="9">
        <v>13135</v>
      </c>
      <c r="T123" s="9">
        <v>12842.4985</v>
      </c>
      <c r="U123" s="9">
        <v>12539</v>
      </c>
      <c r="V123" s="9">
        <v>12094</v>
      </c>
      <c r="W123" s="9">
        <v>11814</v>
      </c>
      <c r="X123" s="9">
        <v>11715.963166666699</v>
      </c>
      <c r="Y123" s="317">
        <v>11872.5694166667</v>
      </c>
      <c r="Z123" s="335"/>
    </row>
    <row r="124" spans="1:83" ht="12.95" customHeight="1" x14ac:dyDescent="0.2">
      <c r="C124" s="26" t="str">
        <f>VLOOKUP(104,Textbausteine_203[],Hilfsgrössen!$D$2,FALSE)</f>
        <v>Anteil aller Arbeitsplätze</v>
      </c>
      <c r="D124" s="1" t="str">
        <f>VLOOKUP(12,Textbausteine_203[],Hilfsgrössen!$D$2,FALSE)</f>
        <v>%</v>
      </c>
      <c r="E124" s="11" t="s">
        <v>143</v>
      </c>
      <c r="F124" s="9" t="s">
        <v>137</v>
      </c>
      <c r="H124" s="9">
        <f>IFERROR(H123/('102'!H$214-'102'!H$215)*100,"—")</f>
        <v>38.463007991700302</v>
      </c>
      <c r="I124" s="9">
        <f>IFERROR(I123/('102'!I$214-'102'!I$215)*100,"—")</f>
        <v>38.552255869371855</v>
      </c>
      <c r="J124" s="9">
        <f>IFERROR(J123/('102'!J$214-'102'!J$215)*100,"—")</f>
        <v>38.484376530322947</v>
      </c>
      <c r="K124" s="9">
        <f>IFERROR(K123/('102'!K$214-'102'!K$215)*100,"—")</f>
        <v>38.205086246287415</v>
      </c>
      <c r="L124" s="9">
        <f>IFERROR(L123/('102'!L$214-'102'!L$215)*100,"—")</f>
        <v>38.594405748157534</v>
      </c>
      <c r="M124" s="9">
        <f>IFERROR(M123/('102'!M$214-'102'!M$215)*100,"—")</f>
        <v>38.382391957761506</v>
      </c>
      <c r="N124" s="9">
        <f>IFERROR(N123/('102'!N$214-'102'!N$215)*100,"—")</f>
        <v>38.345566879653589</v>
      </c>
      <c r="O124" s="9">
        <f>IFERROR(O123/('102'!O$214-'102'!O$215)*100,"—")</f>
        <v>38.030478785949839</v>
      </c>
      <c r="P124" s="9">
        <f>IFERROR(P123/('102'!P$214-'102'!P$215)*100,"—")</f>
        <v>37.392059814658801</v>
      </c>
      <c r="Q124" s="9">
        <f>IFERROR(Q123/('102'!Q$214-'102'!Q$215)*100,"—")</f>
        <v>36.620204638411025</v>
      </c>
      <c r="R124" s="9">
        <f>IFERROR(R123/('102'!R$214-'102'!R$215)*100,"—")</f>
        <v>36.276785232363579</v>
      </c>
      <c r="S124" s="9">
        <f>IFERROR(S123/('102'!S$214-'102'!S$215)*100,"—")</f>
        <v>35.807753121421953</v>
      </c>
      <c r="T124" s="11">
        <f>IFERROR(T123/('102'!T$214-'102'!T$215)*100,"—")</f>
        <v>35.388532653623592</v>
      </c>
      <c r="U124" s="11">
        <f>IFERROR(U123/('102'!U$214-'102'!U$215)*100,"—")</f>
        <v>35.476022068185031</v>
      </c>
      <c r="V124" s="11">
        <v>35.24</v>
      </c>
      <c r="W124" s="11">
        <v>35.43</v>
      </c>
      <c r="X124" s="9">
        <v>35.182016055574003</v>
      </c>
      <c r="Y124" s="317">
        <v>35.407305031319396</v>
      </c>
      <c r="Z124" s="335"/>
    </row>
    <row r="125" spans="1:83" ht="12.95" customHeight="1" x14ac:dyDescent="0.2">
      <c r="E125" s="11"/>
      <c r="Y125" s="315"/>
    </row>
    <row r="126" spans="1:83" ht="12.95" customHeight="1" x14ac:dyDescent="0.2">
      <c r="C126" s="26" t="str">
        <f>VLOOKUP(103,Textbausteine_203[],Hilfsgrössen!$D$2,FALSE)</f>
        <v>Arbeitsplätze in ländlichen Gemeinden</v>
      </c>
      <c r="D126" s="1" t="str">
        <f>VLOOKUP(16,Textbausteine_203[],Hilfsgrössen!$D$2,FALSE)</f>
        <v>Personen</v>
      </c>
      <c r="E126" s="11" t="s">
        <v>144</v>
      </c>
      <c r="F126" s="9" t="s">
        <v>137</v>
      </c>
      <c r="H126" s="9">
        <v>22395.25</v>
      </c>
      <c r="I126" s="9">
        <v>21916.416666666672</v>
      </c>
      <c r="J126" s="9">
        <v>21420</v>
      </c>
      <c r="K126" s="9">
        <v>21068.583333333332</v>
      </c>
      <c r="L126" s="9">
        <v>21319.083333333332</v>
      </c>
      <c r="M126" s="9">
        <v>20776.166666666668</v>
      </c>
      <c r="N126" s="9">
        <v>20603</v>
      </c>
      <c r="O126" s="9">
        <v>20417.5</v>
      </c>
      <c r="P126" s="9">
        <v>20172</v>
      </c>
      <c r="Q126" s="9">
        <v>19494.166666666668</v>
      </c>
      <c r="R126" s="9">
        <v>19106</v>
      </c>
      <c r="S126" s="9">
        <v>18633</v>
      </c>
      <c r="T126" s="11">
        <v>18175.666666666668</v>
      </c>
      <c r="U126" s="11">
        <v>17640</v>
      </c>
      <c r="V126" s="11">
        <v>16765</v>
      </c>
      <c r="W126" s="11">
        <v>16073</v>
      </c>
      <c r="X126" s="11">
        <v>15655.166666666701</v>
      </c>
      <c r="Y126" s="315">
        <v>15642.5</v>
      </c>
      <c r="Z126" s="335"/>
    </row>
    <row r="127" spans="1:83" ht="12.95" customHeight="1" x14ac:dyDescent="0.2">
      <c r="C127" s="26" t="str">
        <f>VLOOKUP(104,Textbausteine_203[],Hilfsgrössen!$D$2,FALSE)</f>
        <v>Anteil aller Arbeitsplätze</v>
      </c>
      <c r="D127" s="1" t="str">
        <f>VLOOKUP(12,Textbausteine_203[],Hilfsgrössen!$D$2,FALSE)</f>
        <v>%</v>
      </c>
      <c r="E127" s="11" t="s">
        <v>144</v>
      </c>
      <c r="F127" s="9" t="s">
        <v>137</v>
      </c>
      <c r="H127" s="9" t="str">
        <f>IFERROR(H126/('102'!H$218-'102'!H$219)*100,"—")</f>
        <v>—</v>
      </c>
      <c r="I127" s="9" t="str">
        <f>IFERROR(I126/('102'!I$218-'102'!I$219)*100,"—")</f>
        <v>—</v>
      </c>
      <c r="J127" s="9" t="str">
        <f>IFERROR(J126/('102'!J$218-'102'!J$219)*100,"—")</f>
        <v>—</v>
      </c>
      <c r="K127" s="9" t="str">
        <f>IFERROR(K126/('102'!K$218-'102'!K$219)*100,"—")</f>
        <v>—</v>
      </c>
      <c r="L127" s="9" t="str">
        <f>IFERROR(L126/('102'!L$218-'102'!L$219)*100,"—")</f>
        <v>—</v>
      </c>
      <c r="M127" s="9">
        <f>IFERROR(M126/('102'!M$218-'102'!M$219)*100,"—")</f>
        <v>39.017008144127907</v>
      </c>
      <c r="N127" s="9">
        <f>IFERROR(N126/('102'!N$218-'102'!N$219)*100,"—")</f>
        <v>38.389729447715588</v>
      </c>
      <c r="O127" s="9">
        <f>IFERROR(O126/('102'!O$218-'102'!O$219)*100,"—")</f>
        <v>38.847558887324482</v>
      </c>
      <c r="P127" s="9">
        <f>IFERROR(P126/('102'!P$218-'102'!P$219)*100,"—")</f>
        <v>36.704392445139931</v>
      </c>
      <c r="Q127" s="9">
        <f>IFERROR(Q126/('102'!Q$218-'102'!Q$219)*100,"—")</f>
        <v>35.827620640434226</v>
      </c>
      <c r="R127" s="9">
        <f>IFERROR(R126/('102'!R$218-'102'!R$219)*100,"—")</f>
        <v>34.753979081400637</v>
      </c>
      <c r="S127" s="9">
        <f>IFERROR(S126/('102'!S$218-'102'!S$219)*100,"—")</f>
        <v>34.239250275633957</v>
      </c>
      <c r="T127" s="11">
        <f>IFERROR(T126/('102'!T$218-'102'!T$219)*100,"—")</f>
        <v>33.944657141967816</v>
      </c>
      <c r="U127" s="11">
        <f>IFERROR(U126/('102'!U$218-'102'!U$219)*100,"—")</f>
        <v>33.987129590381876</v>
      </c>
      <c r="V127" s="11">
        <v>33.340000000000003</v>
      </c>
      <c r="W127" s="11">
        <v>32.74</v>
      </c>
      <c r="X127" s="11">
        <v>32.629763502214303</v>
      </c>
      <c r="Y127" s="315">
        <v>33.016323160415112</v>
      </c>
      <c r="Z127" s="335"/>
    </row>
    <row r="129" spans="1:83" s="18" customFormat="1" ht="12.95" customHeight="1" x14ac:dyDescent="0.25">
      <c r="A129" s="188"/>
      <c r="B129" s="19" t="str">
        <f>VLOOKUP(211,Textbausteine_203[],Hilfsgrössen!$D$2,FALSE)</f>
        <v>1) ohne Lernpersonal</v>
      </c>
      <c r="C129" s="19"/>
      <c r="D129" s="19"/>
      <c r="E129" s="19"/>
      <c r="F129" s="19"/>
      <c r="G129" s="19"/>
      <c r="H129" s="19"/>
      <c r="I129" s="19"/>
      <c r="J129" s="19"/>
      <c r="K129" s="19"/>
      <c r="L129" s="19"/>
      <c r="M129" s="19"/>
      <c r="N129" s="19"/>
      <c r="O129" s="19"/>
      <c r="P129" s="19"/>
      <c r="Q129" s="19"/>
      <c r="R129" s="19"/>
      <c r="S129" s="189"/>
      <c r="T129" s="31"/>
      <c r="U129" s="31"/>
      <c r="V129" s="31"/>
      <c r="W129" s="31"/>
      <c r="X129" s="31"/>
      <c r="Y129" s="31"/>
      <c r="Z129" s="335"/>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89"/>
      <c r="BJ129" s="189"/>
      <c r="BK129" s="189"/>
      <c r="BL129" s="189"/>
      <c r="BM129" s="189"/>
      <c r="BN129" s="189"/>
      <c r="BO129" s="189"/>
      <c r="BP129" s="189"/>
      <c r="BQ129" s="189"/>
      <c r="BR129" s="189"/>
      <c r="BS129" s="189"/>
      <c r="BT129" s="189"/>
      <c r="BU129" s="189"/>
      <c r="BV129" s="189"/>
      <c r="BW129" s="189"/>
      <c r="BX129" s="189"/>
      <c r="BY129" s="189"/>
      <c r="BZ129" s="189"/>
      <c r="CA129" s="189"/>
      <c r="CB129" s="189"/>
      <c r="CC129" s="189"/>
      <c r="CD129" s="189"/>
      <c r="CE129" s="189"/>
    </row>
    <row r="130" spans="1:83" s="18" customFormat="1" ht="12.95" customHeight="1" x14ac:dyDescent="0.25">
      <c r="A130" s="188"/>
      <c r="B130" s="19" t="str">
        <f>VLOOKUP(212,Textbausteine_203[],Hilfsgrössen!$D$2,FALSE)</f>
        <v>2) Eine Personaleinheit entspricht einer Vollzeitstelle.</v>
      </c>
      <c r="C130" s="19"/>
      <c r="D130" s="19"/>
      <c r="E130" s="19"/>
      <c r="F130" s="19"/>
      <c r="G130" s="19"/>
      <c r="H130" s="19"/>
      <c r="I130" s="19"/>
      <c r="J130" s="19"/>
      <c r="K130" s="19"/>
      <c r="L130" s="19"/>
      <c r="M130" s="19"/>
      <c r="N130" s="19"/>
      <c r="O130" s="19"/>
      <c r="P130" s="19"/>
      <c r="Q130" s="19"/>
      <c r="R130" s="19"/>
      <c r="S130" s="189"/>
      <c r="T130" s="31"/>
      <c r="U130" s="31"/>
      <c r="V130" s="31"/>
      <c r="W130" s="31"/>
      <c r="X130" s="31"/>
      <c r="Y130" s="31"/>
      <c r="Z130" s="335"/>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89"/>
      <c r="BA130" s="189"/>
      <c r="BB130" s="189"/>
      <c r="BC130" s="189"/>
      <c r="BD130" s="189"/>
      <c r="BE130" s="189"/>
      <c r="BF130" s="189"/>
      <c r="BG130" s="189"/>
      <c r="BH130" s="189"/>
      <c r="BI130" s="189"/>
      <c r="BJ130" s="189"/>
      <c r="BK130" s="189"/>
      <c r="BL130" s="189"/>
      <c r="BM130" s="189"/>
      <c r="BN130" s="189"/>
      <c r="BO130" s="189"/>
      <c r="BP130" s="189"/>
      <c r="BQ130" s="189"/>
      <c r="BR130" s="189"/>
      <c r="BS130" s="189"/>
      <c r="BT130" s="189"/>
      <c r="BU130" s="189"/>
      <c r="BV130" s="189"/>
      <c r="BW130" s="189"/>
      <c r="BX130" s="189"/>
      <c r="BY130" s="189"/>
      <c r="BZ130" s="189"/>
      <c r="CA130" s="189"/>
      <c r="CB130" s="189"/>
      <c r="CC130" s="189"/>
      <c r="CD130" s="189"/>
      <c r="CE130" s="189"/>
    </row>
    <row r="131" spans="1:83" s="18" customFormat="1" ht="12.95" customHeight="1" x14ac:dyDescent="0.25">
      <c r="A131" s="188"/>
      <c r="B131" s="19" t="str">
        <f>VLOOKUP(213,Textbausteine_203[],Hilfsgrössen!$D$2,FALSE)</f>
        <v>3) Jahresdurchschnittswerte</v>
      </c>
      <c r="C131" s="19"/>
      <c r="D131" s="19"/>
      <c r="E131" s="19"/>
      <c r="F131" s="19"/>
      <c r="G131" s="19"/>
      <c r="H131" s="19"/>
      <c r="I131" s="19"/>
      <c r="J131" s="19"/>
      <c r="K131" s="19"/>
      <c r="L131" s="19"/>
      <c r="M131" s="19"/>
      <c r="N131" s="19"/>
      <c r="O131" s="19"/>
      <c r="P131" s="19"/>
      <c r="Q131" s="19"/>
      <c r="R131" s="19"/>
      <c r="S131" s="189"/>
      <c r="T131" s="30"/>
      <c r="U131" s="30"/>
      <c r="V131" s="30"/>
      <c r="W131" s="30"/>
      <c r="X131" s="30"/>
      <c r="Y131" s="30"/>
      <c r="Z131" s="335"/>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c r="BD131" s="189"/>
      <c r="BE131" s="189"/>
      <c r="BF131" s="189"/>
      <c r="BG131" s="189"/>
      <c r="BH131" s="189"/>
      <c r="BI131" s="189"/>
      <c r="BJ131" s="189"/>
      <c r="BK131" s="189"/>
      <c r="BL131" s="189"/>
      <c r="BM131" s="189"/>
      <c r="BN131" s="189"/>
      <c r="BO131" s="189"/>
      <c r="BP131" s="189"/>
      <c r="BQ131" s="189"/>
      <c r="BR131" s="189"/>
      <c r="BS131" s="189"/>
      <c r="BT131" s="189"/>
      <c r="BU131" s="189"/>
      <c r="BV131" s="189"/>
      <c r="BW131" s="189"/>
      <c r="BX131" s="189"/>
      <c r="BY131" s="189"/>
      <c r="BZ131" s="189"/>
      <c r="CA131" s="189"/>
      <c r="CB131" s="189"/>
      <c r="CC131" s="189"/>
      <c r="CD131" s="189"/>
      <c r="CE131" s="189"/>
    </row>
    <row r="132" spans="1:83" s="18" customFormat="1" ht="12.95" customHeight="1" x14ac:dyDescent="0.25">
      <c r="A132" s="188"/>
      <c r="B132" s="19" t="str">
        <f>VLOOKUP(214,Textbausteine_203[],Hilfsgrössen!$D$2,FALSE)</f>
        <v>4) Die Anzahl Beschäftigte in den Kantonen basiert ab 2015 auf der STATENT-Auswertung.</v>
      </c>
      <c r="C132" s="19"/>
      <c r="D132" s="19"/>
      <c r="E132" s="19"/>
      <c r="F132" s="19"/>
      <c r="G132" s="19"/>
      <c r="H132" s="19"/>
      <c r="I132" s="19"/>
      <c r="J132" s="19"/>
      <c r="K132" s="19"/>
      <c r="L132" s="19"/>
      <c r="M132" s="19"/>
      <c r="N132" s="19"/>
      <c r="O132" s="19"/>
      <c r="P132" s="19"/>
      <c r="Q132" s="19"/>
      <c r="R132" s="19"/>
      <c r="S132" s="189"/>
      <c r="T132" s="30"/>
      <c r="U132" s="30"/>
      <c r="V132" s="30"/>
      <c r="W132" s="30"/>
      <c r="X132" s="30"/>
      <c r="Y132" s="30"/>
      <c r="Z132" s="335"/>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89"/>
      <c r="AY132" s="189"/>
      <c r="AZ132" s="189"/>
      <c r="BA132" s="189"/>
      <c r="BB132" s="189"/>
      <c r="BC132" s="189"/>
      <c r="BD132" s="189"/>
      <c r="BE132" s="189"/>
      <c r="BF132" s="189"/>
      <c r="BG132" s="189"/>
      <c r="BH132" s="189"/>
      <c r="BI132" s="189"/>
      <c r="BJ132" s="189"/>
      <c r="BK132" s="189"/>
      <c r="BL132" s="189"/>
      <c r="BM132" s="189"/>
      <c r="BN132" s="189"/>
      <c r="BO132" s="189"/>
      <c r="BP132" s="189"/>
      <c r="BQ132" s="189"/>
      <c r="BR132" s="189"/>
      <c r="BS132" s="189"/>
      <c r="BT132" s="189"/>
      <c r="BU132" s="189"/>
      <c r="BV132" s="189"/>
      <c r="BW132" s="189"/>
      <c r="BX132" s="189"/>
      <c r="BY132" s="189"/>
      <c r="BZ132" s="189"/>
      <c r="CA132" s="189"/>
      <c r="CB132" s="189"/>
      <c r="CC132" s="189"/>
      <c r="CD132" s="189"/>
      <c r="CE132" s="189"/>
    </row>
    <row r="133" spans="1:83" s="18" customFormat="1" ht="12.95" customHeight="1" x14ac:dyDescent="0.25">
      <c r="A133" s="188"/>
      <c r="B133" s="19" t="str">
        <f>VLOOKUP(215,Textbausteine_203[],Hilfsgrössen!$D$2,FALSE)</f>
        <v>5) Die Definition der ländlichen Gemeinden stützt sich auf die Räumlichen Typologien des Bundesamt für Statistik BFS.</v>
      </c>
      <c r="C133" s="19"/>
      <c r="D133" s="19"/>
      <c r="E133" s="19"/>
      <c r="F133" s="19"/>
      <c r="G133" s="19"/>
      <c r="H133" s="19"/>
      <c r="I133" s="19"/>
      <c r="J133" s="19"/>
      <c r="K133" s="19"/>
      <c r="L133" s="19"/>
      <c r="M133" s="19"/>
      <c r="N133" s="19"/>
      <c r="O133" s="19"/>
      <c r="P133" s="19"/>
      <c r="Q133" s="19"/>
      <c r="R133" s="19"/>
      <c r="S133" s="189"/>
      <c r="T133" s="190"/>
      <c r="U133" s="190"/>
      <c r="V133" s="190"/>
      <c r="W133" s="190"/>
      <c r="X133" s="190"/>
      <c r="Y133" s="190"/>
      <c r="Z133" s="335"/>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89"/>
      <c r="BJ133" s="189"/>
      <c r="BK133" s="189"/>
      <c r="BL133" s="189"/>
      <c r="BM133" s="189"/>
      <c r="BN133" s="189"/>
      <c r="BO133" s="189"/>
      <c r="BP133" s="189"/>
      <c r="BQ133" s="189"/>
      <c r="BR133" s="189"/>
      <c r="BS133" s="189"/>
      <c r="BT133" s="189"/>
      <c r="BU133" s="189"/>
      <c r="BV133" s="189"/>
      <c r="BW133" s="189"/>
      <c r="BX133" s="189"/>
      <c r="BY133" s="189"/>
      <c r="BZ133" s="189"/>
      <c r="CA133" s="189"/>
      <c r="CB133" s="189"/>
      <c r="CC133" s="189"/>
      <c r="CD133" s="189"/>
      <c r="CE133" s="189"/>
    </row>
    <row r="134" spans="1:83" s="18" customFormat="1" ht="12.95" customHeight="1" x14ac:dyDescent="0.25">
      <c r="A134" s="188"/>
      <c r="B134" s="19" t="str">
        <f>VLOOKUP(216,Textbausteine_203[],Hilfsgrössen!$D$2,FALSE)</f>
        <v>6)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C134" s="19"/>
      <c r="D134" s="19"/>
      <c r="E134" s="19"/>
      <c r="F134" s="19"/>
      <c r="G134" s="19"/>
      <c r="H134" s="19"/>
      <c r="I134" s="19"/>
      <c r="J134" s="19"/>
      <c r="K134" s="19"/>
      <c r="L134" s="19"/>
      <c r="M134" s="19"/>
      <c r="N134" s="19"/>
      <c r="O134" s="19"/>
      <c r="P134" s="19"/>
      <c r="Q134" s="19"/>
      <c r="R134" s="19"/>
      <c r="S134" s="189"/>
      <c r="T134" s="190"/>
      <c r="U134" s="190"/>
      <c r="V134" s="190"/>
      <c r="W134" s="190"/>
      <c r="X134" s="190"/>
      <c r="Y134" s="190"/>
      <c r="Z134" s="335"/>
      <c r="AA134" s="189"/>
      <c r="AB134" s="189"/>
      <c r="AC134" s="189"/>
      <c r="AD134" s="189"/>
      <c r="AE134" s="189"/>
      <c r="AF134" s="189"/>
      <c r="AG134" s="189"/>
      <c r="AH134" s="189"/>
      <c r="AI134" s="189"/>
      <c r="AJ134" s="189"/>
      <c r="AK134" s="189"/>
      <c r="AL134" s="189"/>
      <c r="AM134" s="189"/>
      <c r="AN134" s="189"/>
      <c r="AO134" s="189"/>
      <c r="AP134" s="189"/>
      <c r="AQ134" s="189"/>
      <c r="AR134" s="189"/>
      <c r="AS134" s="189"/>
      <c r="AT134" s="189"/>
      <c r="AU134" s="189"/>
      <c r="AV134" s="189"/>
      <c r="AW134" s="189"/>
      <c r="AX134" s="189"/>
      <c r="AY134" s="189"/>
      <c r="AZ134" s="189"/>
      <c r="BA134" s="189"/>
      <c r="BB134" s="189"/>
      <c r="BC134" s="189"/>
      <c r="BD134" s="189"/>
      <c r="BE134" s="189"/>
      <c r="BF134" s="189"/>
      <c r="BG134" s="189"/>
      <c r="BH134" s="189"/>
      <c r="BI134" s="189"/>
      <c r="BJ134" s="189"/>
      <c r="BK134" s="189"/>
      <c r="BL134" s="189"/>
      <c r="BM134" s="189"/>
      <c r="BN134" s="189"/>
      <c r="BO134" s="189"/>
      <c r="BP134" s="189"/>
      <c r="BQ134" s="189"/>
      <c r="BR134" s="189"/>
      <c r="BS134" s="189"/>
      <c r="BT134" s="189"/>
      <c r="BU134" s="189"/>
      <c r="BV134" s="189"/>
      <c r="BW134" s="189"/>
      <c r="BX134" s="189"/>
      <c r="BY134" s="189"/>
      <c r="BZ134" s="189"/>
      <c r="CA134" s="189"/>
      <c r="CB134" s="189"/>
      <c r="CC134" s="189"/>
      <c r="CD134" s="189"/>
      <c r="CE134" s="189"/>
    </row>
    <row r="135" spans="1:83" s="347" customFormat="1" ht="12.95" customHeight="1" x14ac:dyDescent="0.25">
      <c r="A135" s="343"/>
      <c r="B135" s="19" t="str">
        <f>VLOOKUP(217,Textbausteine_203[],Hilfsgrössen!$D$2,FALSE)</f>
        <v>7) Im Segment PostMail (ab 1.1.2021 neu Logistik-Services) wurde bei zwei Tochtergesellschaften die Berechnung des Durchschnittbestands auf Vollzeitstellen (ohne Lernpersonal) überarbeitet, was zur Anpassung des Werts 2018 führte. Im Segment PostAuto (ab 1.1.2021 neu Mobilitäts-Services) wurde das Jahr 2018 aufgrund der Klassifizierung der CarPostal-France-Gruppe als zur Veräusserung gehaltene Abgangsgruppe und aufgegebener Geschäftsbereich angepasst.</v>
      </c>
      <c r="C135" s="344"/>
      <c r="D135" s="344"/>
      <c r="E135" s="344"/>
      <c r="F135" s="344"/>
      <c r="G135" s="344"/>
      <c r="H135" s="344"/>
      <c r="I135" s="344"/>
      <c r="J135" s="344"/>
      <c r="K135" s="344"/>
      <c r="L135" s="344"/>
      <c r="M135" s="344"/>
      <c r="N135" s="344"/>
      <c r="O135" s="344"/>
      <c r="P135" s="344"/>
      <c r="Q135" s="344"/>
      <c r="R135" s="344"/>
      <c r="S135" s="345"/>
      <c r="T135" s="346"/>
      <c r="U135" s="346"/>
      <c r="V135" s="346"/>
      <c r="W135" s="346"/>
      <c r="X135" s="346"/>
      <c r="Y135" s="346"/>
      <c r="Z135" s="33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5"/>
      <c r="AY135" s="345"/>
      <c r="AZ135" s="345"/>
      <c r="BA135" s="345"/>
      <c r="BB135" s="345"/>
      <c r="BC135" s="345"/>
      <c r="BD135" s="345"/>
      <c r="BE135" s="345"/>
      <c r="BF135" s="345"/>
      <c r="BG135" s="345"/>
      <c r="BH135" s="345"/>
      <c r="BI135" s="345"/>
      <c r="BJ135" s="345"/>
      <c r="BK135" s="345"/>
      <c r="BL135" s="345"/>
      <c r="BM135" s="345"/>
      <c r="BN135" s="345"/>
      <c r="BO135" s="345"/>
      <c r="BP135" s="345"/>
      <c r="BQ135" s="345"/>
      <c r="BR135" s="345"/>
      <c r="BS135" s="345"/>
      <c r="BT135" s="345"/>
      <c r="BU135" s="345"/>
      <c r="BV135" s="345"/>
      <c r="BW135" s="345"/>
      <c r="BX135" s="345"/>
      <c r="BY135" s="345"/>
      <c r="BZ135" s="345"/>
      <c r="CA135" s="345"/>
      <c r="CB135" s="345"/>
      <c r="CC135" s="345"/>
      <c r="CD135" s="345"/>
      <c r="CE135" s="345"/>
    </row>
    <row r="136" spans="1:83" s="18" customFormat="1" ht="12.95" customHeight="1" x14ac:dyDescent="0.25">
      <c r="A136" s="188"/>
      <c r="B136" s="19" t="str">
        <f>VLOOKUP(218,Textbausteine_203[],Hilfsgrössen!$D$2,FALSE)</f>
        <v>8) Da die Betriebsstätten von SPS in Deutschland und Österreich keine eigenständige Rechtsform haben, werden die Mitarbeiter der Betriebsstätten zum Total Arbeitsplätze der Schweiz gerechnet. Die Anpassung erfolgt rückwirkend per 2019.</v>
      </c>
      <c r="C136" s="19"/>
      <c r="D136" s="19"/>
      <c r="E136" s="19"/>
      <c r="F136" s="19"/>
      <c r="G136" s="19"/>
      <c r="H136" s="19"/>
      <c r="I136" s="19"/>
      <c r="J136" s="19"/>
      <c r="K136" s="19"/>
      <c r="L136" s="19"/>
      <c r="M136" s="19"/>
      <c r="N136" s="19"/>
      <c r="O136" s="19"/>
      <c r="P136" s="19"/>
      <c r="Q136" s="19"/>
      <c r="R136" s="19"/>
      <c r="S136" s="189"/>
      <c r="T136" s="190"/>
      <c r="U136" s="190"/>
      <c r="V136" s="190"/>
      <c r="W136" s="190"/>
      <c r="X136" s="190"/>
      <c r="Y136" s="190"/>
      <c r="Z136" s="335"/>
      <c r="AA136" s="189"/>
      <c r="AB136" s="189"/>
      <c r="AC136" s="189"/>
      <c r="AD136" s="189"/>
      <c r="AE136" s="189"/>
      <c r="AF136" s="189"/>
      <c r="AG136" s="189"/>
      <c r="AH136" s="189"/>
      <c r="AI136" s="189"/>
      <c r="AJ136" s="189"/>
      <c r="AK136" s="189"/>
      <c r="AL136" s="189"/>
      <c r="AM136" s="189"/>
      <c r="AN136" s="189"/>
      <c r="AO136" s="189"/>
      <c r="AP136" s="189"/>
      <c r="AQ136" s="189"/>
      <c r="AR136" s="189"/>
      <c r="AS136" s="189"/>
      <c r="AT136" s="189"/>
      <c r="AU136" s="189"/>
      <c r="AV136" s="189"/>
      <c r="AW136" s="189"/>
      <c r="AX136" s="189"/>
      <c r="AY136" s="189"/>
      <c r="AZ136" s="189"/>
      <c r="BA136" s="189"/>
      <c r="BB136" s="189"/>
      <c r="BC136" s="189"/>
      <c r="BD136" s="189"/>
      <c r="BE136" s="189"/>
      <c r="BF136" s="189"/>
      <c r="BG136" s="189"/>
      <c r="BH136" s="189"/>
      <c r="BI136" s="189"/>
      <c r="BJ136" s="189"/>
      <c r="BK136" s="189"/>
      <c r="BL136" s="189"/>
      <c r="BM136" s="189"/>
      <c r="BN136" s="189"/>
      <c r="BO136" s="189"/>
      <c r="BP136" s="189"/>
      <c r="BQ136" s="189"/>
      <c r="BR136" s="189"/>
      <c r="BS136" s="189"/>
      <c r="BT136" s="189"/>
      <c r="BU136" s="189"/>
      <c r="BV136" s="189"/>
      <c r="BW136" s="189"/>
      <c r="BX136" s="189"/>
      <c r="BY136" s="189"/>
      <c r="BZ136" s="189"/>
      <c r="CA136" s="189"/>
      <c r="CB136" s="189"/>
      <c r="CC136" s="189"/>
      <c r="CD136" s="189"/>
      <c r="CE136" s="189"/>
    </row>
    <row r="137" spans="1:83" ht="12.95" customHeight="1" x14ac:dyDescent="0.2">
      <c r="T137" s="88"/>
      <c r="U137" s="88"/>
      <c r="V137" s="88"/>
      <c r="W137" s="88"/>
      <c r="X137" s="88"/>
      <c r="Y137" s="88"/>
    </row>
    <row r="138" spans="1:83" ht="12.95" customHeight="1" x14ac:dyDescent="0.2">
      <c r="T138" s="88"/>
      <c r="U138" s="88"/>
      <c r="V138" s="88"/>
      <c r="W138" s="88"/>
      <c r="X138" s="88"/>
      <c r="Y138" s="88"/>
    </row>
    <row r="139" spans="1:83" s="6" customFormat="1" ht="12.95" customHeight="1" x14ac:dyDescent="0.25">
      <c r="A139" s="39" t="s">
        <v>27</v>
      </c>
      <c r="B139" s="401" t="str">
        <f>$C$10</f>
        <v>Preisvergleich postalischer Dienstleistungen</v>
      </c>
      <c r="C139" s="401"/>
      <c r="D139" s="6" t="str">
        <f>VLOOKUP(32,Textbausteine_Menu[],Hilfsgrössen!$D$2,FALSE)</f>
        <v>Einheit</v>
      </c>
      <c r="E139" s="28" t="str">
        <f>VLOOKUP(33,Textbausteine_Menu[],Hilfsgrössen!$D$2,FALSE)</f>
        <v>Fussnoten</v>
      </c>
      <c r="F139" s="28" t="str">
        <f>VLOOKUP(34,Textbausteine_Menu[],Hilfsgrössen!$D$2,FALSE)</f>
        <v>GRI</v>
      </c>
      <c r="G139" s="36"/>
      <c r="H139" s="7">
        <v>2004</v>
      </c>
      <c r="I139" s="7">
        <v>2005</v>
      </c>
      <c r="J139" s="7">
        <v>2006</v>
      </c>
      <c r="K139" s="7">
        <v>2007</v>
      </c>
      <c r="L139" s="7">
        <v>2008</v>
      </c>
      <c r="M139" s="7">
        <v>2009</v>
      </c>
      <c r="N139" s="7">
        <v>2010</v>
      </c>
      <c r="O139" s="7">
        <v>2011</v>
      </c>
      <c r="P139" s="7">
        <v>2012</v>
      </c>
      <c r="Q139" s="7">
        <v>2013</v>
      </c>
      <c r="R139" s="7">
        <v>2014</v>
      </c>
      <c r="S139" s="7">
        <v>2015</v>
      </c>
      <c r="T139" s="7">
        <v>2016</v>
      </c>
      <c r="U139" s="7">
        <v>2017</v>
      </c>
      <c r="V139" s="7">
        <v>2018</v>
      </c>
      <c r="W139" s="7">
        <v>2019</v>
      </c>
      <c r="X139" s="7">
        <v>2020</v>
      </c>
      <c r="Y139" s="149">
        <v>2021</v>
      </c>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28"/>
      <c r="BV139" s="28"/>
      <c r="BW139" s="28"/>
      <c r="BX139" s="28"/>
      <c r="BY139" s="28"/>
      <c r="BZ139" s="28"/>
      <c r="CA139" s="28"/>
      <c r="CB139" s="28"/>
      <c r="CC139" s="28"/>
      <c r="CD139" s="28"/>
      <c r="CE139" s="28"/>
    </row>
    <row r="140" spans="1:83" s="6" customFormat="1" ht="12.95" customHeight="1" x14ac:dyDescent="0.2">
      <c r="A140" s="38"/>
      <c r="B140" s="401"/>
      <c r="C140" s="401"/>
      <c r="E140" s="9"/>
      <c r="F140" s="9"/>
      <c r="G140" s="34"/>
      <c r="H140" s="7"/>
      <c r="I140" s="7"/>
      <c r="J140" s="7"/>
      <c r="K140" s="7"/>
      <c r="L140" s="68"/>
      <c r="M140" s="68"/>
      <c r="N140" s="9"/>
      <c r="O140" s="9"/>
      <c r="P140" s="9"/>
      <c r="Q140" s="9"/>
      <c r="R140" s="9"/>
      <c r="S140" s="9"/>
      <c r="T140" s="11"/>
      <c r="U140" s="11"/>
      <c r="V140" s="11"/>
      <c r="W140" s="11"/>
      <c r="X140" s="11"/>
      <c r="Y140" s="315"/>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c r="BE140" s="9"/>
      <c r="BF140" s="9"/>
      <c r="BG140" s="9"/>
      <c r="BH140" s="9"/>
      <c r="BI140" s="9"/>
      <c r="BJ140" s="9"/>
      <c r="BK140" s="9"/>
      <c r="BL140" s="9"/>
      <c r="BM140" s="9"/>
      <c r="BN140" s="9"/>
      <c r="BO140" s="9"/>
      <c r="BP140" s="9"/>
      <c r="BQ140" s="9"/>
      <c r="BR140" s="9"/>
      <c r="BS140" s="9"/>
      <c r="BT140" s="9"/>
      <c r="BU140" s="9"/>
      <c r="BV140" s="9"/>
      <c r="BW140" s="9"/>
      <c r="BX140" s="9"/>
      <c r="BY140" s="9"/>
      <c r="BZ140" s="9"/>
      <c r="CA140" s="9"/>
      <c r="CB140" s="9"/>
      <c r="CC140" s="9"/>
      <c r="CD140" s="9"/>
      <c r="CE140" s="9"/>
    </row>
    <row r="141" spans="1:83" ht="12.95" customHeight="1" x14ac:dyDescent="0.2">
      <c r="A141" s="47"/>
      <c r="B141" s="2"/>
      <c r="E141" s="28"/>
      <c r="F141" s="28"/>
      <c r="H141" s="7"/>
      <c r="I141" s="7"/>
      <c r="J141" s="7"/>
      <c r="K141" s="7"/>
      <c r="L141" s="68"/>
      <c r="M141" s="68"/>
      <c r="Y141" s="315"/>
    </row>
    <row r="142" spans="1:83" ht="12.95" customHeight="1" x14ac:dyDescent="0.2">
      <c r="A142" s="47"/>
      <c r="B142" s="2" t="str">
        <f>VLOOKUP(36,Textbausteine_Menu[],Hilfsgrössen!$D$2,FALSE)</f>
        <v>Konzern</v>
      </c>
      <c r="E142" s="28"/>
      <c r="F142" s="28"/>
      <c r="H142" s="7"/>
      <c r="I142" s="7"/>
      <c r="J142" s="7"/>
      <c r="K142" s="7"/>
      <c r="L142" s="68"/>
      <c r="M142" s="68"/>
      <c r="Y142" s="315"/>
    </row>
    <row r="143" spans="1:83" ht="12.95" customHeight="1" x14ac:dyDescent="0.2">
      <c r="C143" s="6" t="str">
        <f>VLOOKUP(111,Textbausteine_203[],Hilfsgrössen!$D$2,FALSE)</f>
        <v>Briefpostindex wechselkursbereinigt</v>
      </c>
      <c r="Y143" s="315"/>
    </row>
    <row r="144" spans="1:83" ht="12.95" customHeight="1" x14ac:dyDescent="0.2">
      <c r="C144" s="13" t="str">
        <f>VLOOKUP(129,Textbausteine_203[],Hilfsgrössen!$D$2,FALSE)</f>
        <v>Schweden</v>
      </c>
      <c r="D144" s="1" t="str">
        <f>VLOOKUP(17,Textbausteine_203[],Hilfsgrössen!$D$2,FALSE)</f>
        <v>Index</v>
      </c>
      <c r="E144" s="9" t="s">
        <v>95</v>
      </c>
      <c r="H144" s="9" t="s">
        <v>30</v>
      </c>
      <c r="I144" s="9" t="s">
        <v>30</v>
      </c>
      <c r="J144" s="9" t="s">
        <v>30</v>
      </c>
      <c r="K144" s="9" t="s">
        <v>30</v>
      </c>
      <c r="L144" s="15">
        <v>141</v>
      </c>
      <c r="M144" s="15">
        <v>122</v>
      </c>
      <c r="N144" s="15">
        <v>140</v>
      </c>
      <c r="O144" s="15">
        <v>127</v>
      </c>
      <c r="P144" s="15">
        <v>133</v>
      </c>
      <c r="Q144" s="15">
        <v>132</v>
      </c>
      <c r="R144" s="15">
        <v>119</v>
      </c>
      <c r="S144" s="15">
        <v>103</v>
      </c>
      <c r="T144" s="12">
        <v>90</v>
      </c>
      <c r="U144" s="12">
        <v>101</v>
      </c>
      <c r="V144" s="12">
        <v>128</v>
      </c>
      <c r="W144" s="12">
        <v>118</v>
      </c>
      <c r="X144" s="12">
        <v>144</v>
      </c>
      <c r="Y144" s="315">
        <v>431.29658521893964</v>
      </c>
      <c r="Z144" s="335"/>
    </row>
    <row r="145" spans="1:83" ht="12.95" customHeight="1" x14ac:dyDescent="0.2">
      <c r="C145" s="13" t="str">
        <f>VLOOKUP(119,Textbausteine_203[],Hilfsgrössen!$D$2,FALSE)</f>
        <v>Dänemark</v>
      </c>
      <c r="D145" s="1" t="str">
        <f>VLOOKUP(17,Textbausteine_203[],Hilfsgrössen!$D$2,FALSE)</f>
        <v>Index</v>
      </c>
      <c r="E145" s="9" t="s">
        <v>95</v>
      </c>
      <c r="H145" s="9" t="s">
        <v>30</v>
      </c>
      <c r="I145" s="9" t="s">
        <v>30</v>
      </c>
      <c r="J145" s="9" t="s">
        <v>30</v>
      </c>
      <c r="K145" s="9" t="s">
        <v>30</v>
      </c>
      <c r="L145" s="15">
        <v>137</v>
      </c>
      <c r="M145" s="15">
        <v>127</v>
      </c>
      <c r="N145" s="15">
        <v>129</v>
      </c>
      <c r="O145" s="15">
        <v>147</v>
      </c>
      <c r="P145" s="15">
        <v>146</v>
      </c>
      <c r="Q145" s="15">
        <v>150</v>
      </c>
      <c r="R145" s="15">
        <v>164</v>
      </c>
      <c r="S145" s="15">
        <v>156</v>
      </c>
      <c r="T145" s="12">
        <v>303</v>
      </c>
      <c r="U145" s="12">
        <v>324</v>
      </c>
      <c r="V145" s="12">
        <v>325</v>
      </c>
      <c r="W145" s="12">
        <v>338</v>
      </c>
      <c r="X145" s="12">
        <v>335</v>
      </c>
      <c r="Y145" s="315">
        <v>338.56591548565984</v>
      </c>
      <c r="Z145" s="335"/>
    </row>
    <row r="146" spans="1:83" ht="12.95" customHeight="1" x14ac:dyDescent="0.2">
      <c r="C146" s="13" t="str">
        <f>VLOOKUP(121,Textbausteine_203[],Hilfsgrössen!$D$2,FALSE)</f>
        <v>Finnland</v>
      </c>
      <c r="D146" s="1" t="str">
        <f>VLOOKUP(17,Textbausteine_203[],Hilfsgrössen!$D$2,FALSE)</f>
        <v>Index</v>
      </c>
      <c r="E146" s="9" t="s">
        <v>95</v>
      </c>
      <c r="H146" s="9" t="s">
        <v>30</v>
      </c>
      <c r="I146" s="9" t="s">
        <v>30</v>
      </c>
      <c r="J146" s="9" t="s">
        <v>30</v>
      </c>
      <c r="K146" s="9" t="s">
        <v>30</v>
      </c>
      <c r="L146" s="15">
        <v>116</v>
      </c>
      <c r="M146" s="15">
        <v>116</v>
      </c>
      <c r="N146" s="15">
        <v>117</v>
      </c>
      <c r="O146" s="15">
        <v>93</v>
      </c>
      <c r="P146" s="15">
        <v>103</v>
      </c>
      <c r="Q146" s="15">
        <v>112</v>
      </c>
      <c r="R146" s="15">
        <v>131</v>
      </c>
      <c r="S146" s="15">
        <v>130</v>
      </c>
      <c r="T146" s="12">
        <v>142</v>
      </c>
      <c r="U146" s="12">
        <v>182</v>
      </c>
      <c r="V146" s="12">
        <v>192</v>
      </c>
      <c r="W146" s="12">
        <v>201</v>
      </c>
      <c r="X146" s="12">
        <v>214</v>
      </c>
      <c r="Y146" s="315">
        <v>224.06429290967745</v>
      </c>
      <c r="Z146" s="335"/>
    </row>
    <row r="147" spans="1:83" ht="12.95" customHeight="1" x14ac:dyDescent="0.2">
      <c r="C147" s="13" t="str">
        <f>VLOOKUP(127,Textbausteine_203[],Hilfsgrössen!$D$2,FALSE)</f>
        <v>Norwegen</v>
      </c>
      <c r="D147" s="1" t="str">
        <f>VLOOKUP(17,Textbausteine_203[],Hilfsgrössen!$D$2,FALSE)</f>
        <v>Index</v>
      </c>
      <c r="E147" s="9" t="s">
        <v>95</v>
      </c>
      <c r="H147" s="9" t="s">
        <v>30</v>
      </c>
      <c r="I147" s="9" t="s">
        <v>30</v>
      </c>
      <c r="J147" s="9" t="s">
        <v>30</v>
      </c>
      <c r="K147" s="9" t="s">
        <v>30</v>
      </c>
      <c r="L147" s="15">
        <v>206</v>
      </c>
      <c r="M147" s="15">
        <v>173</v>
      </c>
      <c r="N147" s="15">
        <v>206</v>
      </c>
      <c r="O147" s="15">
        <v>203</v>
      </c>
      <c r="P147" s="15">
        <v>214</v>
      </c>
      <c r="Q147" s="15">
        <v>209</v>
      </c>
      <c r="R147" s="15">
        <v>199</v>
      </c>
      <c r="S147" s="15">
        <v>166</v>
      </c>
      <c r="T147" s="12">
        <v>179</v>
      </c>
      <c r="U147" s="12">
        <v>211</v>
      </c>
      <c r="V147" s="12">
        <v>220</v>
      </c>
      <c r="W147" s="12">
        <v>221</v>
      </c>
      <c r="X147" s="12">
        <v>208</v>
      </c>
      <c r="Y147" s="315">
        <v>238.1900987365579</v>
      </c>
      <c r="Z147" s="335"/>
    </row>
    <row r="148" spans="1:83" ht="12.95" customHeight="1" x14ac:dyDescent="0.2">
      <c r="C148" s="13" t="str">
        <f>VLOOKUP(125,Textbausteine_203[],Hilfsgrössen!$D$2,FALSE)</f>
        <v>Italien</v>
      </c>
      <c r="D148" s="1" t="str">
        <f>VLOOKUP(17,Textbausteine_203[],Hilfsgrössen!$D$2,FALSE)</f>
        <v>Index</v>
      </c>
      <c r="E148" s="9" t="s">
        <v>95</v>
      </c>
      <c r="H148" s="9" t="s">
        <v>30</v>
      </c>
      <c r="I148" s="9" t="s">
        <v>30</v>
      </c>
      <c r="J148" s="9" t="s">
        <v>30</v>
      </c>
      <c r="K148" s="9" t="s">
        <v>30</v>
      </c>
      <c r="L148" s="15">
        <v>166</v>
      </c>
      <c r="M148" s="15">
        <v>152</v>
      </c>
      <c r="N148" s="15">
        <v>147</v>
      </c>
      <c r="O148" s="15">
        <v>130</v>
      </c>
      <c r="P148" s="15">
        <v>130</v>
      </c>
      <c r="Q148" s="15">
        <v>169</v>
      </c>
      <c r="R148" s="15">
        <v>161</v>
      </c>
      <c r="S148" s="15">
        <v>182</v>
      </c>
      <c r="T148" s="12">
        <v>182</v>
      </c>
      <c r="U148" s="12">
        <v>195</v>
      </c>
      <c r="V148" s="12">
        <v>201</v>
      </c>
      <c r="W148" s="12">
        <v>190</v>
      </c>
      <c r="X148" s="12">
        <v>188</v>
      </c>
      <c r="Y148" s="315">
        <v>187.24164385622234</v>
      </c>
      <c r="Z148" s="335"/>
    </row>
    <row r="149" spans="1:83" ht="12.95" customHeight="1" x14ac:dyDescent="0.2">
      <c r="C149" s="13" t="str">
        <f>VLOOKUP(116,Textbausteine_203[],Hilfsgrössen!$D$2,FALSE)</f>
        <v>Belgien</v>
      </c>
      <c r="D149" s="1" t="str">
        <f>VLOOKUP(17,Textbausteine_203[],Hilfsgrössen!$D$2,FALSE)</f>
        <v>Index</v>
      </c>
      <c r="E149" s="9" t="s">
        <v>95</v>
      </c>
      <c r="H149" s="9" t="s">
        <v>30</v>
      </c>
      <c r="I149" s="9" t="s">
        <v>30</v>
      </c>
      <c r="J149" s="9" t="s">
        <v>30</v>
      </c>
      <c r="K149" s="9" t="s">
        <v>30</v>
      </c>
      <c r="L149" s="15">
        <v>102</v>
      </c>
      <c r="M149" s="15">
        <v>105</v>
      </c>
      <c r="N149" s="15">
        <v>120</v>
      </c>
      <c r="O149" s="15">
        <v>109</v>
      </c>
      <c r="P149" s="15">
        <v>114</v>
      </c>
      <c r="Q149" s="15">
        <v>120</v>
      </c>
      <c r="R149" s="15">
        <v>118</v>
      </c>
      <c r="S149" s="15">
        <v>103</v>
      </c>
      <c r="T149" s="12">
        <v>105</v>
      </c>
      <c r="U149" s="12">
        <v>112</v>
      </c>
      <c r="V149" s="12">
        <v>121</v>
      </c>
      <c r="W149" s="12">
        <v>131</v>
      </c>
      <c r="X149" s="12">
        <v>147</v>
      </c>
      <c r="Y149" s="315">
        <v>179.20169327995674</v>
      </c>
      <c r="Z149" s="335"/>
    </row>
    <row r="150" spans="1:83" ht="12.95" customHeight="1" x14ac:dyDescent="0.2">
      <c r="C150" s="13" t="str">
        <f>VLOOKUP(126,Textbausteine_203[],Hilfsgrössen!$D$2,FALSE)</f>
        <v>Niederlande</v>
      </c>
      <c r="D150" s="1" t="str">
        <f>VLOOKUP(17,Textbausteine_203[],Hilfsgrössen!$D$2,FALSE)</f>
        <v>Index</v>
      </c>
      <c r="E150" s="9" t="s">
        <v>95</v>
      </c>
      <c r="H150" s="9" t="s">
        <v>30</v>
      </c>
      <c r="I150" s="9" t="s">
        <v>30</v>
      </c>
      <c r="J150" s="9" t="s">
        <v>30</v>
      </c>
      <c r="K150" s="9" t="s">
        <v>30</v>
      </c>
      <c r="L150" s="15">
        <v>116</v>
      </c>
      <c r="M150" s="15">
        <v>106</v>
      </c>
      <c r="N150" s="15">
        <v>103</v>
      </c>
      <c r="O150" s="15">
        <v>95</v>
      </c>
      <c r="P150" s="15">
        <v>103</v>
      </c>
      <c r="Q150" s="15">
        <v>126</v>
      </c>
      <c r="R150" s="15">
        <v>132</v>
      </c>
      <c r="S150" s="15">
        <v>120</v>
      </c>
      <c r="T150" s="12">
        <v>126</v>
      </c>
      <c r="U150" s="12">
        <v>145</v>
      </c>
      <c r="V150" s="12">
        <v>150</v>
      </c>
      <c r="W150" s="12">
        <v>149</v>
      </c>
      <c r="X150" s="12">
        <v>153</v>
      </c>
      <c r="Y150" s="315">
        <v>159.87582951925404</v>
      </c>
      <c r="Z150" s="335"/>
    </row>
    <row r="151" spans="1:83" ht="12.95" customHeight="1" x14ac:dyDescent="0.2">
      <c r="C151" s="13" t="str">
        <f>VLOOKUP(122,Textbausteine_203[],Hilfsgrössen!$D$2,FALSE)</f>
        <v>Frankreich</v>
      </c>
      <c r="D151" s="1" t="str">
        <f>VLOOKUP(17,Textbausteine_203[],Hilfsgrössen!$D$2,FALSE)</f>
        <v>Index</v>
      </c>
      <c r="E151" s="9" t="s">
        <v>95</v>
      </c>
      <c r="H151" s="9" t="s">
        <v>30</v>
      </c>
      <c r="I151" s="9" t="s">
        <v>30</v>
      </c>
      <c r="J151" s="9" t="s">
        <v>30</v>
      </c>
      <c r="K151" s="9" t="s">
        <v>30</v>
      </c>
      <c r="L151" s="15">
        <v>117</v>
      </c>
      <c r="M151" s="15">
        <v>110</v>
      </c>
      <c r="N151" s="15">
        <v>114</v>
      </c>
      <c r="O151" s="15">
        <v>111</v>
      </c>
      <c r="P151" s="15">
        <v>111</v>
      </c>
      <c r="Q151" s="15">
        <v>118</v>
      </c>
      <c r="R151" s="15">
        <v>121</v>
      </c>
      <c r="S151" s="15">
        <v>119</v>
      </c>
      <c r="T151" s="12">
        <v>128</v>
      </c>
      <c r="U151" s="12">
        <v>145</v>
      </c>
      <c r="V151" s="12">
        <v>157</v>
      </c>
      <c r="W151" s="12">
        <v>160</v>
      </c>
      <c r="X151" s="12">
        <v>179</v>
      </c>
      <c r="Y151" s="315">
        <v>153.97562432197947</v>
      </c>
      <c r="Z151" s="335"/>
    </row>
    <row r="152" spans="1:83" ht="12.95" customHeight="1" x14ac:dyDescent="0.2">
      <c r="C152" s="13" t="str">
        <f>VLOOKUP(124,Textbausteine_203[],Hilfsgrössen!$D$2,FALSE)</f>
        <v>Irland</v>
      </c>
      <c r="D152" s="1" t="str">
        <f>VLOOKUP(17,Textbausteine_203[],Hilfsgrössen!$D$2,FALSE)</f>
        <v>Index</v>
      </c>
      <c r="E152" s="9" t="s">
        <v>95</v>
      </c>
      <c r="H152" s="9" t="s">
        <v>30</v>
      </c>
      <c r="I152" s="9" t="s">
        <v>30</v>
      </c>
      <c r="J152" s="9" t="s">
        <v>30</v>
      </c>
      <c r="K152" s="9" t="s">
        <v>30</v>
      </c>
      <c r="L152" s="15">
        <v>96</v>
      </c>
      <c r="M152" s="15">
        <v>88</v>
      </c>
      <c r="N152" s="15">
        <v>86</v>
      </c>
      <c r="O152" s="15">
        <v>76</v>
      </c>
      <c r="P152" s="15">
        <v>77</v>
      </c>
      <c r="Q152" s="15">
        <v>85</v>
      </c>
      <c r="R152" s="15">
        <v>94</v>
      </c>
      <c r="S152" s="15">
        <v>87</v>
      </c>
      <c r="T152" s="12">
        <v>89</v>
      </c>
      <c r="U152" s="12">
        <v>128</v>
      </c>
      <c r="V152" s="12">
        <v>128</v>
      </c>
      <c r="W152" s="12">
        <v>125</v>
      </c>
      <c r="X152" s="12">
        <v>121</v>
      </c>
      <c r="Y152" s="315">
        <v>129.43830859553691</v>
      </c>
      <c r="Z152" s="335"/>
    </row>
    <row r="153" spans="1:83" ht="12.95" customHeight="1" x14ac:dyDescent="0.2">
      <c r="C153" s="13" t="str">
        <f>VLOOKUP(115,Textbausteine_203[],Hilfsgrössen!$D$2,FALSE)</f>
        <v>Österreich</v>
      </c>
      <c r="D153" s="1" t="str">
        <f>VLOOKUP(17,Textbausteine_203[],Hilfsgrössen!$D$2,FALSE)</f>
        <v>Index</v>
      </c>
      <c r="E153" s="9" t="s">
        <v>95</v>
      </c>
      <c r="H153" s="9" t="s">
        <v>30</v>
      </c>
      <c r="I153" s="9" t="s">
        <v>30</v>
      </c>
      <c r="J153" s="9" t="s">
        <v>30</v>
      </c>
      <c r="K153" s="9" t="s">
        <v>30</v>
      </c>
      <c r="L153" s="15">
        <v>110</v>
      </c>
      <c r="M153" s="15">
        <v>100</v>
      </c>
      <c r="N153" s="15">
        <v>97</v>
      </c>
      <c r="O153" s="15">
        <v>102</v>
      </c>
      <c r="P153" s="15">
        <v>101</v>
      </c>
      <c r="Q153" s="15">
        <v>103</v>
      </c>
      <c r="R153" s="15">
        <v>101</v>
      </c>
      <c r="S153" s="15">
        <v>96</v>
      </c>
      <c r="T153" s="12">
        <v>96</v>
      </c>
      <c r="U153" s="12">
        <v>123</v>
      </c>
      <c r="V153" s="12">
        <v>130</v>
      </c>
      <c r="W153" s="12">
        <v>123</v>
      </c>
      <c r="X153" s="12">
        <v>125</v>
      </c>
      <c r="Y153" s="315">
        <v>124.27822528892334</v>
      </c>
      <c r="Z153" s="335"/>
    </row>
    <row r="154" spans="1:83" ht="12.95" customHeight="1" x14ac:dyDescent="0.2">
      <c r="C154" s="13" t="str">
        <f t="array" ref="C154">VLOOKUP(123,Textbausteine_203[],Hilfsgrössen!$D$2,FALSE)</f>
        <v>Grossbritanien</v>
      </c>
      <c r="D154" s="1" t="str">
        <f>VLOOKUP(17,Textbausteine_203[],Hilfsgrössen!$D$2,FALSE)</f>
        <v>Index</v>
      </c>
      <c r="E154" s="9" t="s">
        <v>95</v>
      </c>
      <c r="H154" s="9" t="s">
        <v>30</v>
      </c>
      <c r="I154" s="9" t="s">
        <v>30</v>
      </c>
      <c r="J154" s="9" t="s">
        <v>30</v>
      </c>
      <c r="K154" s="9" t="s">
        <v>30</v>
      </c>
      <c r="L154" s="15">
        <v>67</v>
      </c>
      <c r="M154" s="15">
        <v>56</v>
      </c>
      <c r="N154" s="15">
        <v>67</v>
      </c>
      <c r="O154" s="15">
        <v>67</v>
      </c>
      <c r="P154" s="15">
        <v>92</v>
      </c>
      <c r="Q154" s="15">
        <v>88</v>
      </c>
      <c r="R154" s="15">
        <v>97</v>
      </c>
      <c r="S154" s="15">
        <v>98</v>
      </c>
      <c r="T154" s="12">
        <v>79</v>
      </c>
      <c r="U154" s="12">
        <v>88</v>
      </c>
      <c r="V154" s="12">
        <v>89</v>
      </c>
      <c r="W154" s="12">
        <v>92</v>
      </c>
      <c r="X154" s="12">
        <v>92</v>
      </c>
      <c r="Y154" s="315">
        <v>104.15148583253008</v>
      </c>
      <c r="Z154" s="335"/>
    </row>
    <row r="155" spans="1:83" ht="12.95" customHeight="1" x14ac:dyDescent="0.2">
      <c r="C155" s="187" t="str">
        <f>VLOOKUP(117,Textbausteine_203[],Hilfsgrössen!$D$2,FALSE)</f>
        <v>Schweiz</v>
      </c>
      <c r="D155" s="6" t="str">
        <f>VLOOKUP(17,Textbausteine_203[],Hilfsgrössen!$D$2,FALSE)</f>
        <v>Index</v>
      </c>
      <c r="E155" s="28" t="s">
        <v>95</v>
      </c>
      <c r="F155" s="28"/>
      <c r="G155" s="33"/>
      <c r="H155" s="28" t="s">
        <v>30</v>
      </c>
      <c r="I155" s="28" t="s">
        <v>30</v>
      </c>
      <c r="J155" s="28" t="s">
        <v>30</v>
      </c>
      <c r="K155" s="28" t="s">
        <v>30</v>
      </c>
      <c r="L155" s="76">
        <v>100</v>
      </c>
      <c r="M155" s="76">
        <v>100</v>
      </c>
      <c r="N155" s="76">
        <v>100</v>
      </c>
      <c r="O155" s="76">
        <v>100</v>
      </c>
      <c r="P155" s="76">
        <v>100</v>
      </c>
      <c r="Q155" s="76">
        <v>100</v>
      </c>
      <c r="R155" s="76">
        <v>100</v>
      </c>
      <c r="S155" s="76">
        <v>100</v>
      </c>
      <c r="T155" s="77">
        <v>100</v>
      </c>
      <c r="U155" s="77">
        <v>100</v>
      </c>
      <c r="V155" s="77">
        <v>100</v>
      </c>
      <c r="W155" s="77">
        <v>100</v>
      </c>
      <c r="X155" s="77">
        <v>100</v>
      </c>
      <c r="Y155" s="149">
        <v>100</v>
      </c>
      <c r="Z155" s="335"/>
    </row>
    <row r="156" spans="1:83" ht="12.95" customHeight="1" x14ac:dyDescent="0.2">
      <c r="C156" s="13" t="str">
        <f>VLOOKUP(118,Textbausteine_203[],Hilfsgrössen!$D$2,FALSE)</f>
        <v>Deutschland</v>
      </c>
      <c r="D156" s="1" t="str">
        <f>VLOOKUP(17,Textbausteine_203[],Hilfsgrössen!$D$2,FALSE)</f>
        <v>Index</v>
      </c>
      <c r="E156" s="9" t="s">
        <v>95</v>
      </c>
      <c r="H156" s="9" t="s">
        <v>30</v>
      </c>
      <c r="I156" s="9" t="s">
        <v>30</v>
      </c>
      <c r="J156" s="9" t="s">
        <v>30</v>
      </c>
      <c r="K156" s="9" t="s">
        <v>30</v>
      </c>
      <c r="L156" s="15">
        <v>123</v>
      </c>
      <c r="M156" s="15">
        <v>113</v>
      </c>
      <c r="N156" s="15">
        <v>110</v>
      </c>
      <c r="O156" s="15">
        <v>97</v>
      </c>
      <c r="P156" s="15">
        <v>96</v>
      </c>
      <c r="Q156" s="15">
        <v>101</v>
      </c>
      <c r="R156" s="15">
        <v>99</v>
      </c>
      <c r="S156" s="15">
        <v>85</v>
      </c>
      <c r="T156" s="12">
        <v>91</v>
      </c>
      <c r="U156" s="12">
        <v>97</v>
      </c>
      <c r="V156" s="12">
        <v>95</v>
      </c>
      <c r="W156" s="12">
        <v>102</v>
      </c>
      <c r="X156" s="12">
        <v>99</v>
      </c>
      <c r="Y156" s="370">
        <v>98</v>
      </c>
      <c r="Z156" s="335"/>
    </row>
    <row r="157" spans="1:83" ht="12.95" customHeight="1" x14ac:dyDescent="0.2">
      <c r="C157" s="13" t="str">
        <f>VLOOKUP(120,Textbausteine_203[],Hilfsgrössen!$D$2,FALSE)</f>
        <v>Spanien</v>
      </c>
      <c r="D157" s="1" t="str">
        <f>VLOOKUP(17,Textbausteine_203[],Hilfsgrössen!$D$2,FALSE)</f>
        <v>Index</v>
      </c>
      <c r="E157" s="9" t="s">
        <v>95</v>
      </c>
      <c r="H157" s="9" t="s">
        <v>30</v>
      </c>
      <c r="I157" s="9" t="s">
        <v>30</v>
      </c>
      <c r="J157" s="9" t="s">
        <v>30</v>
      </c>
      <c r="K157" s="9" t="s">
        <v>30</v>
      </c>
      <c r="L157" s="15">
        <v>82</v>
      </c>
      <c r="M157" s="15">
        <v>83</v>
      </c>
      <c r="N157" s="15">
        <v>79</v>
      </c>
      <c r="O157" s="15">
        <v>68</v>
      </c>
      <c r="P157" s="15">
        <v>69</v>
      </c>
      <c r="Q157" s="15">
        <v>72</v>
      </c>
      <c r="R157" s="15">
        <v>72</v>
      </c>
      <c r="S157" s="15">
        <v>66</v>
      </c>
      <c r="T157" s="12">
        <v>68</v>
      </c>
      <c r="U157" s="12">
        <v>78</v>
      </c>
      <c r="V157" s="12">
        <v>82</v>
      </c>
      <c r="W157" s="12">
        <v>84</v>
      </c>
      <c r="X157" s="12">
        <v>87</v>
      </c>
      <c r="Y157" s="370">
        <v>86</v>
      </c>
      <c r="Z157" s="335"/>
    </row>
    <row r="158" spans="1:83" ht="12.95" customHeight="1" x14ac:dyDescent="0.2">
      <c r="C158" s="13" t="str">
        <f>VLOOKUP(128,Textbausteine_203[],Hilfsgrössen!$D$2,FALSE)</f>
        <v>Portugal</v>
      </c>
      <c r="D158" s="1" t="str">
        <f>VLOOKUP(17,Textbausteine_203[],Hilfsgrössen!$D$2,FALSE)</f>
        <v>Index</v>
      </c>
      <c r="E158" s="9" t="s">
        <v>95</v>
      </c>
      <c r="H158" s="9" t="s">
        <v>30</v>
      </c>
      <c r="I158" s="9" t="s">
        <v>30</v>
      </c>
      <c r="J158" s="9" t="s">
        <v>30</v>
      </c>
      <c r="K158" s="9" t="s">
        <v>30</v>
      </c>
      <c r="L158" s="15">
        <v>83</v>
      </c>
      <c r="M158" s="15">
        <v>82</v>
      </c>
      <c r="N158" s="15">
        <v>80</v>
      </c>
      <c r="O158" s="15">
        <v>71</v>
      </c>
      <c r="P158" s="15">
        <v>70</v>
      </c>
      <c r="Q158" s="15">
        <v>79</v>
      </c>
      <c r="R158" s="15">
        <v>80</v>
      </c>
      <c r="S158" s="15">
        <v>75</v>
      </c>
      <c r="T158" s="12">
        <v>78</v>
      </c>
      <c r="U158" s="12">
        <v>87</v>
      </c>
      <c r="V158" s="12">
        <v>91</v>
      </c>
      <c r="W158" s="12">
        <v>86</v>
      </c>
      <c r="X158" s="12">
        <v>80</v>
      </c>
      <c r="Y158" s="370">
        <v>79</v>
      </c>
      <c r="Z158" s="335"/>
    </row>
    <row r="159" spans="1:83" ht="12.95" customHeight="1" x14ac:dyDescent="0.2">
      <c r="Y159" s="315"/>
    </row>
    <row r="160" spans="1:83" s="6" customFormat="1" ht="12.95" customHeight="1" x14ac:dyDescent="0.2">
      <c r="A160" s="65"/>
      <c r="C160" s="6" t="str">
        <f>VLOOKUP(112,Textbausteine_203[],Hilfsgrössen!$D$2,FALSE)</f>
        <v>Briefpostindex kaufkraftbereinigt</v>
      </c>
      <c r="E160" s="28"/>
      <c r="F160" s="28"/>
      <c r="G160" s="33"/>
      <c r="H160" s="28"/>
      <c r="I160" s="28"/>
      <c r="J160" s="28"/>
      <c r="K160" s="28"/>
      <c r="L160" s="28"/>
      <c r="M160" s="28"/>
      <c r="N160" s="28"/>
      <c r="O160" s="28"/>
      <c r="P160" s="28"/>
      <c r="Q160" s="28"/>
      <c r="R160" s="28"/>
      <c r="S160" s="28"/>
      <c r="T160" s="7"/>
      <c r="U160" s="7"/>
      <c r="V160" s="7"/>
      <c r="W160" s="7"/>
      <c r="X160" s="7"/>
      <c r="Y160" s="149"/>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28"/>
      <c r="AW160" s="28"/>
      <c r="AX160" s="28"/>
      <c r="AY160" s="28"/>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row>
    <row r="161" spans="3:26" ht="12.95" customHeight="1" x14ac:dyDescent="0.2">
      <c r="C161" s="13" t="str">
        <f>VLOOKUP(129,Textbausteine_203[],Hilfsgrössen!$D$2,FALSE)</f>
        <v>Schweden</v>
      </c>
      <c r="D161" s="1" t="str">
        <f>VLOOKUP(17,Textbausteine_203[],Hilfsgrössen!$D$2,FALSE)</f>
        <v>Index</v>
      </c>
      <c r="E161" s="9" t="s">
        <v>95</v>
      </c>
      <c r="H161" s="9" t="s">
        <v>30</v>
      </c>
      <c r="I161" s="9" t="s">
        <v>30</v>
      </c>
      <c r="J161" s="9" t="s">
        <v>30</v>
      </c>
      <c r="K161" s="9" t="s">
        <v>30</v>
      </c>
      <c r="L161" s="9" t="s">
        <v>30</v>
      </c>
      <c r="M161" s="9" t="s">
        <v>30</v>
      </c>
      <c r="N161" s="9" t="s">
        <v>30</v>
      </c>
      <c r="O161" s="9">
        <v>159</v>
      </c>
      <c r="P161" s="9">
        <v>154</v>
      </c>
      <c r="Q161" s="9">
        <v>152</v>
      </c>
      <c r="R161" s="9">
        <v>146</v>
      </c>
      <c r="S161" s="9">
        <v>136</v>
      </c>
      <c r="T161" s="11">
        <v>115</v>
      </c>
      <c r="U161" s="11">
        <v>116</v>
      </c>
      <c r="V161" s="11">
        <v>156</v>
      </c>
      <c r="W161" s="11">
        <v>154</v>
      </c>
      <c r="X161" s="11">
        <v>184</v>
      </c>
      <c r="Y161" s="315">
        <v>526.53167242751147</v>
      </c>
      <c r="Z161" s="335"/>
    </row>
    <row r="162" spans="3:26" ht="12.95" customHeight="1" x14ac:dyDescent="0.2">
      <c r="C162" s="13" t="str">
        <f>VLOOKUP(119,Textbausteine_203[],Hilfsgrössen!$D$2,FALSE)</f>
        <v>Dänemark</v>
      </c>
      <c r="D162" s="1" t="str">
        <f>VLOOKUP(17,Textbausteine_203[],Hilfsgrössen!$D$2,FALSE)</f>
        <v>Index</v>
      </c>
      <c r="E162" s="9">
        <v>1</v>
      </c>
      <c r="H162" s="9" t="s">
        <v>30</v>
      </c>
      <c r="I162" s="9" t="s">
        <v>30</v>
      </c>
      <c r="J162" s="9" t="s">
        <v>30</v>
      </c>
      <c r="K162" s="9" t="s">
        <v>30</v>
      </c>
      <c r="L162" s="9" t="s">
        <v>30</v>
      </c>
      <c r="M162" s="9" t="s">
        <v>30</v>
      </c>
      <c r="N162" s="9" t="s">
        <v>30</v>
      </c>
      <c r="O162" s="9">
        <v>172</v>
      </c>
      <c r="P162" s="9">
        <v>169</v>
      </c>
      <c r="Q162" s="9">
        <v>163</v>
      </c>
      <c r="R162" s="9">
        <v>182</v>
      </c>
      <c r="S162" s="9">
        <v>193</v>
      </c>
      <c r="T162" s="11">
        <v>354</v>
      </c>
      <c r="U162" s="11">
        <v>352</v>
      </c>
      <c r="V162" s="11">
        <v>358</v>
      </c>
      <c r="W162" s="11">
        <v>393</v>
      </c>
      <c r="X162" s="11">
        <v>402</v>
      </c>
      <c r="Y162" s="315">
        <v>406.4128944175992</v>
      </c>
      <c r="Z162" s="335"/>
    </row>
    <row r="163" spans="3:26" ht="12.95" customHeight="1" x14ac:dyDescent="0.2">
      <c r="C163" s="13" t="str">
        <f>VLOOKUP(125,Textbausteine_203[],Hilfsgrössen!$D$2,FALSE)</f>
        <v>Italien</v>
      </c>
      <c r="D163" s="1" t="str">
        <f>VLOOKUP(17,Textbausteine_203[],Hilfsgrössen!$D$2,FALSE)</f>
        <v>Index</v>
      </c>
      <c r="E163" s="9">
        <v>1</v>
      </c>
      <c r="H163" s="9" t="s">
        <v>30</v>
      </c>
      <c r="I163" s="9" t="s">
        <v>30</v>
      </c>
      <c r="J163" s="9" t="s">
        <v>30</v>
      </c>
      <c r="K163" s="9" t="s">
        <v>30</v>
      </c>
      <c r="L163" s="9" t="s">
        <v>30</v>
      </c>
      <c r="M163" s="9" t="s">
        <v>30</v>
      </c>
      <c r="N163" s="9" t="s">
        <v>30</v>
      </c>
      <c r="O163" s="9">
        <v>201</v>
      </c>
      <c r="P163" s="9">
        <v>199</v>
      </c>
      <c r="Q163" s="9">
        <v>245</v>
      </c>
      <c r="R163" s="9">
        <v>245</v>
      </c>
      <c r="S163" s="9">
        <v>302</v>
      </c>
      <c r="T163" s="11">
        <v>285</v>
      </c>
      <c r="U163" s="11">
        <v>285</v>
      </c>
      <c r="V163" s="11">
        <v>299</v>
      </c>
      <c r="W163" s="11">
        <v>295</v>
      </c>
      <c r="X163" s="11">
        <v>302</v>
      </c>
      <c r="Y163" s="315">
        <v>300.3046276869577</v>
      </c>
      <c r="Z163" s="335"/>
    </row>
    <row r="164" spans="3:26" ht="12.95" customHeight="1" x14ac:dyDescent="0.2">
      <c r="C164" s="13" t="str">
        <f>VLOOKUP(121,Textbausteine_203[],Hilfsgrössen!$D$2,FALSE)</f>
        <v>Finnland</v>
      </c>
      <c r="D164" s="1" t="str">
        <f>VLOOKUP(17,Textbausteine_203[],Hilfsgrössen!$D$2,FALSE)</f>
        <v>Index</v>
      </c>
      <c r="E164" s="9" t="s">
        <v>95</v>
      </c>
      <c r="H164" s="9" t="s">
        <v>30</v>
      </c>
      <c r="I164" s="9" t="s">
        <v>30</v>
      </c>
      <c r="J164" s="9" t="s">
        <v>30</v>
      </c>
      <c r="K164" s="9" t="s">
        <v>30</v>
      </c>
      <c r="L164" s="9" t="s">
        <v>30</v>
      </c>
      <c r="M164" s="9" t="s">
        <v>30</v>
      </c>
      <c r="N164" s="9" t="s">
        <v>30</v>
      </c>
      <c r="O164" s="9">
        <v>121</v>
      </c>
      <c r="P164" s="9">
        <v>133</v>
      </c>
      <c r="Q164" s="9">
        <v>137</v>
      </c>
      <c r="R164" s="9">
        <v>162</v>
      </c>
      <c r="S164" s="9">
        <v>174</v>
      </c>
      <c r="T164" s="11">
        <v>180</v>
      </c>
      <c r="U164" s="11">
        <v>213</v>
      </c>
      <c r="V164" s="11">
        <v>227</v>
      </c>
      <c r="W164" s="11">
        <v>248</v>
      </c>
      <c r="X164" s="11">
        <v>272</v>
      </c>
      <c r="Y164" s="315">
        <v>284.68942925930179</v>
      </c>
      <c r="Z164" s="335"/>
    </row>
    <row r="165" spans="3:26" ht="12.95" customHeight="1" x14ac:dyDescent="0.2">
      <c r="C165" s="13" t="str">
        <f>VLOOKUP(116,Textbausteine_203[],Hilfsgrössen!$D$2,FALSE)</f>
        <v>Belgien</v>
      </c>
      <c r="D165" s="1" t="str">
        <f>VLOOKUP(17,Textbausteine_203[],Hilfsgrössen!$D$2,FALSE)</f>
        <v>Index</v>
      </c>
      <c r="E165" s="9">
        <v>1</v>
      </c>
      <c r="H165" s="9" t="s">
        <v>30</v>
      </c>
      <c r="I165" s="9" t="s">
        <v>30</v>
      </c>
      <c r="J165" s="9" t="s">
        <v>30</v>
      </c>
      <c r="K165" s="9" t="s">
        <v>30</v>
      </c>
      <c r="L165" s="9" t="s">
        <v>30</v>
      </c>
      <c r="M165" s="9" t="s">
        <v>30</v>
      </c>
      <c r="N165" s="9" t="s">
        <v>30</v>
      </c>
      <c r="O165" s="9">
        <v>155</v>
      </c>
      <c r="P165" s="9">
        <v>159</v>
      </c>
      <c r="Q165" s="9">
        <v>159</v>
      </c>
      <c r="R165" s="9">
        <v>160</v>
      </c>
      <c r="S165" s="9">
        <v>155</v>
      </c>
      <c r="T165" s="11">
        <v>150</v>
      </c>
      <c r="U165" s="11">
        <v>148</v>
      </c>
      <c r="V165" s="11">
        <v>162</v>
      </c>
      <c r="W165" s="11">
        <v>181</v>
      </c>
      <c r="X165" s="11">
        <v>209</v>
      </c>
      <c r="Y165" s="315">
        <v>255.43314873183127</v>
      </c>
      <c r="Z165" s="335"/>
    </row>
    <row r="166" spans="3:26" ht="12.95" customHeight="1" x14ac:dyDescent="0.2">
      <c r="C166" s="13" t="str">
        <f>VLOOKUP(127,Textbausteine_203[],Hilfsgrössen!$D$2,FALSE)</f>
        <v>Norwegen</v>
      </c>
      <c r="D166" s="1" t="str">
        <f>VLOOKUP(17,Textbausteine_203[],Hilfsgrössen!$D$2,FALSE)</f>
        <v>Index</v>
      </c>
      <c r="E166" s="9">
        <v>1</v>
      </c>
      <c r="H166" s="9" t="s">
        <v>30</v>
      </c>
      <c r="I166" s="9" t="s">
        <v>30</v>
      </c>
      <c r="J166" s="9" t="s">
        <v>30</v>
      </c>
      <c r="K166" s="9" t="s">
        <v>30</v>
      </c>
      <c r="L166" s="9" t="s">
        <v>30</v>
      </c>
      <c r="M166" s="9" t="s">
        <v>30</v>
      </c>
      <c r="N166" s="9" t="s">
        <v>30</v>
      </c>
      <c r="O166" s="9">
        <v>202</v>
      </c>
      <c r="P166" s="9">
        <v>215</v>
      </c>
      <c r="Q166" s="9">
        <v>215</v>
      </c>
      <c r="R166" s="9">
        <v>215</v>
      </c>
      <c r="S166" s="9">
        <v>206</v>
      </c>
      <c r="T166" s="11">
        <v>196</v>
      </c>
      <c r="U166" s="11">
        <v>212</v>
      </c>
      <c r="V166" s="11">
        <v>221</v>
      </c>
      <c r="W166" s="11">
        <v>242</v>
      </c>
      <c r="X166" s="11">
        <v>251</v>
      </c>
      <c r="Y166" s="315">
        <v>251.95134496868206</v>
      </c>
      <c r="Z166" s="335"/>
    </row>
    <row r="167" spans="3:26" ht="12.95" customHeight="1" x14ac:dyDescent="0.2">
      <c r="C167" s="13" t="str">
        <f>VLOOKUP(122,Textbausteine_203[],Hilfsgrössen!$D$2,FALSE)</f>
        <v>Frankreich</v>
      </c>
      <c r="D167" s="1" t="str">
        <f>VLOOKUP(17,Textbausteine_203[],Hilfsgrössen!$D$2,FALSE)</f>
        <v>Index</v>
      </c>
      <c r="E167" s="9">
        <v>1</v>
      </c>
      <c r="H167" s="9" t="s">
        <v>30</v>
      </c>
      <c r="I167" s="9" t="s">
        <v>30</v>
      </c>
      <c r="J167" s="9" t="s">
        <v>30</v>
      </c>
      <c r="K167" s="9" t="s">
        <v>30</v>
      </c>
      <c r="L167" s="9" t="s">
        <v>30</v>
      </c>
      <c r="M167" s="9" t="s">
        <v>30</v>
      </c>
      <c r="N167" s="9" t="s">
        <v>30</v>
      </c>
      <c r="O167" s="9">
        <v>158</v>
      </c>
      <c r="P167" s="9">
        <v>154</v>
      </c>
      <c r="Q167" s="9">
        <v>156</v>
      </c>
      <c r="R167" s="9">
        <v>165</v>
      </c>
      <c r="S167" s="9">
        <v>180</v>
      </c>
      <c r="T167" s="11">
        <v>183</v>
      </c>
      <c r="U167" s="11">
        <v>191</v>
      </c>
      <c r="V167" s="11">
        <v>211</v>
      </c>
      <c r="W167" s="11">
        <v>223</v>
      </c>
      <c r="X167" s="11">
        <v>263</v>
      </c>
      <c r="Y167" s="315">
        <v>226.37214822531467</v>
      </c>
      <c r="Z167" s="335"/>
    </row>
    <row r="168" spans="3:26" ht="12.95" customHeight="1" x14ac:dyDescent="0.2">
      <c r="C168" s="13" t="str">
        <f>VLOOKUP(126,Textbausteine_203[],Hilfsgrössen!$D$2,FALSE)</f>
        <v>Niederlande</v>
      </c>
      <c r="D168" s="1" t="str">
        <f>VLOOKUP(17,Textbausteine_203[],Hilfsgrössen!$D$2,FALSE)</f>
        <v>Index</v>
      </c>
      <c r="E168" s="9">
        <v>1</v>
      </c>
      <c r="H168" s="9" t="s">
        <v>30</v>
      </c>
      <c r="I168" s="9" t="s">
        <v>30</v>
      </c>
      <c r="J168" s="9" t="s">
        <v>30</v>
      </c>
      <c r="K168" s="9" t="s">
        <v>30</v>
      </c>
      <c r="L168" s="9" t="s">
        <v>30</v>
      </c>
      <c r="M168" s="9" t="s">
        <v>30</v>
      </c>
      <c r="N168" s="9" t="s">
        <v>30</v>
      </c>
      <c r="O168" s="9">
        <v>141</v>
      </c>
      <c r="P168" s="9">
        <v>148</v>
      </c>
      <c r="Q168" s="9">
        <v>172</v>
      </c>
      <c r="R168" s="9">
        <v>184</v>
      </c>
      <c r="S168" s="9">
        <v>183</v>
      </c>
      <c r="T168" s="11">
        <v>180</v>
      </c>
      <c r="U168" s="11">
        <v>189</v>
      </c>
      <c r="V168" s="11">
        <v>197</v>
      </c>
      <c r="W168" s="11">
        <v>202</v>
      </c>
      <c r="X168" s="11">
        <v>210</v>
      </c>
      <c r="Y168" s="315">
        <v>219.177139033938</v>
      </c>
      <c r="Z168" s="335"/>
    </row>
    <row r="169" spans="3:26" ht="12.95" customHeight="1" x14ac:dyDescent="0.2">
      <c r="C169" s="13" t="str">
        <f>VLOOKUP(115,Textbausteine_203[],Hilfsgrössen!$D$2,FALSE)</f>
        <v>Österreich</v>
      </c>
      <c r="D169" s="1" t="str">
        <f>VLOOKUP(17,Textbausteine_203[],Hilfsgrössen!$D$2,FALSE)</f>
        <v>Index</v>
      </c>
      <c r="E169" s="9">
        <v>1</v>
      </c>
      <c r="H169" s="9" t="s">
        <v>30</v>
      </c>
      <c r="I169" s="9" t="s">
        <v>30</v>
      </c>
      <c r="J169" s="9" t="s">
        <v>30</v>
      </c>
      <c r="K169" s="9" t="s">
        <v>30</v>
      </c>
      <c r="L169" s="9" t="s">
        <v>30</v>
      </c>
      <c r="M169" s="9" t="s">
        <v>30</v>
      </c>
      <c r="N169" s="9" t="s">
        <v>30</v>
      </c>
      <c r="O169" s="9">
        <v>148</v>
      </c>
      <c r="P169" s="9">
        <v>144</v>
      </c>
      <c r="Q169" s="9">
        <v>141</v>
      </c>
      <c r="R169" s="9">
        <v>139</v>
      </c>
      <c r="S169" s="9">
        <v>145</v>
      </c>
      <c r="T169" s="11">
        <v>138</v>
      </c>
      <c r="U169" s="11">
        <v>163</v>
      </c>
      <c r="V169" s="11">
        <v>173</v>
      </c>
      <c r="W169" s="11">
        <v>169</v>
      </c>
      <c r="X169" s="11">
        <v>178</v>
      </c>
      <c r="Y169" s="315">
        <v>175.98009595111554</v>
      </c>
      <c r="Z169" s="335"/>
    </row>
    <row r="170" spans="3:26" ht="12.95" customHeight="1" x14ac:dyDescent="0.2">
      <c r="C170" s="13" t="str">
        <f>VLOOKUP(124,Textbausteine_203[],Hilfsgrössen!$D$2,FALSE)</f>
        <v>Irland</v>
      </c>
      <c r="D170" s="1" t="str">
        <f>VLOOKUP(17,Textbausteine_203[],Hilfsgrössen!$D$2,FALSE)</f>
        <v>Index</v>
      </c>
      <c r="E170" s="9">
        <v>1</v>
      </c>
      <c r="H170" s="9" t="s">
        <v>30</v>
      </c>
      <c r="I170" s="9" t="s">
        <v>30</v>
      </c>
      <c r="J170" s="9" t="s">
        <v>30</v>
      </c>
      <c r="K170" s="9" t="s">
        <v>30</v>
      </c>
      <c r="L170" s="9" t="s">
        <v>30</v>
      </c>
      <c r="M170" s="9" t="s">
        <v>30</v>
      </c>
      <c r="N170" s="9" t="s">
        <v>30</v>
      </c>
      <c r="O170" s="9">
        <v>111</v>
      </c>
      <c r="P170" s="9">
        <v>112</v>
      </c>
      <c r="Q170" s="9">
        <v>118</v>
      </c>
      <c r="R170" s="9">
        <v>131</v>
      </c>
      <c r="S170" s="9">
        <v>130</v>
      </c>
      <c r="T170" s="11">
        <v>124</v>
      </c>
      <c r="U170" s="11">
        <v>168</v>
      </c>
      <c r="V170" s="11">
        <v>169</v>
      </c>
      <c r="W170" s="11">
        <v>169</v>
      </c>
      <c r="X170" s="11">
        <v>164</v>
      </c>
      <c r="Y170" s="315">
        <v>174.99750672607126</v>
      </c>
      <c r="Z170" s="335"/>
    </row>
    <row r="171" spans="3:26" ht="12.95" customHeight="1" x14ac:dyDescent="0.2">
      <c r="C171" s="13" t="str">
        <f>VLOOKUP(128,Textbausteine_203[],Hilfsgrössen!$D$2,FALSE)</f>
        <v>Portugal</v>
      </c>
      <c r="D171" s="1" t="str">
        <f>VLOOKUP(17,Textbausteine_203[],Hilfsgrössen!$D$2,FALSE)</f>
        <v>Index</v>
      </c>
      <c r="E171" s="9">
        <v>1</v>
      </c>
      <c r="H171" s="9" t="s">
        <v>30</v>
      </c>
      <c r="I171" s="9" t="s">
        <v>30</v>
      </c>
      <c r="J171" s="9" t="s">
        <v>30</v>
      </c>
      <c r="K171" s="9" t="s">
        <v>30</v>
      </c>
      <c r="L171" s="9" t="s">
        <v>30</v>
      </c>
      <c r="M171" s="9" t="s">
        <v>30</v>
      </c>
      <c r="N171" s="9" t="s">
        <v>30</v>
      </c>
      <c r="O171" s="9">
        <v>138</v>
      </c>
      <c r="P171" s="9">
        <v>134</v>
      </c>
      <c r="Q171" s="9">
        <v>145</v>
      </c>
      <c r="R171" s="9">
        <v>151</v>
      </c>
      <c r="S171" s="9">
        <v>160</v>
      </c>
      <c r="T171" s="11">
        <v>154</v>
      </c>
      <c r="U171" s="11">
        <v>158</v>
      </c>
      <c r="V171" s="11">
        <v>164</v>
      </c>
      <c r="W171" s="11">
        <v>156</v>
      </c>
      <c r="X171" s="11">
        <v>152</v>
      </c>
      <c r="Y171" s="315">
        <v>150.26204068115644</v>
      </c>
      <c r="Z171" s="335"/>
    </row>
    <row r="172" spans="3:26" ht="12.95" customHeight="1" x14ac:dyDescent="0.2">
      <c r="C172" s="13" t="str">
        <f>VLOOKUP(120,Textbausteine_203[],Hilfsgrössen!$D$2,FALSE)</f>
        <v>Spanien</v>
      </c>
      <c r="D172" s="1" t="str">
        <f>VLOOKUP(17,Textbausteine_203[],Hilfsgrössen!$D$2,FALSE)</f>
        <v>Index</v>
      </c>
      <c r="E172" s="9">
        <v>1</v>
      </c>
      <c r="H172" s="9" t="s">
        <v>30</v>
      </c>
      <c r="I172" s="9" t="s">
        <v>30</v>
      </c>
      <c r="J172" s="9" t="s">
        <v>30</v>
      </c>
      <c r="K172" s="9" t="s">
        <v>30</v>
      </c>
      <c r="L172" s="9" t="s">
        <v>30</v>
      </c>
      <c r="M172" s="9" t="s">
        <v>30</v>
      </c>
      <c r="N172" s="9" t="s">
        <v>30</v>
      </c>
      <c r="O172" s="9">
        <v>117</v>
      </c>
      <c r="P172" s="9">
        <v>117</v>
      </c>
      <c r="Q172" s="9">
        <v>117</v>
      </c>
      <c r="R172" s="9">
        <v>122</v>
      </c>
      <c r="S172" s="9">
        <v>122</v>
      </c>
      <c r="T172" s="11">
        <v>119</v>
      </c>
      <c r="U172" s="11">
        <v>125</v>
      </c>
      <c r="V172" s="11">
        <v>134</v>
      </c>
      <c r="W172" s="11">
        <v>141</v>
      </c>
      <c r="X172" s="11">
        <v>150</v>
      </c>
      <c r="Y172" s="315">
        <v>148.37719949303698</v>
      </c>
      <c r="Z172" s="335"/>
    </row>
    <row r="173" spans="3:26" ht="12.95" customHeight="1" x14ac:dyDescent="0.2">
      <c r="C173" s="13" t="str">
        <f>VLOOKUP(118,Textbausteine_203[],Hilfsgrössen!$D$2,FALSE)</f>
        <v>Deutschland</v>
      </c>
      <c r="D173" s="1" t="str">
        <f>VLOOKUP(17,Textbausteine_203[],Hilfsgrössen!$D$2,FALSE)</f>
        <v>Index</v>
      </c>
      <c r="E173" s="9">
        <v>1</v>
      </c>
      <c r="H173" s="9" t="s">
        <v>30</v>
      </c>
      <c r="I173" s="9" t="s">
        <v>30</v>
      </c>
      <c r="J173" s="9" t="s">
        <v>30</v>
      </c>
      <c r="K173" s="9" t="s">
        <v>30</v>
      </c>
      <c r="L173" s="9" t="s">
        <v>30</v>
      </c>
      <c r="M173" s="9" t="s">
        <v>30</v>
      </c>
      <c r="N173" s="9" t="s">
        <v>30</v>
      </c>
      <c r="O173" s="9">
        <v>150</v>
      </c>
      <c r="P173" s="9">
        <v>145</v>
      </c>
      <c r="Q173" s="9">
        <v>144</v>
      </c>
      <c r="R173" s="9">
        <v>146</v>
      </c>
      <c r="S173" s="9">
        <v>137</v>
      </c>
      <c r="T173" s="11">
        <v>136</v>
      </c>
      <c r="U173" s="11">
        <v>132</v>
      </c>
      <c r="V173" s="11">
        <v>130</v>
      </c>
      <c r="W173" s="11">
        <v>145</v>
      </c>
      <c r="X173" s="11">
        <v>145</v>
      </c>
      <c r="Y173" s="315">
        <v>143.72849488656396</v>
      </c>
      <c r="Z173" s="335"/>
    </row>
    <row r="174" spans="3:26" ht="12.95" customHeight="1" x14ac:dyDescent="0.2">
      <c r="C174" s="13" t="str">
        <f>VLOOKUP(123,Textbausteine_203[],Hilfsgrössen!$D$2,FALSE)</f>
        <v>Grossbritanien</v>
      </c>
      <c r="D174" s="1" t="str">
        <f>VLOOKUP(17,Textbausteine_203[],Hilfsgrössen!$D$2,FALSE)</f>
        <v>Index</v>
      </c>
      <c r="E174" s="9">
        <v>1</v>
      </c>
      <c r="H174" s="9" t="s">
        <v>30</v>
      </c>
      <c r="I174" s="9" t="s">
        <v>30</v>
      </c>
      <c r="J174" s="9" t="s">
        <v>30</v>
      </c>
      <c r="K174" s="9" t="s">
        <v>30</v>
      </c>
      <c r="L174" s="9" t="s">
        <v>30</v>
      </c>
      <c r="M174" s="9" t="s">
        <v>30</v>
      </c>
      <c r="N174" s="9" t="s">
        <v>30</v>
      </c>
      <c r="O174" s="9">
        <v>107</v>
      </c>
      <c r="P174" s="9">
        <v>132</v>
      </c>
      <c r="Q174" s="9">
        <v>127</v>
      </c>
      <c r="R174" s="9">
        <v>126</v>
      </c>
      <c r="S174" s="9">
        <v>124</v>
      </c>
      <c r="T174" s="11">
        <v>121</v>
      </c>
      <c r="U174" s="11">
        <v>118</v>
      </c>
      <c r="V174" s="11">
        <v>118</v>
      </c>
      <c r="W174" s="11">
        <v>123</v>
      </c>
      <c r="X174" s="11">
        <v>131</v>
      </c>
      <c r="Y174" s="315">
        <v>139.19551485636953</v>
      </c>
      <c r="Z174" s="335"/>
    </row>
    <row r="175" spans="3:26" ht="12.95" customHeight="1" x14ac:dyDescent="0.2">
      <c r="C175" s="187" t="str">
        <f>VLOOKUP(117,Textbausteine_203[],Hilfsgrössen!$D$2,FALSE)</f>
        <v>Schweiz</v>
      </c>
      <c r="D175" s="6" t="str">
        <f>VLOOKUP(17,Textbausteine_203[],Hilfsgrössen!$D$2,FALSE)</f>
        <v>Index</v>
      </c>
      <c r="E175" s="28">
        <v>1</v>
      </c>
      <c r="F175" s="28"/>
      <c r="G175" s="33"/>
      <c r="H175" s="28" t="s">
        <v>30</v>
      </c>
      <c r="I175" s="28" t="s">
        <v>30</v>
      </c>
      <c r="J175" s="28" t="s">
        <v>30</v>
      </c>
      <c r="K175" s="28" t="s">
        <v>30</v>
      </c>
      <c r="L175" s="28" t="s">
        <v>30</v>
      </c>
      <c r="M175" s="28" t="s">
        <v>30</v>
      </c>
      <c r="N175" s="28" t="s">
        <v>30</v>
      </c>
      <c r="O175" s="28">
        <v>100</v>
      </c>
      <c r="P175" s="28">
        <v>100</v>
      </c>
      <c r="Q175" s="28">
        <v>100</v>
      </c>
      <c r="R175" s="28">
        <v>100</v>
      </c>
      <c r="S175" s="28">
        <v>100</v>
      </c>
      <c r="T175" s="7">
        <v>100</v>
      </c>
      <c r="U175" s="7">
        <v>100</v>
      </c>
      <c r="V175" s="7">
        <v>100</v>
      </c>
      <c r="W175" s="7">
        <v>100</v>
      </c>
      <c r="X175" s="7">
        <v>100</v>
      </c>
      <c r="Y175" s="149">
        <v>100</v>
      </c>
      <c r="Z175" s="335"/>
    </row>
    <row r="176" spans="3:26" ht="12.95" customHeight="1" x14ac:dyDescent="0.2">
      <c r="Y176" s="315"/>
      <c r="Z176" s="335"/>
    </row>
    <row r="177" spans="1:83" s="6" customFormat="1" ht="12.95" customHeight="1" x14ac:dyDescent="0.2">
      <c r="A177" s="65"/>
      <c r="C177" s="6" t="str">
        <f>VLOOKUP(113,Textbausteine_203[],Hilfsgrössen!$D$2,FALSE)</f>
        <v>Paketpostindex wechselkursbereinigt</v>
      </c>
      <c r="E177" s="28"/>
      <c r="F177" s="28"/>
      <c r="G177" s="33"/>
      <c r="H177" s="28"/>
      <c r="I177" s="28"/>
      <c r="J177" s="28"/>
      <c r="K177" s="28"/>
      <c r="L177" s="28"/>
      <c r="M177" s="28"/>
      <c r="N177" s="28"/>
      <c r="O177" s="28"/>
      <c r="P177" s="28"/>
      <c r="Q177" s="28"/>
      <c r="R177" s="28"/>
      <c r="S177" s="28"/>
      <c r="T177" s="7"/>
      <c r="U177" s="7"/>
      <c r="V177" s="7"/>
      <c r="W177" s="7"/>
      <c r="X177" s="7"/>
      <c r="Y177" s="149"/>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row>
    <row r="178" spans="1:83" ht="12.95" customHeight="1" x14ac:dyDescent="0.2">
      <c r="C178" s="13" t="str">
        <f>VLOOKUP(121,Textbausteine_203[],Hilfsgrössen!$D$2,FALSE)</f>
        <v>Finnland</v>
      </c>
      <c r="D178" s="1" t="str">
        <f>VLOOKUP(17,Textbausteine_203[],Hilfsgrössen!$D$2,FALSE)</f>
        <v>Index</v>
      </c>
      <c r="E178" s="9" t="s">
        <v>132</v>
      </c>
      <c r="H178" s="9" t="s">
        <v>30</v>
      </c>
      <c r="I178" s="9" t="s">
        <v>30</v>
      </c>
      <c r="J178" s="9" t="s">
        <v>30</v>
      </c>
      <c r="K178" s="9" t="s">
        <v>30</v>
      </c>
      <c r="L178" s="15">
        <v>308</v>
      </c>
      <c r="M178" s="15">
        <v>284</v>
      </c>
      <c r="N178" s="15">
        <v>245</v>
      </c>
      <c r="O178" s="15">
        <v>219</v>
      </c>
      <c r="P178" s="15">
        <v>217</v>
      </c>
      <c r="Q178" s="15">
        <v>243</v>
      </c>
      <c r="R178" s="15">
        <v>245</v>
      </c>
      <c r="S178" s="15">
        <v>265</v>
      </c>
      <c r="T178" s="12">
        <v>272</v>
      </c>
      <c r="U178" s="12">
        <v>295</v>
      </c>
      <c r="V178" s="12">
        <v>298</v>
      </c>
      <c r="W178" s="12">
        <v>287</v>
      </c>
      <c r="X178" s="12">
        <v>279</v>
      </c>
      <c r="Y178" s="315">
        <v>276.28740313222454</v>
      </c>
      <c r="Z178" s="335"/>
    </row>
    <row r="179" spans="1:83" ht="12.95" customHeight="1" x14ac:dyDescent="0.2">
      <c r="C179" s="13" t="str">
        <f>VLOOKUP(127,Textbausteine_203[],Hilfsgrössen!$D$2,FALSE)</f>
        <v>Norwegen</v>
      </c>
      <c r="D179" s="1" t="str">
        <f>VLOOKUP(17,Textbausteine_203[],Hilfsgrössen!$D$2,FALSE)</f>
        <v>Index</v>
      </c>
      <c r="E179" s="9" t="s">
        <v>132</v>
      </c>
      <c r="H179" s="9" t="s">
        <v>30</v>
      </c>
      <c r="I179" s="9" t="s">
        <v>30</v>
      </c>
      <c r="J179" s="9" t="s">
        <v>30</v>
      </c>
      <c r="K179" s="9" t="s">
        <v>30</v>
      </c>
      <c r="L179" s="15">
        <v>370</v>
      </c>
      <c r="M179" s="15">
        <v>316</v>
      </c>
      <c r="N179" s="15">
        <v>323</v>
      </c>
      <c r="O179" s="15">
        <v>318</v>
      </c>
      <c r="P179" s="15">
        <v>353</v>
      </c>
      <c r="Q179" s="15">
        <v>271</v>
      </c>
      <c r="R179" s="15">
        <v>270</v>
      </c>
      <c r="S179" s="15">
        <v>227</v>
      </c>
      <c r="T179" s="12">
        <v>241</v>
      </c>
      <c r="U179" s="12">
        <v>260</v>
      </c>
      <c r="V179" s="12">
        <v>257</v>
      </c>
      <c r="W179" s="12">
        <v>238</v>
      </c>
      <c r="X179" s="12">
        <v>219</v>
      </c>
      <c r="Y179" s="315">
        <v>199.43965213703254</v>
      </c>
      <c r="Z179" s="335"/>
    </row>
    <row r="180" spans="1:83" ht="12.95" customHeight="1" x14ac:dyDescent="0.2">
      <c r="C180" s="13" t="str">
        <f>VLOOKUP(120,Textbausteine_203[],Hilfsgrössen!$D$2,FALSE)</f>
        <v>Spanien</v>
      </c>
      <c r="D180" s="1" t="str">
        <f>VLOOKUP(17,Textbausteine_203[],Hilfsgrössen!$D$2,FALSE)</f>
        <v>Index</v>
      </c>
      <c r="E180" s="9" t="s">
        <v>132</v>
      </c>
      <c r="H180" s="9" t="s">
        <v>30</v>
      </c>
      <c r="I180" s="9" t="s">
        <v>30</v>
      </c>
      <c r="J180" s="9" t="s">
        <v>30</v>
      </c>
      <c r="K180" s="9" t="s">
        <v>30</v>
      </c>
      <c r="L180" s="15">
        <v>170</v>
      </c>
      <c r="M180" s="15">
        <v>163</v>
      </c>
      <c r="N180" s="15">
        <v>141</v>
      </c>
      <c r="O180" s="15">
        <v>125</v>
      </c>
      <c r="P180" s="15">
        <v>132</v>
      </c>
      <c r="Q180" s="15">
        <v>137</v>
      </c>
      <c r="R180" s="15">
        <v>143</v>
      </c>
      <c r="S180" s="15">
        <v>138</v>
      </c>
      <c r="T180" s="12">
        <v>138</v>
      </c>
      <c r="U180" s="12">
        <v>177</v>
      </c>
      <c r="V180" s="12">
        <v>184</v>
      </c>
      <c r="W180" s="12">
        <v>181</v>
      </c>
      <c r="X180" s="12">
        <v>177</v>
      </c>
      <c r="Y180" s="315">
        <v>175.63268287278231</v>
      </c>
      <c r="Z180" s="335"/>
    </row>
    <row r="181" spans="1:83" ht="12.95" customHeight="1" x14ac:dyDescent="0.2">
      <c r="C181" s="13" t="str">
        <f>VLOOKUP(129,Textbausteine_203[],Hilfsgrössen!$D$2,FALSE)</f>
        <v>Schweden</v>
      </c>
      <c r="D181" s="1" t="str">
        <f>VLOOKUP(17,Textbausteine_203[],Hilfsgrössen!$D$2,FALSE)</f>
        <v>Index</v>
      </c>
      <c r="E181" s="9" t="s">
        <v>132</v>
      </c>
      <c r="H181" s="9" t="s">
        <v>30</v>
      </c>
      <c r="I181" s="9" t="s">
        <v>30</v>
      </c>
      <c r="J181" s="9" t="s">
        <v>30</v>
      </c>
      <c r="K181" s="9" t="s">
        <v>30</v>
      </c>
      <c r="L181" s="15">
        <v>399</v>
      </c>
      <c r="M181" s="15">
        <v>339</v>
      </c>
      <c r="N181" s="15">
        <v>311</v>
      </c>
      <c r="O181" s="15">
        <v>285</v>
      </c>
      <c r="P181" s="15">
        <v>307</v>
      </c>
      <c r="Q181" s="15">
        <v>308</v>
      </c>
      <c r="R181" s="15">
        <v>288</v>
      </c>
      <c r="S181" s="15">
        <v>256</v>
      </c>
      <c r="T181" s="12">
        <v>226</v>
      </c>
      <c r="U181" s="12">
        <v>246</v>
      </c>
      <c r="V181" s="12">
        <v>197</v>
      </c>
      <c r="W181" s="12">
        <v>183</v>
      </c>
      <c r="X181" s="12">
        <v>185</v>
      </c>
      <c r="Y181" s="315">
        <v>167.60356438682587</v>
      </c>
      <c r="Z181" s="335"/>
    </row>
    <row r="182" spans="1:83" ht="12.95" customHeight="1" x14ac:dyDescent="0.2">
      <c r="C182" s="13" t="str">
        <f>VLOOKUP(125,Textbausteine_203[],Hilfsgrössen!$D$2,FALSE)</f>
        <v>Italien</v>
      </c>
      <c r="D182" s="1" t="str">
        <f>VLOOKUP(17,Textbausteine_203[],Hilfsgrössen!$D$2,FALSE)</f>
        <v>Index</v>
      </c>
      <c r="E182" s="9" t="s">
        <v>132</v>
      </c>
      <c r="H182" s="9" t="s">
        <v>30</v>
      </c>
      <c r="I182" s="9" t="s">
        <v>30</v>
      </c>
      <c r="J182" s="9" t="s">
        <v>30</v>
      </c>
      <c r="K182" s="9" t="s">
        <v>30</v>
      </c>
      <c r="L182" s="15">
        <v>220</v>
      </c>
      <c r="M182" s="15">
        <v>204</v>
      </c>
      <c r="N182" s="15">
        <v>204</v>
      </c>
      <c r="O182" s="15">
        <v>181</v>
      </c>
      <c r="P182" s="15">
        <v>170</v>
      </c>
      <c r="Q182" s="15">
        <v>167</v>
      </c>
      <c r="R182" s="15">
        <v>164</v>
      </c>
      <c r="S182" s="15">
        <v>147</v>
      </c>
      <c r="T182" s="12">
        <v>151</v>
      </c>
      <c r="U182" s="12">
        <v>161</v>
      </c>
      <c r="V182" s="12">
        <v>156</v>
      </c>
      <c r="W182" s="12">
        <v>138</v>
      </c>
      <c r="X182" s="12">
        <v>135</v>
      </c>
      <c r="Y182" s="315">
        <v>133.94493914979378</v>
      </c>
      <c r="Z182" s="335"/>
    </row>
    <row r="183" spans="1:83" ht="12.95" customHeight="1" x14ac:dyDescent="0.2">
      <c r="C183" s="13" t="str">
        <f>VLOOKUP(128,Textbausteine_203[],Hilfsgrössen!$D$2,FALSE)</f>
        <v>Portugal</v>
      </c>
      <c r="D183" s="1" t="str">
        <f>VLOOKUP(17,Textbausteine_203[],Hilfsgrössen!$D$2,FALSE)</f>
        <v>Index</v>
      </c>
      <c r="E183" s="9" t="s">
        <v>132</v>
      </c>
      <c r="H183" s="9" t="s">
        <v>30</v>
      </c>
      <c r="I183" s="9" t="s">
        <v>30</v>
      </c>
      <c r="J183" s="9" t="s">
        <v>30</v>
      </c>
      <c r="K183" s="9" t="s">
        <v>30</v>
      </c>
      <c r="L183" s="15">
        <v>88</v>
      </c>
      <c r="M183" s="15">
        <v>123</v>
      </c>
      <c r="N183" s="15">
        <v>104</v>
      </c>
      <c r="O183" s="15">
        <v>95</v>
      </c>
      <c r="P183" s="15">
        <v>97</v>
      </c>
      <c r="Q183" s="15">
        <v>109</v>
      </c>
      <c r="R183" s="15">
        <v>116</v>
      </c>
      <c r="S183" s="15">
        <v>109</v>
      </c>
      <c r="T183" s="12">
        <v>113</v>
      </c>
      <c r="U183" s="12">
        <v>126</v>
      </c>
      <c r="V183" s="12">
        <v>128</v>
      </c>
      <c r="W183" s="12">
        <v>125</v>
      </c>
      <c r="X183" s="12">
        <v>128</v>
      </c>
      <c r="Y183" s="315">
        <v>126.70237755879647</v>
      </c>
      <c r="Z183" s="335"/>
    </row>
    <row r="184" spans="1:83" ht="12.95" customHeight="1" x14ac:dyDescent="0.2">
      <c r="C184" s="13" t="str">
        <f>VLOOKUP(122,Textbausteine_203[],Hilfsgrössen!$D$2,FALSE)</f>
        <v>Frankreich</v>
      </c>
      <c r="D184" s="1" t="str">
        <f>VLOOKUP(17,Textbausteine_203[],Hilfsgrössen!$D$2,FALSE)</f>
        <v>Index</v>
      </c>
      <c r="E184" s="9" t="s">
        <v>132</v>
      </c>
      <c r="H184" s="9" t="s">
        <v>30</v>
      </c>
      <c r="I184" s="9" t="s">
        <v>30</v>
      </c>
      <c r="J184" s="9" t="s">
        <v>30</v>
      </c>
      <c r="K184" s="9" t="s">
        <v>30</v>
      </c>
      <c r="L184" s="15">
        <v>176</v>
      </c>
      <c r="M184" s="15">
        <v>162</v>
      </c>
      <c r="N184" s="15">
        <v>137</v>
      </c>
      <c r="O184" s="15">
        <v>123</v>
      </c>
      <c r="P184" s="15">
        <v>126</v>
      </c>
      <c r="Q184" s="15">
        <v>134</v>
      </c>
      <c r="R184" s="15">
        <v>136</v>
      </c>
      <c r="S184" s="15">
        <v>126</v>
      </c>
      <c r="T184" s="12">
        <v>124</v>
      </c>
      <c r="U184" s="12">
        <v>135</v>
      </c>
      <c r="V184" s="12">
        <v>133</v>
      </c>
      <c r="W184" s="12">
        <v>130</v>
      </c>
      <c r="X184" s="12">
        <v>129</v>
      </c>
      <c r="Y184" s="315">
        <v>116.78918661559159</v>
      </c>
      <c r="Z184" s="335"/>
    </row>
    <row r="185" spans="1:83" ht="12.95" customHeight="1" x14ac:dyDescent="0.2">
      <c r="C185" s="13" t="str">
        <f>VLOOKUP(119,Textbausteine_203[],Hilfsgrössen!$D$2,FALSE)</f>
        <v>Dänemark</v>
      </c>
      <c r="D185" s="1" t="str">
        <f>VLOOKUP(17,Textbausteine_203[],Hilfsgrössen!$D$2,FALSE)</f>
        <v>Index</v>
      </c>
      <c r="E185" s="9" t="s">
        <v>132</v>
      </c>
      <c r="H185" s="9" t="s">
        <v>30</v>
      </c>
      <c r="I185" s="9" t="s">
        <v>30</v>
      </c>
      <c r="J185" s="9" t="s">
        <v>30</v>
      </c>
      <c r="K185" s="9" t="s">
        <v>30</v>
      </c>
      <c r="L185" s="15">
        <v>211</v>
      </c>
      <c r="M185" s="15">
        <v>210</v>
      </c>
      <c r="N185" s="15">
        <v>181</v>
      </c>
      <c r="O185" s="15">
        <v>169</v>
      </c>
      <c r="P185" s="15">
        <v>171</v>
      </c>
      <c r="Q185" s="15">
        <v>212</v>
      </c>
      <c r="R185" s="15">
        <v>208</v>
      </c>
      <c r="S185" s="15">
        <v>190</v>
      </c>
      <c r="T185" s="12">
        <v>208</v>
      </c>
      <c r="U185" s="12">
        <v>199</v>
      </c>
      <c r="V185" s="12">
        <v>210</v>
      </c>
      <c r="W185" s="12">
        <v>123</v>
      </c>
      <c r="X185" s="12">
        <v>120</v>
      </c>
      <c r="Y185" s="315">
        <v>115.09279693465346</v>
      </c>
      <c r="Z185" s="335"/>
    </row>
    <row r="186" spans="1:83" ht="12.95" customHeight="1" x14ac:dyDescent="0.2">
      <c r="C186" s="13" t="str">
        <f>VLOOKUP(116,Textbausteine_203[],Hilfsgrössen!$D$2,FALSE)</f>
        <v>Belgien</v>
      </c>
      <c r="D186" s="1" t="str">
        <f>VLOOKUP(17,Textbausteine_203[],Hilfsgrössen!$D$2,FALSE)</f>
        <v>Index</v>
      </c>
      <c r="E186" s="9" t="s">
        <v>132</v>
      </c>
      <c r="H186" s="9" t="s">
        <v>30</v>
      </c>
      <c r="I186" s="9" t="s">
        <v>30</v>
      </c>
      <c r="J186" s="9" t="s">
        <v>30</v>
      </c>
      <c r="K186" s="9" t="s">
        <v>30</v>
      </c>
      <c r="L186" s="15">
        <v>118</v>
      </c>
      <c r="M186" s="15">
        <v>124</v>
      </c>
      <c r="N186" s="15">
        <v>104</v>
      </c>
      <c r="O186" s="15">
        <v>94</v>
      </c>
      <c r="P186" s="15">
        <v>99</v>
      </c>
      <c r="Q186" s="15">
        <v>105</v>
      </c>
      <c r="R186" s="15">
        <v>104</v>
      </c>
      <c r="S186" s="15">
        <v>94</v>
      </c>
      <c r="T186" s="12">
        <v>95</v>
      </c>
      <c r="U186" s="12">
        <v>102</v>
      </c>
      <c r="V186" s="12">
        <v>101</v>
      </c>
      <c r="W186" s="12">
        <v>100</v>
      </c>
      <c r="X186" s="12">
        <v>99</v>
      </c>
      <c r="Y186" s="315">
        <v>103.49774916618384</v>
      </c>
      <c r="Z186" s="335"/>
    </row>
    <row r="187" spans="1:83" ht="12.95" customHeight="1" x14ac:dyDescent="0.2">
      <c r="C187" s="187" t="str">
        <f>VLOOKUP(117,Textbausteine_203[],Hilfsgrössen!$D$2,FALSE)</f>
        <v>Schweiz</v>
      </c>
      <c r="D187" s="6" t="str">
        <f>VLOOKUP(17,Textbausteine_203[],Hilfsgrössen!$D$2,FALSE)</f>
        <v>Index</v>
      </c>
      <c r="E187" s="28" t="s">
        <v>132</v>
      </c>
      <c r="F187" s="28"/>
      <c r="G187" s="33"/>
      <c r="H187" s="28" t="s">
        <v>30</v>
      </c>
      <c r="I187" s="28" t="s">
        <v>30</v>
      </c>
      <c r="J187" s="28" t="s">
        <v>30</v>
      </c>
      <c r="K187" s="28" t="s">
        <v>30</v>
      </c>
      <c r="L187" s="76">
        <v>100</v>
      </c>
      <c r="M187" s="76">
        <v>100</v>
      </c>
      <c r="N187" s="76">
        <v>100</v>
      </c>
      <c r="O187" s="76">
        <v>100</v>
      </c>
      <c r="P187" s="76">
        <v>100</v>
      </c>
      <c r="Q187" s="76">
        <v>100</v>
      </c>
      <c r="R187" s="76">
        <v>100</v>
      </c>
      <c r="S187" s="76">
        <v>100</v>
      </c>
      <c r="T187" s="77">
        <v>100</v>
      </c>
      <c r="U187" s="77">
        <v>100</v>
      </c>
      <c r="V187" s="77">
        <v>100</v>
      </c>
      <c r="W187" s="77">
        <v>100</v>
      </c>
      <c r="X187" s="77">
        <v>100</v>
      </c>
      <c r="Y187" s="149">
        <v>100</v>
      </c>
      <c r="Z187" s="335"/>
    </row>
    <row r="188" spans="1:83" ht="12.95" customHeight="1" x14ac:dyDescent="0.2">
      <c r="C188" s="13" t="str">
        <f>VLOOKUP(126,Textbausteine_203[],Hilfsgrössen!$D$2,FALSE)</f>
        <v>Niederlande</v>
      </c>
      <c r="D188" s="1" t="str">
        <f>VLOOKUP(17,Textbausteine_203[],Hilfsgrössen!$D$2,FALSE)</f>
        <v>Index</v>
      </c>
      <c r="E188" s="9" t="s">
        <v>132</v>
      </c>
      <c r="H188" s="9" t="s">
        <v>30</v>
      </c>
      <c r="I188" s="9" t="s">
        <v>30</v>
      </c>
      <c r="J188" s="9" t="s">
        <v>30</v>
      </c>
      <c r="K188" s="9" t="s">
        <v>30</v>
      </c>
      <c r="L188" s="15">
        <v>137</v>
      </c>
      <c r="M188" s="15">
        <v>138</v>
      </c>
      <c r="N188" s="15">
        <v>119</v>
      </c>
      <c r="O188" s="15">
        <v>105</v>
      </c>
      <c r="P188" s="15">
        <v>104</v>
      </c>
      <c r="Q188" s="15">
        <v>105</v>
      </c>
      <c r="R188" s="15">
        <v>106</v>
      </c>
      <c r="S188" s="15">
        <v>95</v>
      </c>
      <c r="T188" s="12">
        <v>95</v>
      </c>
      <c r="U188" s="12">
        <v>102</v>
      </c>
      <c r="V188" s="12">
        <v>98</v>
      </c>
      <c r="W188" s="12">
        <v>95</v>
      </c>
      <c r="X188" s="12">
        <v>96</v>
      </c>
      <c r="Y188" s="370">
        <v>88</v>
      </c>
      <c r="Z188" s="335"/>
    </row>
    <row r="189" spans="1:83" ht="12.95" customHeight="1" x14ac:dyDescent="0.2">
      <c r="C189" s="13" t="str">
        <f>VLOOKUP(123,Textbausteine_203[],Hilfsgrössen!$D$2,FALSE)</f>
        <v>Grossbritanien</v>
      </c>
      <c r="D189" s="1" t="str">
        <f>VLOOKUP(17,Textbausteine_203[],Hilfsgrössen!$D$2,FALSE)</f>
        <v>Index</v>
      </c>
      <c r="E189" s="9" t="s">
        <v>132</v>
      </c>
      <c r="H189" s="9" t="s">
        <v>30</v>
      </c>
      <c r="I189" s="9" t="s">
        <v>30</v>
      </c>
      <c r="J189" s="9" t="s">
        <v>30</v>
      </c>
      <c r="K189" s="9" t="s">
        <v>30</v>
      </c>
      <c r="L189" s="15">
        <v>213</v>
      </c>
      <c r="M189" s="15">
        <v>178</v>
      </c>
      <c r="N189" s="15">
        <v>123</v>
      </c>
      <c r="O189" s="15">
        <v>114</v>
      </c>
      <c r="P189" s="15">
        <v>138</v>
      </c>
      <c r="Q189" s="15">
        <v>107</v>
      </c>
      <c r="R189" s="15">
        <v>109</v>
      </c>
      <c r="S189" s="15">
        <v>106</v>
      </c>
      <c r="T189" s="12">
        <v>85</v>
      </c>
      <c r="U189" s="12">
        <v>95</v>
      </c>
      <c r="V189" s="12">
        <v>93</v>
      </c>
      <c r="W189" s="12">
        <v>92</v>
      </c>
      <c r="X189" s="12">
        <v>80</v>
      </c>
      <c r="Y189" s="370">
        <v>75</v>
      </c>
      <c r="Z189" s="335"/>
    </row>
    <row r="190" spans="1:83" ht="12.95" customHeight="1" x14ac:dyDescent="0.2">
      <c r="C190" s="13" t="str">
        <f>VLOOKUP(115,Textbausteine_203[],Hilfsgrössen!$D$2,FALSE)</f>
        <v>Österreich</v>
      </c>
      <c r="D190" s="1" t="str">
        <f>VLOOKUP(17,Textbausteine_203[],Hilfsgrössen!$D$2,FALSE)</f>
        <v>Index</v>
      </c>
      <c r="E190" s="9" t="s">
        <v>132</v>
      </c>
      <c r="H190" s="9" t="s">
        <v>30</v>
      </c>
      <c r="I190" s="9" t="s">
        <v>30</v>
      </c>
      <c r="J190" s="9" t="s">
        <v>30</v>
      </c>
      <c r="K190" s="9" t="s">
        <v>30</v>
      </c>
      <c r="L190" s="15">
        <v>103</v>
      </c>
      <c r="M190" s="15">
        <v>95</v>
      </c>
      <c r="N190" s="15">
        <v>81</v>
      </c>
      <c r="O190" s="15">
        <v>72</v>
      </c>
      <c r="P190" s="15">
        <v>71</v>
      </c>
      <c r="Q190" s="15">
        <v>76</v>
      </c>
      <c r="R190" s="15">
        <v>75</v>
      </c>
      <c r="S190" s="15">
        <v>69</v>
      </c>
      <c r="T190" s="12">
        <v>69</v>
      </c>
      <c r="U190" s="12">
        <v>67</v>
      </c>
      <c r="V190" s="12">
        <v>75</v>
      </c>
      <c r="W190" s="12">
        <v>72</v>
      </c>
      <c r="X190" s="12">
        <v>70</v>
      </c>
      <c r="Y190" s="370">
        <v>66</v>
      </c>
      <c r="Z190" s="335"/>
    </row>
    <row r="191" spans="1:83" ht="12.95" customHeight="1" x14ac:dyDescent="0.2">
      <c r="C191" s="13" t="str">
        <f>VLOOKUP(118,Textbausteine_203[],Hilfsgrössen!$D$2,FALSE)</f>
        <v>Deutschland</v>
      </c>
      <c r="D191" s="1" t="str">
        <f>VLOOKUP(17,Textbausteine_203[],Hilfsgrössen!$D$2,FALSE)</f>
        <v>Index</v>
      </c>
      <c r="E191" s="9" t="s">
        <v>132</v>
      </c>
      <c r="H191" s="9" t="s">
        <v>30</v>
      </c>
      <c r="I191" s="9" t="s">
        <v>30</v>
      </c>
      <c r="J191" s="9" t="s">
        <v>30</v>
      </c>
      <c r="K191" s="9" t="s">
        <v>30</v>
      </c>
      <c r="L191" s="15">
        <v>107</v>
      </c>
      <c r="M191" s="15">
        <v>98</v>
      </c>
      <c r="N191" s="15">
        <v>82</v>
      </c>
      <c r="O191" s="15">
        <v>72</v>
      </c>
      <c r="P191" s="15">
        <v>72</v>
      </c>
      <c r="Q191" s="15">
        <v>73</v>
      </c>
      <c r="R191" s="15">
        <v>72</v>
      </c>
      <c r="S191" s="15">
        <v>66</v>
      </c>
      <c r="T191" s="12">
        <v>67</v>
      </c>
      <c r="U191" s="12">
        <v>72</v>
      </c>
      <c r="V191" s="12">
        <v>68</v>
      </c>
      <c r="W191" s="12">
        <v>67</v>
      </c>
      <c r="X191" s="12">
        <v>64</v>
      </c>
      <c r="Y191" s="370">
        <v>58</v>
      </c>
      <c r="Z191" s="335"/>
    </row>
    <row r="192" spans="1:83" ht="12.95" customHeight="1" x14ac:dyDescent="0.2">
      <c r="C192" s="13" t="str">
        <f>VLOOKUP(124,Textbausteine_203[],Hilfsgrössen!$D$2,FALSE)</f>
        <v>Irland</v>
      </c>
      <c r="D192" s="1" t="str">
        <f>VLOOKUP(17,Textbausteine_203[],Hilfsgrössen!$D$2,FALSE)</f>
        <v>Index</v>
      </c>
      <c r="E192" s="9" t="s">
        <v>132</v>
      </c>
      <c r="H192" s="9" t="s">
        <v>30</v>
      </c>
      <c r="I192" s="9" t="s">
        <v>30</v>
      </c>
      <c r="J192" s="9" t="s">
        <v>30</v>
      </c>
      <c r="K192" s="9" t="s">
        <v>30</v>
      </c>
      <c r="L192" s="15">
        <v>211</v>
      </c>
      <c r="M192" s="15">
        <v>195</v>
      </c>
      <c r="N192" s="15">
        <v>154</v>
      </c>
      <c r="O192" s="15">
        <v>137</v>
      </c>
      <c r="P192" s="15">
        <v>140</v>
      </c>
      <c r="Q192" s="15">
        <v>144</v>
      </c>
      <c r="R192" s="15">
        <v>151</v>
      </c>
      <c r="S192" s="15">
        <v>137</v>
      </c>
      <c r="T192" s="12">
        <v>138</v>
      </c>
      <c r="U192" s="12">
        <v>162</v>
      </c>
      <c r="V192" s="12">
        <v>169</v>
      </c>
      <c r="W192" s="12">
        <v>159</v>
      </c>
      <c r="X192" s="12">
        <v>140</v>
      </c>
      <c r="Y192" s="370">
        <v>35</v>
      </c>
      <c r="Z192" s="335"/>
    </row>
    <row r="193" spans="1:83" ht="12.95" customHeight="1" x14ac:dyDescent="0.2">
      <c r="Y193" s="315"/>
    </row>
    <row r="194" spans="1:83" s="6" customFormat="1" ht="12.95" customHeight="1" x14ac:dyDescent="0.2">
      <c r="A194" s="65"/>
      <c r="C194" s="6" t="str">
        <f>VLOOKUP(114,Textbausteine_203[],Hilfsgrössen!$D$2,FALSE)</f>
        <v>Paketpostindex kaufkraftbereinigt</v>
      </c>
      <c r="E194" s="28"/>
      <c r="F194" s="28"/>
      <c r="G194" s="33"/>
      <c r="H194" s="28"/>
      <c r="I194" s="28"/>
      <c r="J194" s="28"/>
      <c r="K194" s="28"/>
      <c r="L194" s="28"/>
      <c r="M194" s="28"/>
      <c r="N194" s="28"/>
      <c r="O194" s="28"/>
      <c r="P194" s="28"/>
      <c r="Q194" s="28"/>
      <c r="R194" s="28"/>
      <c r="S194" s="28"/>
      <c r="T194" s="7"/>
      <c r="U194" s="7"/>
      <c r="V194" s="7"/>
      <c r="W194" s="7"/>
      <c r="X194" s="7"/>
      <c r="Y194" s="149"/>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row>
    <row r="195" spans="1:83" ht="12.95" customHeight="1" x14ac:dyDescent="0.2">
      <c r="C195" s="13" t="str">
        <f>VLOOKUP(121,Textbausteine_203[],Hilfsgrössen!$D$2,FALSE)</f>
        <v>Finnland</v>
      </c>
      <c r="D195" s="1" t="str">
        <f>VLOOKUP(17,Textbausteine_203[],Hilfsgrössen!$D$2,FALSE)</f>
        <v>Index</v>
      </c>
      <c r="E195" s="9">
        <v>2</v>
      </c>
      <c r="H195" s="9" t="s">
        <v>30</v>
      </c>
      <c r="I195" s="9" t="s">
        <v>30</v>
      </c>
      <c r="J195" s="9" t="s">
        <v>30</v>
      </c>
      <c r="K195" s="9" t="s">
        <v>30</v>
      </c>
      <c r="L195" s="9" t="s">
        <v>30</v>
      </c>
      <c r="M195" s="9" t="s">
        <v>30</v>
      </c>
      <c r="N195" s="9" t="s">
        <v>30</v>
      </c>
      <c r="O195" s="9">
        <v>285</v>
      </c>
      <c r="P195" s="9">
        <v>281</v>
      </c>
      <c r="Q195" s="9">
        <v>296</v>
      </c>
      <c r="R195" s="9">
        <v>304</v>
      </c>
      <c r="S195" s="9">
        <v>356</v>
      </c>
      <c r="T195" s="11">
        <v>344</v>
      </c>
      <c r="U195" s="11">
        <v>345</v>
      </c>
      <c r="V195" s="11">
        <v>353</v>
      </c>
      <c r="W195" s="11">
        <v>354</v>
      </c>
      <c r="X195" s="11">
        <v>354</v>
      </c>
      <c r="Y195" s="315">
        <v>351.04256054290067</v>
      </c>
      <c r="Z195" s="335"/>
    </row>
    <row r="196" spans="1:83" ht="12.95" customHeight="1" x14ac:dyDescent="0.2">
      <c r="C196" s="13" t="str">
        <f>VLOOKUP(120,Textbausteine_203[],Hilfsgrössen!$D$2,FALSE)</f>
        <v>Spanien</v>
      </c>
      <c r="D196" s="1" t="str">
        <f>VLOOKUP(17,Textbausteine_203[],Hilfsgrössen!$D$2,FALSE)</f>
        <v>Index</v>
      </c>
      <c r="E196" s="9">
        <v>2</v>
      </c>
      <c r="H196" s="9" t="s">
        <v>30</v>
      </c>
      <c r="I196" s="9" t="s">
        <v>30</v>
      </c>
      <c r="J196" s="9" t="s">
        <v>30</v>
      </c>
      <c r="K196" s="9" t="s">
        <v>30</v>
      </c>
      <c r="L196" s="9" t="s">
        <v>30</v>
      </c>
      <c r="M196" s="9" t="s">
        <v>30</v>
      </c>
      <c r="N196" s="9" t="s">
        <v>30</v>
      </c>
      <c r="O196" s="9">
        <v>217</v>
      </c>
      <c r="P196" s="9">
        <v>224</v>
      </c>
      <c r="Q196" s="9">
        <v>223</v>
      </c>
      <c r="R196" s="9">
        <v>242</v>
      </c>
      <c r="S196" s="9">
        <v>257</v>
      </c>
      <c r="T196" s="11">
        <v>240</v>
      </c>
      <c r="U196" s="11">
        <v>283</v>
      </c>
      <c r="V196" s="11">
        <v>299</v>
      </c>
      <c r="W196" s="11">
        <v>303</v>
      </c>
      <c r="X196" s="11">
        <v>304</v>
      </c>
      <c r="Y196" s="315">
        <v>301.45319710892016</v>
      </c>
      <c r="Z196" s="335"/>
    </row>
    <row r="197" spans="1:83" ht="12.95" customHeight="1" x14ac:dyDescent="0.2">
      <c r="C197" s="13" t="str">
        <f>VLOOKUP(128,Textbausteine_203[],Hilfsgrössen!$D$2,FALSE)</f>
        <v>Portugal</v>
      </c>
      <c r="D197" s="1" t="str">
        <f>VLOOKUP(17,Textbausteine_203[],Hilfsgrössen!$D$2,FALSE)</f>
        <v>Index</v>
      </c>
      <c r="E197" s="9">
        <v>2</v>
      </c>
      <c r="H197" s="9" t="s">
        <v>30</v>
      </c>
      <c r="I197" s="9" t="s">
        <v>30</v>
      </c>
      <c r="J197" s="9" t="s">
        <v>30</v>
      </c>
      <c r="K197" s="9" t="s">
        <v>30</v>
      </c>
      <c r="L197" s="9" t="s">
        <v>30</v>
      </c>
      <c r="M197" s="9" t="s">
        <v>30</v>
      </c>
      <c r="N197" s="9" t="s">
        <v>30</v>
      </c>
      <c r="O197" s="9">
        <v>186</v>
      </c>
      <c r="P197" s="9">
        <v>185</v>
      </c>
      <c r="Q197" s="9">
        <v>199</v>
      </c>
      <c r="R197" s="9">
        <v>219</v>
      </c>
      <c r="S197" s="9">
        <v>234</v>
      </c>
      <c r="T197" s="11">
        <v>224</v>
      </c>
      <c r="U197" s="11">
        <v>229</v>
      </c>
      <c r="V197" s="11">
        <v>232</v>
      </c>
      <c r="W197" s="11">
        <v>227</v>
      </c>
      <c r="X197" s="11">
        <v>243</v>
      </c>
      <c r="Y197" s="315">
        <v>240.48268111107268</v>
      </c>
      <c r="Z197" s="335"/>
    </row>
    <row r="198" spans="1:83" ht="12.95" customHeight="1" x14ac:dyDescent="0.2">
      <c r="C198" s="13" t="str">
        <f>VLOOKUP(125,Textbausteine_203[],Hilfsgrössen!$D$2,FALSE)</f>
        <v>Italien</v>
      </c>
      <c r="D198" s="1" t="str">
        <f>VLOOKUP(17,Textbausteine_203[],Hilfsgrössen!$D$2,FALSE)</f>
        <v>Index</v>
      </c>
      <c r="E198" s="9">
        <v>2</v>
      </c>
      <c r="H198" s="9" t="s">
        <v>30</v>
      </c>
      <c r="I198" s="9" t="s">
        <v>30</v>
      </c>
      <c r="J198" s="9" t="s">
        <v>30</v>
      </c>
      <c r="K198" s="9" t="s">
        <v>30</v>
      </c>
      <c r="L198" s="9" t="s">
        <v>30</v>
      </c>
      <c r="M198" s="9" t="s">
        <v>30</v>
      </c>
      <c r="N198" s="9" t="s">
        <v>30</v>
      </c>
      <c r="O198" s="9">
        <v>280</v>
      </c>
      <c r="P198" s="9">
        <v>261</v>
      </c>
      <c r="Q198" s="9">
        <v>243</v>
      </c>
      <c r="R198" s="9">
        <v>248</v>
      </c>
      <c r="S198" s="9">
        <v>245</v>
      </c>
      <c r="T198" s="11">
        <v>237</v>
      </c>
      <c r="U198" s="11">
        <v>236</v>
      </c>
      <c r="V198" s="11">
        <v>232</v>
      </c>
      <c r="W198" s="11">
        <v>214</v>
      </c>
      <c r="X198" s="11">
        <v>216</v>
      </c>
      <c r="Y198" s="315">
        <v>214.8255284108599</v>
      </c>
      <c r="Z198" s="335"/>
    </row>
    <row r="199" spans="1:83" ht="12.95" customHeight="1" x14ac:dyDescent="0.2">
      <c r="C199" s="13" t="str">
        <f>VLOOKUP(127,Textbausteine_203[],Hilfsgrössen!$D$2,FALSE)</f>
        <v>Norwegen</v>
      </c>
      <c r="D199" s="1" t="str">
        <f>VLOOKUP(17,Textbausteine_203[],Hilfsgrössen!$D$2,FALSE)</f>
        <v>Index</v>
      </c>
      <c r="E199" s="9">
        <v>2</v>
      </c>
      <c r="H199" s="9" t="s">
        <v>30</v>
      </c>
      <c r="I199" s="9" t="s">
        <v>30</v>
      </c>
      <c r="J199" s="9" t="s">
        <v>30</v>
      </c>
      <c r="K199" s="9" t="s">
        <v>30</v>
      </c>
      <c r="L199" s="9" t="s">
        <v>30</v>
      </c>
      <c r="M199" s="9" t="s">
        <v>30</v>
      </c>
      <c r="N199" s="9" t="s">
        <v>30</v>
      </c>
      <c r="O199" s="9">
        <v>316</v>
      </c>
      <c r="P199" s="9">
        <v>354</v>
      </c>
      <c r="Q199" s="9">
        <v>280</v>
      </c>
      <c r="R199" s="9">
        <v>291</v>
      </c>
      <c r="S199" s="9">
        <v>283</v>
      </c>
      <c r="T199" s="11">
        <v>263</v>
      </c>
      <c r="U199" s="11">
        <v>261</v>
      </c>
      <c r="V199" s="11">
        <v>258</v>
      </c>
      <c r="W199" s="11">
        <v>260</v>
      </c>
      <c r="X199" s="11">
        <v>264</v>
      </c>
      <c r="Y199" s="315">
        <v>210.96212169418399</v>
      </c>
      <c r="Z199" s="335"/>
    </row>
    <row r="200" spans="1:83" ht="12.95" customHeight="1" x14ac:dyDescent="0.2">
      <c r="C200" s="13" t="str">
        <f>VLOOKUP(129,Textbausteine_203[],Hilfsgrössen!$D$2,FALSE)</f>
        <v>Schweden</v>
      </c>
      <c r="D200" s="1" t="str">
        <f>VLOOKUP(17,Textbausteine_203[],Hilfsgrössen!$D$2,FALSE)</f>
        <v>Index</v>
      </c>
      <c r="E200" s="9">
        <v>2</v>
      </c>
      <c r="H200" s="9" t="s">
        <v>30</v>
      </c>
      <c r="I200" s="9" t="s">
        <v>30</v>
      </c>
      <c r="J200" s="9" t="s">
        <v>30</v>
      </c>
      <c r="K200" s="9" t="s">
        <v>30</v>
      </c>
      <c r="L200" s="9" t="s">
        <v>30</v>
      </c>
      <c r="M200" s="9" t="s">
        <v>30</v>
      </c>
      <c r="N200" s="9" t="s">
        <v>30</v>
      </c>
      <c r="O200" s="9">
        <v>357</v>
      </c>
      <c r="P200" s="9">
        <v>357</v>
      </c>
      <c r="Q200" s="9">
        <v>354</v>
      </c>
      <c r="R200" s="9">
        <v>352</v>
      </c>
      <c r="S200" s="9">
        <v>338</v>
      </c>
      <c r="T200" s="11">
        <v>289</v>
      </c>
      <c r="U200" s="11">
        <v>283</v>
      </c>
      <c r="V200" s="11">
        <v>240</v>
      </c>
      <c r="W200" s="11">
        <v>239</v>
      </c>
      <c r="X200" s="11">
        <v>235</v>
      </c>
      <c r="Y200" s="315">
        <v>204.61229716578848</v>
      </c>
      <c r="Z200" s="335"/>
    </row>
    <row r="201" spans="1:83" ht="12.95" customHeight="1" x14ac:dyDescent="0.2">
      <c r="C201" s="13" t="str">
        <f>VLOOKUP(122,Textbausteine_203[],Hilfsgrössen!$D$2,FALSE)</f>
        <v>Frankreich</v>
      </c>
      <c r="D201" s="1" t="str">
        <f>VLOOKUP(17,Textbausteine_203[],Hilfsgrössen!$D$2,FALSE)</f>
        <v>Index</v>
      </c>
      <c r="E201" s="9">
        <v>2</v>
      </c>
      <c r="H201" s="9" t="s">
        <v>30</v>
      </c>
      <c r="I201" s="9" t="s">
        <v>30</v>
      </c>
      <c r="J201" s="9" t="s">
        <v>30</v>
      </c>
      <c r="K201" s="9" t="s">
        <v>30</v>
      </c>
      <c r="L201" s="9" t="s">
        <v>30</v>
      </c>
      <c r="M201" s="9" t="s">
        <v>30</v>
      </c>
      <c r="N201" s="9" t="s">
        <v>30</v>
      </c>
      <c r="O201" s="9">
        <v>175</v>
      </c>
      <c r="P201" s="9">
        <v>174</v>
      </c>
      <c r="Q201" s="9">
        <v>177</v>
      </c>
      <c r="R201" s="9">
        <v>186</v>
      </c>
      <c r="S201" s="9">
        <v>191</v>
      </c>
      <c r="T201" s="11">
        <v>179</v>
      </c>
      <c r="U201" s="11">
        <v>177</v>
      </c>
      <c r="V201" s="11">
        <v>178</v>
      </c>
      <c r="W201" s="11">
        <v>182</v>
      </c>
      <c r="X201" s="11">
        <v>189</v>
      </c>
      <c r="Y201" s="315">
        <v>171.70132727225914</v>
      </c>
      <c r="Z201" s="335"/>
    </row>
    <row r="202" spans="1:83" ht="12.95" customHeight="1" x14ac:dyDescent="0.2">
      <c r="C202" s="13" t="str">
        <f>VLOOKUP(116,Textbausteine_203[],Hilfsgrössen!$D$2,FALSE)</f>
        <v>Belgien</v>
      </c>
      <c r="D202" s="1" t="str">
        <f>VLOOKUP(17,Textbausteine_203[],Hilfsgrössen!$D$2,FALSE)</f>
        <v>Index</v>
      </c>
      <c r="E202" s="9">
        <v>2</v>
      </c>
      <c r="H202" s="9" t="s">
        <v>30</v>
      </c>
      <c r="I202" s="9" t="s">
        <v>30</v>
      </c>
      <c r="J202" s="9" t="s">
        <v>30</v>
      </c>
      <c r="K202" s="9" t="s">
        <v>30</v>
      </c>
      <c r="L202" s="9" t="s">
        <v>30</v>
      </c>
      <c r="M202" s="9" t="s">
        <v>30</v>
      </c>
      <c r="N202" s="9" t="s">
        <v>30</v>
      </c>
      <c r="O202" s="9">
        <v>134</v>
      </c>
      <c r="P202" s="9">
        <v>133</v>
      </c>
      <c r="Q202" s="9">
        <v>133</v>
      </c>
      <c r="R202" s="9">
        <v>135</v>
      </c>
      <c r="S202" s="9">
        <v>134</v>
      </c>
      <c r="T202" s="11">
        <v>136</v>
      </c>
      <c r="U202" s="11">
        <v>135</v>
      </c>
      <c r="V202" s="11">
        <v>135</v>
      </c>
      <c r="W202" s="11">
        <v>139</v>
      </c>
      <c r="X202" s="11">
        <v>142</v>
      </c>
      <c r="Y202" s="315">
        <v>147.52514595314096</v>
      </c>
      <c r="Z202" s="335"/>
    </row>
    <row r="203" spans="1:83" ht="12.95" customHeight="1" x14ac:dyDescent="0.2">
      <c r="C203" s="13" t="str">
        <f>VLOOKUP(119,Textbausteine_203[],Hilfsgrössen!$D$2,FALSE)</f>
        <v>Dänemark</v>
      </c>
      <c r="D203" s="1" t="str">
        <f>VLOOKUP(17,Textbausteine_203[],Hilfsgrössen!$D$2,FALSE)</f>
        <v>Index</v>
      </c>
      <c r="E203" s="9">
        <v>2</v>
      </c>
      <c r="H203" s="9" t="s">
        <v>30</v>
      </c>
      <c r="I203" s="9" t="s">
        <v>30</v>
      </c>
      <c r="J203" s="9" t="s">
        <v>30</v>
      </c>
      <c r="K203" s="9" t="s">
        <v>30</v>
      </c>
      <c r="L203" s="9" t="s">
        <v>30</v>
      </c>
      <c r="M203" s="9" t="s">
        <v>30</v>
      </c>
      <c r="N203" s="9" t="s">
        <v>30</v>
      </c>
      <c r="O203" s="9">
        <v>198</v>
      </c>
      <c r="P203" s="9">
        <v>197</v>
      </c>
      <c r="Q203" s="9">
        <v>231</v>
      </c>
      <c r="R203" s="9">
        <v>231</v>
      </c>
      <c r="S203" s="9">
        <v>235</v>
      </c>
      <c r="T203" s="11">
        <v>243</v>
      </c>
      <c r="U203" s="11">
        <v>216</v>
      </c>
      <c r="V203" s="11">
        <v>231</v>
      </c>
      <c r="W203" s="11">
        <v>143</v>
      </c>
      <c r="X203" s="11">
        <v>144</v>
      </c>
      <c r="Y203" s="315">
        <v>138.15683915414894</v>
      </c>
      <c r="Z203" s="335"/>
    </row>
    <row r="204" spans="1:83" ht="12.95" customHeight="1" x14ac:dyDescent="0.2">
      <c r="C204" s="13" t="str">
        <f>VLOOKUP(126,Textbausteine_203[],Hilfsgrössen!$D$2,FALSE)</f>
        <v>Niederlande</v>
      </c>
      <c r="D204" s="1" t="str">
        <f>VLOOKUP(17,Textbausteine_203[],Hilfsgrössen!$D$2,FALSE)</f>
        <v>Index</v>
      </c>
      <c r="E204" s="9">
        <v>2</v>
      </c>
      <c r="H204" s="9" t="s">
        <v>30</v>
      </c>
      <c r="I204" s="9" t="s">
        <v>30</v>
      </c>
      <c r="J204" s="9" t="s">
        <v>30</v>
      </c>
      <c r="K204" s="9" t="s">
        <v>30</v>
      </c>
      <c r="L204" s="9" t="s">
        <v>30</v>
      </c>
      <c r="M204" s="9" t="s">
        <v>30</v>
      </c>
      <c r="N204" s="9" t="s">
        <v>30</v>
      </c>
      <c r="O204" s="9">
        <v>155</v>
      </c>
      <c r="P204" s="9">
        <v>149</v>
      </c>
      <c r="Q204" s="9">
        <v>143</v>
      </c>
      <c r="R204" s="9">
        <v>148</v>
      </c>
      <c r="S204" s="9">
        <v>146</v>
      </c>
      <c r="T204" s="11">
        <v>136</v>
      </c>
      <c r="U204" s="11">
        <v>134</v>
      </c>
      <c r="V204" s="11">
        <v>128</v>
      </c>
      <c r="W204" s="11">
        <v>128</v>
      </c>
      <c r="X204" s="11">
        <v>131</v>
      </c>
      <c r="Y204" s="315">
        <v>121.0912580357419</v>
      </c>
      <c r="Z204" s="335"/>
    </row>
    <row r="205" spans="1:83" ht="12.95" customHeight="1" x14ac:dyDescent="0.2">
      <c r="C205" s="187" t="str">
        <f>VLOOKUP(117,Textbausteine_203[],Hilfsgrössen!$D$2,FALSE)</f>
        <v>Schweiz</v>
      </c>
      <c r="D205" s="6" t="str">
        <f>VLOOKUP(17,Textbausteine_203[],Hilfsgrössen!$D$2,FALSE)</f>
        <v>Index</v>
      </c>
      <c r="E205" s="28">
        <v>2</v>
      </c>
      <c r="F205" s="28"/>
      <c r="G205" s="33"/>
      <c r="H205" s="28" t="s">
        <v>30</v>
      </c>
      <c r="I205" s="28" t="s">
        <v>30</v>
      </c>
      <c r="J205" s="28" t="s">
        <v>30</v>
      </c>
      <c r="K205" s="28" t="s">
        <v>30</v>
      </c>
      <c r="L205" s="28" t="s">
        <v>30</v>
      </c>
      <c r="M205" s="28" t="s">
        <v>30</v>
      </c>
      <c r="N205" s="28" t="s">
        <v>30</v>
      </c>
      <c r="O205" s="28">
        <v>100</v>
      </c>
      <c r="P205" s="28">
        <v>100</v>
      </c>
      <c r="Q205" s="28">
        <v>100</v>
      </c>
      <c r="R205" s="28">
        <v>100</v>
      </c>
      <c r="S205" s="28">
        <v>100</v>
      </c>
      <c r="T205" s="7">
        <v>100</v>
      </c>
      <c r="U205" s="7">
        <v>100</v>
      </c>
      <c r="V205" s="7">
        <v>100</v>
      </c>
      <c r="W205" s="7">
        <v>100</v>
      </c>
      <c r="X205" s="7">
        <v>100</v>
      </c>
      <c r="Y205" s="149">
        <v>100</v>
      </c>
      <c r="Z205" s="335"/>
    </row>
    <row r="206" spans="1:83" ht="12.95" customHeight="1" x14ac:dyDescent="0.2">
      <c r="C206" s="13" t="str">
        <f>VLOOKUP(123,Textbausteine_203[],Hilfsgrössen!$D$2,FALSE)</f>
        <v>Grossbritanien</v>
      </c>
      <c r="D206" s="1" t="str">
        <f>VLOOKUP(17,Textbausteine_203[],Hilfsgrössen!$D$2,FALSE)</f>
        <v>Index</v>
      </c>
      <c r="E206" s="9" t="s">
        <v>132</v>
      </c>
      <c r="H206" s="9" t="s">
        <v>30</v>
      </c>
      <c r="I206" s="9" t="s">
        <v>30</v>
      </c>
      <c r="J206" s="9" t="s">
        <v>30</v>
      </c>
      <c r="K206" s="9" t="s">
        <v>30</v>
      </c>
      <c r="L206" s="9" t="s">
        <v>30</v>
      </c>
      <c r="M206" s="9" t="s">
        <v>30</v>
      </c>
      <c r="N206" s="9" t="s">
        <v>30</v>
      </c>
      <c r="O206" s="9">
        <v>183</v>
      </c>
      <c r="P206" s="9">
        <v>198</v>
      </c>
      <c r="Q206" s="9">
        <v>154</v>
      </c>
      <c r="R206" s="9">
        <v>142</v>
      </c>
      <c r="S206" s="9">
        <v>134</v>
      </c>
      <c r="T206" s="11">
        <v>129</v>
      </c>
      <c r="U206" s="11">
        <v>127</v>
      </c>
      <c r="V206" s="11">
        <v>123</v>
      </c>
      <c r="W206" s="11">
        <v>123</v>
      </c>
      <c r="X206" s="11">
        <v>114</v>
      </c>
      <c r="Y206" s="315">
        <v>100</v>
      </c>
      <c r="Z206" s="335"/>
    </row>
    <row r="207" spans="1:83" ht="12.95" customHeight="1" x14ac:dyDescent="0.2">
      <c r="C207" s="13" t="str">
        <f>VLOOKUP(115,Textbausteine_203[],Hilfsgrössen!$D$2,FALSE)</f>
        <v>Österreich</v>
      </c>
      <c r="D207" s="1" t="str">
        <f>VLOOKUP(17,Textbausteine_203[],Hilfsgrössen!$D$2,FALSE)</f>
        <v>Index</v>
      </c>
      <c r="E207" s="9">
        <v>2</v>
      </c>
      <c r="H207" s="9" t="s">
        <v>30</v>
      </c>
      <c r="I207" s="9" t="s">
        <v>30</v>
      </c>
      <c r="J207" s="9" t="s">
        <v>30</v>
      </c>
      <c r="K207" s="9" t="s">
        <v>30</v>
      </c>
      <c r="L207" s="9" t="s">
        <v>30</v>
      </c>
      <c r="M207" s="9" t="s">
        <v>30</v>
      </c>
      <c r="N207" s="9" t="s">
        <v>30</v>
      </c>
      <c r="O207" s="15">
        <v>104</v>
      </c>
      <c r="P207" s="15">
        <v>102</v>
      </c>
      <c r="Q207" s="15">
        <v>104</v>
      </c>
      <c r="R207" s="15">
        <v>103</v>
      </c>
      <c r="S207" s="15">
        <v>105</v>
      </c>
      <c r="T207" s="12">
        <v>100</v>
      </c>
      <c r="U207" s="12">
        <v>89</v>
      </c>
      <c r="V207" s="12">
        <v>100</v>
      </c>
      <c r="W207" s="12">
        <v>99</v>
      </c>
      <c r="X207" s="12">
        <v>99</v>
      </c>
      <c r="Y207" s="370">
        <v>93</v>
      </c>
      <c r="Z207" s="335"/>
    </row>
    <row r="208" spans="1:83" ht="12.95" customHeight="1" x14ac:dyDescent="0.2">
      <c r="C208" s="13" t="str">
        <f>VLOOKUP(118,Textbausteine_203[],Hilfsgrössen!$D$2,FALSE)</f>
        <v>Deutschland</v>
      </c>
      <c r="D208" s="1" t="str">
        <f>VLOOKUP(17,Textbausteine_203[],Hilfsgrössen!$D$2,FALSE)</f>
        <v>Index</v>
      </c>
      <c r="E208" s="9">
        <v>2</v>
      </c>
      <c r="H208" s="9" t="s">
        <v>30</v>
      </c>
      <c r="I208" s="9" t="s">
        <v>30</v>
      </c>
      <c r="J208" s="9" t="s">
        <v>30</v>
      </c>
      <c r="K208" s="9" t="s">
        <v>30</v>
      </c>
      <c r="L208" s="9" t="s">
        <v>30</v>
      </c>
      <c r="M208" s="9" t="s">
        <v>30</v>
      </c>
      <c r="N208" s="9" t="s">
        <v>30</v>
      </c>
      <c r="O208" s="15">
        <v>112</v>
      </c>
      <c r="P208" s="15">
        <v>108</v>
      </c>
      <c r="Q208" s="15">
        <v>104</v>
      </c>
      <c r="R208" s="15">
        <v>105</v>
      </c>
      <c r="S208" s="15">
        <v>105</v>
      </c>
      <c r="T208" s="12">
        <v>100</v>
      </c>
      <c r="U208" s="12">
        <v>98</v>
      </c>
      <c r="V208" s="12">
        <v>94</v>
      </c>
      <c r="W208" s="12">
        <v>95</v>
      </c>
      <c r="X208" s="12">
        <v>94</v>
      </c>
      <c r="Y208" s="370">
        <v>84</v>
      </c>
      <c r="Z208" s="335"/>
    </row>
    <row r="209" spans="1:83" ht="12.95" customHeight="1" x14ac:dyDescent="0.2">
      <c r="C209" s="13" t="str">
        <f>VLOOKUP(124,Textbausteine_203[],Hilfsgrössen!$D$2,FALSE)</f>
        <v>Irland</v>
      </c>
      <c r="D209" s="1" t="str">
        <f>VLOOKUP(17,Textbausteine_203[],Hilfsgrössen!$D$2,FALSE)</f>
        <v>Index</v>
      </c>
      <c r="E209" s="9">
        <v>2</v>
      </c>
      <c r="H209" s="9" t="s">
        <v>30</v>
      </c>
      <c r="I209" s="9" t="s">
        <v>30</v>
      </c>
      <c r="J209" s="9" t="s">
        <v>30</v>
      </c>
      <c r="K209" s="9" t="s">
        <v>30</v>
      </c>
      <c r="L209" s="9" t="s">
        <v>30</v>
      </c>
      <c r="M209" s="9" t="s">
        <v>30</v>
      </c>
      <c r="N209" s="9" t="s">
        <v>30</v>
      </c>
      <c r="O209" s="9">
        <v>201</v>
      </c>
      <c r="P209" s="9">
        <v>203</v>
      </c>
      <c r="Q209" s="9">
        <v>199</v>
      </c>
      <c r="R209" s="9">
        <v>212</v>
      </c>
      <c r="S209" s="9">
        <v>206</v>
      </c>
      <c r="T209" s="11">
        <v>193</v>
      </c>
      <c r="U209" s="11">
        <v>212</v>
      </c>
      <c r="V209" s="11">
        <v>222</v>
      </c>
      <c r="W209" s="11">
        <v>215</v>
      </c>
      <c r="X209" s="11">
        <v>190</v>
      </c>
      <c r="Y209" s="370">
        <v>47</v>
      </c>
      <c r="Z209" s="335"/>
    </row>
    <row r="211" spans="1:83" s="192" customFormat="1" ht="12.95" customHeight="1" x14ac:dyDescent="0.25">
      <c r="A211" s="191"/>
      <c r="B211" s="192" t="str">
        <f>VLOOKUP(221,Textbausteine_203[],Hilfsgrössen!$D$2,FALSE)</f>
        <v>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2021). Schweiz = 100 (definitionsgemäss).</v>
      </c>
      <c r="E211" s="191"/>
      <c r="F211" s="191"/>
      <c r="G211" s="193"/>
      <c r="H211" s="191"/>
      <c r="I211" s="191"/>
      <c r="J211" s="191"/>
      <c r="K211" s="191"/>
      <c r="L211" s="191"/>
      <c r="M211" s="191"/>
      <c r="N211" s="191"/>
      <c r="O211" s="191"/>
      <c r="P211" s="191"/>
      <c r="Q211" s="191"/>
      <c r="R211" s="191"/>
      <c r="S211" s="191"/>
      <c r="T211" s="194"/>
      <c r="U211" s="194"/>
      <c r="V211" s="194"/>
      <c r="W211" s="194"/>
      <c r="X211" s="194"/>
      <c r="Y211" s="194"/>
      <c r="Z211" s="335"/>
      <c r="AA211" s="191"/>
      <c r="AB211" s="191"/>
      <c r="AC211" s="191"/>
      <c r="AD211" s="191"/>
      <c r="AE211" s="191"/>
      <c r="AF211" s="191"/>
      <c r="AG211" s="191"/>
      <c r="AH211" s="191"/>
      <c r="AI211" s="191"/>
      <c r="AJ211" s="191"/>
      <c r="AK211" s="191"/>
      <c r="AL211" s="191"/>
      <c r="AM211" s="191"/>
      <c r="AN211" s="191"/>
      <c r="AO211" s="191"/>
      <c r="AP211" s="191"/>
      <c r="AQ211" s="191"/>
      <c r="AR211" s="191"/>
      <c r="AS211" s="191"/>
      <c r="AT211" s="191"/>
      <c r="AU211" s="191"/>
      <c r="AV211" s="191"/>
      <c r="AW211" s="191"/>
      <c r="AX211" s="191"/>
      <c r="AY211" s="191"/>
      <c r="AZ211" s="191"/>
      <c r="BA211" s="191"/>
      <c r="BB211" s="191"/>
      <c r="BC211" s="191"/>
      <c r="BD211" s="191"/>
      <c r="BE211" s="191"/>
      <c r="BF211" s="191"/>
      <c r="BG211" s="191"/>
      <c r="BH211" s="191"/>
      <c r="BI211" s="191"/>
      <c r="BJ211" s="191"/>
      <c r="BK211" s="191"/>
      <c r="BL211" s="191"/>
      <c r="BM211" s="191"/>
      <c r="BN211" s="191"/>
      <c r="BO211" s="191"/>
      <c r="BP211" s="191"/>
      <c r="BQ211" s="191"/>
      <c r="BR211" s="191"/>
      <c r="BS211" s="191"/>
      <c r="BT211" s="191"/>
      <c r="BU211" s="191"/>
      <c r="BV211" s="191"/>
      <c r="BW211" s="191"/>
      <c r="BX211" s="191"/>
      <c r="BY211" s="191"/>
      <c r="BZ211" s="191"/>
      <c r="CA211" s="191"/>
      <c r="CB211" s="191"/>
      <c r="CC211" s="191"/>
      <c r="CD211" s="191"/>
      <c r="CE211" s="191"/>
    </row>
    <row r="212" spans="1:83" s="192" customFormat="1" ht="12.95" customHeight="1" x14ac:dyDescent="0.25">
      <c r="A212" s="191"/>
      <c r="B212" s="192" t="str">
        <f>VLOOKUP(222,Textbausteine_203[],Hilfsgrössen!$D$2,FALSE)</f>
        <v>2) Dem Paketpostindex liegen Pakete der Kategorien «PostPac Priority» und «PostPac Economy» der Gewichtsstufen 1 bis 20 kg zugrunde (ohne Zusatzleistungen). Die Pakete werden nach der Häufigkeit gewichtet, wie sie die Schweizer Konsumentinnen und Konsumenten verschicken. Für den Vergleich werden in den einzelnen Ländern die Preise des (ehemaligen) staatlichen Postunternehmens herangezogen (Stichtag: 1. November 2021). Schweiz = 100 (definitionsgemäss).</v>
      </c>
      <c r="E212" s="191"/>
      <c r="F212" s="191"/>
      <c r="G212" s="193"/>
      <c r="H212" s="191"/>
      <c r="I212" s="191"/>
      <c r="J212" s="191"/>
      <c r="K212" s="191"/>
      <c r="L212" s="191"/>
      <c r="M212" s="191"/>
      <c r="N212" s="191"/>
      <c r="O212" s="191"/>
      <c r="P212" s="191"/>
      <c r="Q212" s="191"/>
      <c r="R212" s="191"/>
      <c r="S212" s="191"/>
      <c r="T212" s="194"/>
      <c r="U212" s="194"/>
      <c r="V212" s="194"/>
      <c r="W212" s="194"/>
      <c r="X212" s="194"/>
      <c r="Y212" s="194"/>
      <c r="Z212" s="335"/>
      <c r="AA212" s="191"/>
      <c r="AB212" s="191"/>
      <c r="AC212" s="191"/>
      <c r="AD212" s="191"/>
      <c r="AE212" s="191"/>
      <c r="AF212" s="191"/>
      <c r="AG212" s="191"/>
      <c r="AH212" s="191"/>
      <c r="AI212" s="191"/>
      <c r="AJ212" s="191"/>
      <c r="AK212" s="191"/>
      <c r="AL212" s="191"/>
      <c r="AM212" s="191"/>
      <c r="AN212" s="191"/>
      <c r="AO212" s="191"/>
      <c r="AP212" s="191"/>
      <c r="AQ212" s="191"/>
      <c r="AR212" s="191"/>
      <c r="AS212" s="191"/>
      <c r="AT212" s="191"/>
      <c r="AU212" s="191"/>
      <c r="AV212" s="191"/>
      <c r="AW212" s="191"/>
      <c r="AX212" s="191"/>
      <c r="AY212" s="191"/>
      <c r="AZ212" s="191"/>
      <c r="BA212" s="191"/>
      <c r="BB212" s="191"/>
      <c r="BC212" s="191"/>
      <c r="BD212" s="191"/>
      <c r="BE212" s="191"/>
      <c r="BF212" s="191"/>
      <c r="BG212" s="191"/>
      <c r="BH212" s="191"/>
      <c r="BI212" s="191"/>
      <c r="BJ212" s="191"/>
      <c r="BK212" s="191"/>
      <c r="BL212" s="191"/>
      <c r="BM212" s="191"/>
      <c r="BN212" s="191"/>
      <c r="BO212" s="191"/>
      <c r="BP212" s="191"/>
      <c r="BQ212" s="191"/>
      <c r="BR212" s="191"/>
      <c r="BS212" s="191"/>
      <c r="BT212" s="191"/>
      <c r="BU212" s="191"/>
      <c r="BV212" s="191"/>
      <c r="BW212" s="191"/>
      <c r="BX212" s="191"/>
      <c r="BY212" s="191"/>
      <c r="BZ212" s="191"/>
      <c r="CA212" s="191"/>
      <c r="CB212" s="191"/>
      <c r="CC212" s="191"/>
      <c r="CD212" s="191"/>
      <c r="CE212" s="191"/>
    </row>
    <row r="213" spans="1:83" s="192" customFormat="1" ht="12.95" customHeight="1" x14ac:dyDescent="0.25">
      <c r="A213" s="191"/>
      <c r="B213" s="192" t="str">
        <f>VLOOKUP(223,Textbausteine_203[],Hilfsgrössen!$D$2,FALSE)</f>
        <v>3) Vorjahreswerte teilweise angepasst.</v>
      </c>
      <c r="E213" s="191"/>
      <c r="F213" s="191"/>
      <c r="G213" s="193"/>
      <c r="H213" s="191"/>
      <c r="I213" s="191"/>
      <c r="J213" s="191"/>
      <c r="K213" s="191"/>
      <c r="L213" s="191"/>
      <c r="M213" s="191"/>
      <c r="N213" s="191"/>
      <c r="O213" s="191"/>
      <c r="P213" s="191"/>
      <c r="Q213" s="191"/>
      <c r="R213" s="191"/>
      <c r="S213" s="191"/>
      <c r="T213" s="194"/>
      <c r="U213" s="194"/>
      <c r="V213" s="194"/>
      <c r="W213" s="194"/>
      <c r="X213" s="194"/>
      <c r="Y213" s="194"/>
      <c r="Z213" s="335"/>
      <c r="AA213" s="191"/>
      <c r="AB213" s="191"/>
      <c r="AC213" s="191"/>
      <c r="AD213" s="191"/>
      <c r="AE213" s="191"/>
      <c r="AF213" s="191"/>
      <c r="AG213" s="191"/>
      <c r="AH213" s="191"/>
      <c r="AI213" s="191"/>
      <c r="AJ213" s="191"/>
      <c r="AK213" s="191"/>
      <c r="AL213" s="191"/>
      <c r="AM213" s="191"/>
      <c r="AN213" s="191"/>
      <c r="AO213" s="191"/>
      <c r="AP213" s="191"/>
      <c r="AQ213" s="191"/>
      <c r="AR213" s="191"/>
      <c r="AS213" s="191"/>
      <c r="AT213" s="191"/>
      <c r="AU213" s="191"/>
      <c r="AV213" s="191"/>
      <c r="AW213" s="191"/>
      <c r="AX213" s="191"/>
      <c r="AY213" s="191"/>
      <c r="AZ213" s="191"/>
      <c r="BA213" s="191"/>
      <c r="BB213" s="191"/>
      <c r="BC213" s="191"/>
      <c r="BD213" s="191"/>
      <c r="BE213" s="191"/>
      <c r="BF213" s="191"/>
      <c r="BG213" s="191"/>
      <c r="BH213" s="191"/>
      <c r="BI213" s="191"/>
      <c r="BJ213" s="191"/>
      <c r="BK213" s="191"/>
      <c r="BL213" s="191"/>
      <c r="BM213" s="191"/>
      <c r="BN213" s="191"/>
      <c r="BO213" s="191"/>
      <c r="BP213" s="191"/>
      <c r="BQ213" s="191"/>
      <c r="BR213" s="191"/>
      <c r="BS213" s="191"/>
      <c r="BT213" s="191"/>
      <c r="BU213" s="191"/>
      <c r="BV213" s="191"/>
      <c r="BW213" s="191"/>
      <c r="BX213" s="191"/>
      <c r="BY213" s="191"/>
      <c r="BZ213" s="191"/>
      <c r="CA213" s="191"/>
      <c r="CB213" s="191"/>
      <c r="CC213" s="191"/>
      <c r="CD213" s="191"/>
      <c r="CE213" s="191"/>
    </row>
    <row r="216" spans="1:83" s="6" customFormat="1" ht="12.95" customHeight="1" x14ac:dyDescent="0.25">
      <c r="A216" s="39" t="s">
        <v>27</v>
      </c>
      <c r="B216" s="401" t="str">
        <f>$C$11</f>
        <v>Laufzeiten postalischer Dienstleistungen</v>
      </c>
      <c r="C216" s="401"/>
      <c r="D216" s="6" t="str">
        <f>VLOOKUP(32,Textbausteine_Menu[],Hilfsgrössen!$D$2,FALSE)</f>
        <v>Einheit</v>
      </c>
      <c r="E216" s="28" t="str">
        <f>VLOOKUP(33,Textbausteine_Menu[],Hilfsgrössen!$D$2,FALSE)</f>
        <v>Fussnoten</v>
      </c>
      <c r="F216" s="28" t="str">
        <f>VLOOKUP(34,Textbausteine_Menu[],Hilfsgrössen!$D$2,FALSE)</f>
        <v>GRI</v>
      </c>
      <c r="G216" s="36"/>
      <c r="H216" s="7">
        <v>2004</v>
      </c>
      <c r="I216" s="7">
        <v>2005</v>
      </c>
      <c r="J216" s="7">
        <v>2006</v>
      </c>
      <c r="K216" s="7">
        <v>2007</v>
      </c>
      <c r="L216" s="7">
        <v>2008</v>
      </c>
      <c r="M216" s="7">
        <v>2009</v>
      </c>
      <c r="N216" s="7">
        <v>2010</v>
      </c>
      <c r="O216" s="7">
        <v>2011</v>
      </c>
      <c r="P216" s="7">
        <v>2012</v>
      </c>
      <c r="Q216" s="7">
        <v>2013</v>
      </c>
      <c r="R216" s="7">
        <v>2014</v>
      </c>
      <c r="S216" s="7">
        <v>2015</v>
      </c>
      <c r="T216" s="7">
        <v>2016</v>
      </c>
      <c r="U216" s="7">
        <v>2017</v>
      </c>
      <c r="V216" s="7">
        <v>2018</v>
      </c>
      <c r="W216" s="7">
        <v>2019</v>
      </c>
      <c r="X216" s="7">
        <v>2020</v>
      </c>
      <c r="Y216" s="149">
        <v>2021</v>
      </c>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row>
    <row r="217" spans="1:83" s="6" customFormat="1" ht="12.95" customHeight="1" x14ac:dyDescent="0.2">
      <c r="A217" s="38"/>
      <c r="B217" s="401"/>
      <c r="C217" s="401"/>
      <c r="E217" s="9"/>
      <c r="F217" s="9"/>
      <c r="G217" s="34"/>
      <c r="H217" s="7"/>
      <c r="I217" s="7"/>
      <c r="J217" s="7"/>
      <c r="K217" s="7"/>
      <c r="L217" s="68"/>
      <c r="M217" s="68"/>
      <c r="N217" s="9"/>
      <c r="O217" s="9"/>
      <c r="P217" s="9"/>
      <c r="Q217" s="9"/>
      <c r="R217" s="9"/>
      <c r="S217" s="9"/>
      <c r="T217" s="11"/>
      <c r="U217" s="11"/>
      <c r="V217" s="11"/>
      <c r="W217" s="11"/>
      <c r="X217" s="11"/>
      <c r="Y217" s="315"/>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9"/>
      <c r="BT217" s="9"/>
      <c r="BU217" s="9"/>
      <c r="BV217" s="9"/>
      <c r="BW217" s="9"/>
      <c r="BX217" s="9"/>
      <c r="BY217" s="9"/>
      <c r="BZ217" s="9"/>
      <c r="CA217" s="9"/>
      <c r="CB217" s="9"/>
      <c r="CC217" s="9"/>
      <c r="CD217" s="9"/>
      <c r="CE217" s="9"/>
    </row>
    <row r="218" spans="1:83" ht="12.95" customHeight="1" x14ac:dyDescent="0.2">
      <c r="A218" s="47"/>
      <c r="B218" s="2"/>
      <c r="E218" s="28"/>
      <c r="F218" s="28"/>
      <c r="H218" s="7"/>
      <c r="I218" s="7"/>
      <c r="J218" s="7"/>
      <c r="K218" s="7"/>
      <c r="L218" s="68"/>
      <c r="M218" s="68"/>
      <c r="Y218" s="315"/>
    </row>
    <row r="219" spans="1:83" ht="12.95" customHeight="1" x14ac:dyDescent="0.2">
      <c r="A219" s="47"/>
      <c r="B219" s="2" t="str">
        <f>VLOOKUP(37,Textbausteine_Menu[],Hilfsgrössen!$D$2,FALSE)</f>
        <v>Konzern Schweiz</v>
      </c>
      <c r="E219" s="28"/>
      <c r="F219" s="28"/>
      <c r="H219" s="7"/>
      <c r="I219" s="7"/>
      <c r="J219" s="7"/>
      <c r="K219" s="7"/>
      <c r="L219" s="68"/>
      <c r="M219" s="68"/>
      <c r="Y219" s="315"/>
    </row>
    <row r="220" spans="1:83" s="6" customFormat="1" ht="12.95" customHeight="1" x14ac:dyDescent="0.2">
      <c r="A220" s="65"/>
      <c r="C220" s="6" t="str">
        <f>VLOOKUP(141,Textbausteine_203[],Hilfsgrössen!$D$2,FALSE)</f>
        <v>Rechtzeitig beim Empfänger ankommende Briefe Inland</v>
      </c>
      <c r="E220" s="28"/>
      <c r="F220" s="28"/>
      <c r="G220" s="33"/>
      <c r="H220" s="28"/>
      <c r="I220" s="28"/>
      <c r="J220" s="28"/>
      <c r="K220" s="28"/>
      <c r="L220" s="28"/>
      <c r="M220" s="28"/>
      <c r="N220" s="28"/>
      <c r="O220" s="28"/>
      <c r="P220" s="28"/>
      <c r="Q220" s="28"/>
      <c r="R220" s="28"/>
      <c r="S220" s="28"/>
      <c r="T220" s="7"/>
      <c r="U220" s="7"/>
      <c r="V220" s="7"/>
      <c r="W220" s="7"/>
      <c r="X220" s="7"/>
      <c r="Y220" s="149"/>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c r="CC220" s="28"/>
      <c r="CD220" s="28"/>
      <c r="CE220" s="28"/>
    </row>
    <row r="221" spans="1:83" ht="12.95" customHeight="1" x14ac:dyDescent="0.2">
      <c r="C221" s="13" t="str">
        <f>VLOOKUP(142,Textbausteine_203[],Hilfsgrössen!$D$2,FALSE)</f>
        <v>A-Post</v>
      </c>
      <c r="D221" s="1" t="str">
        <f>VLOOKUP(12,Textbausteine_203[],Hilfsgrössen!$D$2,FALSE)</f>
        <v>%</v>
      </c>
      <c r="E221" s="9">
        <v>1</v>
      </c>
      <c r="H221" s="9">
        <v>97.4</v>
      </c>
      <c r="I221" s="9">
        <v>97.7</v>
      </c>
      <c r="J221" s="9">
        <v>98</v>
      </c>
      <c r="K221" s="9">
        <v>97.1</v>
      </c>
      <c r="L221" s="9">
        <v>95.9</v>
      </c>
      <c r="M221" s="9">
        <v>97.7</v>
      </c>
      <c r="N221" s="9">
        <v>97.2</v>
      </c>
      <c r="O221" s="9">
        <v>97.5</v>
      </c>
      <c r="P221" s="9">
        <v>97.9</v>
      </c>
      <c r="Q221" s="9">
        <v>97.6</v>
      </c>
      <c r="R221" s="9">
        <v>97.7</v>
      </c>
      <c r="S221" s="9">
        <v>97.8</v>
      </c>
      <c r="T221" s="11">
        <v>98</v>
      </c>
      <c r="U221" s="11">
        <v>97.6</v>
      </c>
      <c r="V221" s="11">
        <v>97.4</v>
      </c>
      <c r="W221" s="11">
        <v>98</v>
      </c>
      <c r="X221" s="11">
        <v>98</v>
      </c>
      <c r="Y221" s="315">
        <v>97</v>
      </c>
      <c r="Z221" s="335"/>
    </row>
    <row r="222" spans="1:83" ht="12.95" customHeight="1" x14ac:dyDescent="0.2">
      <c r="C222" s="13" t="str">
        <f>VLOOKUP(143,Textbausteine_203[],Hilfsgrössen!$D$2,FALSE)</f>
        <v>B-Post</v>
      </c>
      <c r="D222" s="1" t="str">
        <f>VLOOKUP(12,Textbausteine_203[],Hilfsgrössen!$D$2,FALSE)</f>
        <v>%</v>
      </c>
      <c r="E222" s="9">
        <v>1</v>
      </c>
      <c r="H222" s="9">
        <v>97.4</v>
      </c>
      <c r="I222" s="9">
        <v>98.2</v>
      </c>
      <c r="J222" s="9">
        <v>98.3</v>
      </c>
      <c r="K222" s="9">
        <v>96.7</v>
      </c>
      <c r="L222" s="9">
        <v>95.9</v>
      </c>
      <c r="M222" s="9">
        <v>98.4</v>
      </c>
      <c r="N222" s="9">
        <v>98.5</v>
      </c>
      <c r="O222" s="9">
        <v>99.3</v>
      </c>
      <c r="P222" s="9">
        <v>98.8</v>
      </c>
      <c r="Q222" s="9">
        <v>98.8</v>
      </c>
      <c r="R222" s="9">
        <v>99</v>
      </c>
      <c r="S222" s="9">
        <v>98.9</v>
      </c>
      <c r="T222" s="11">
        <v>98.9</v>
      </c>
      <c r="U222" s="11">
        <v>99</v>
      </c>
      <c r="V222" s="11">
        <v>98.9</v>
      </c>
      <c r="W222" s="11">
        <v>99.3</v>
      </c>
      <c r="X222" s="11">
        <v>99.2</v>
      </c>
      <c r="Y222" s="315">
        <v>99.3</v>
      </c>
      <c r="Z222" s="335"/>
    </row>
    <row r="223" spans="1:83" ht="12.95" customHeight="1" x14ac:dyDescent="0.2">
      <c r="Y223" s="315"/>
    </row>
    <row r="224" spans="1:83" s="6" customFormat="1" ht="12.95" customHeight="1" x14ac:dyDescent="0.2">
      <c r="A224" s="65"/>
      <c r="C224" s="6" t="str">
        <f>VLOOKUP(144,Textbausteine_203[],Hilfsgrössen!$D$2,FALSE)</f>
        <v>Rechtzeitig beim Empfänger ankommende Pakete Inland</v>
      </c>
      <c r="E224" s="28"/>
      <c r="F224" s="28"/>
      <c r="G224" s="33"/>
      <c r="H224" s="28"/>
      <c r="I224" s="28"/>
      <c r="J224" s="28"/>
      <c r="K224" s="28"/>
      <c r="L224" s="28"/>
      <c r="M224" s="28"/>
      <c r="N224" s="28"/>
      <c r="O224" s="28"/>
      <c r="P224" s="28"/>
      <c r="Q224" s="28"/>
      <c r="R224" s="28"/>
      <c r="S224" s="28"/>
      <c r="T224" s="7"/>
      <c r="U224" s="7"/>
      <c r="V224" s="7"/>
      <c r="W224" s="7"/>
      <c r="X224" s="7"/>
      <c r="Y224" s="315"/>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c r="CC224" s="28"/>
      <c r="CD224" s="28"/>
      <c r="CE224" s="28"/>
    </row>
    <row r="225" spans="1:83" ht="12.95" customHeight="1" x14ac:dyDescent="0.2">
      <c r="C225" s="13" t="str">
        <f>VLOOKUP(145,Textbausteine_203[],Hilfsgrössen!$D$2,FALSE)</f>
        <v>PostPac Priority</v>
      </c>
      <c r="D225" s="1" t="str">
        <f>VLOOKUP(12,Textbausteine_203[],Hilfsgrössen!$D$2,FALSE)</f>
        <v>%</v>
      </c>
      <c r="E225" s="9">
        <v>1</v>
      </c>
      <c r="H225" s="9">
        <v>95.8</v>
      </c>
      <c r="I225" s="9">
        <v>97.4</v>
      </c>
      <c r="J225" s="9">
        <v>97.3</v>
      </c>
      <c r="K225" s="9">
        <v>97.6</v>
      </c>
      <c r="L225" s="9">
        <v>98</v>
      </c>
      <c r="M225" s="9">
        <v>97.8</v>
      </c>
      <c r="N225" s="9">
        <v>97.7</v>
      </c>
      <c r="O225" s="9">
        <v>97.4</v>
      </c>
      <c r="P225" s="9">
        <v>97.7</v>
      </c>
      <c r="Q225" s="9">
        <v>97.3</v>
      </c>
      <c r="R225" s="9">
        <v>97.4</v>
      </c>
      <c r="S225" s="9">
        <v>97.5</v>
      </c>
      <c r="T225" s="11">
        <v>98.1</v>
      </c>
      <c r="U225" s="11">
        <v>96</v>
      </c>
      <c r="V225" s="11">
        <v>97.2</v>
      </c>
      <c r="W225" s="11">
        <v>95.3</v>
      </c>
      <c r="X225" s="11">
        <v>95.4</v>
      </c>
      <c r="Y225" s="315">
        <v>95</v>
      </c>
      <c r="Z225" s="335"/>
    </row>
    <row r="226" spans="1:83" ht="12.95" customHeight="1" x14ac:dyDescent="0.2">
      <c r="C226" s="13" t="str">
        <f>VLOOKUP(146,Textbausteine_203[],Hilfsgrössen!$D$2,FALSE)</f>
        <v>PostPac Economy</v>
      </c>
      <c r="D226" s="1" t="str">
        <f>VLOOKUP(12,Textbausteine_203[],Hilfsgrössen!$D$2,FALSE)</f>
        <v>%</v>
      </c>
      <c r="E226" s="9">
        <v>1</v>
      </c>
      <c r="H226" s="9">
        <v>97.7</v>
      </c>
      <c r="I226" s="9">
        <v>97.7</v>
      </c>
      <c r="J226" s="9">
        <v>97.6</v>
      </c>
      <c r="K226" s="9">
        <v>97.5</v>
      </c>
      <c r="L226" s="9">
        <v>98.7</v>
      </c>
      <c r="M226" s="9">
        <v>98.1</v>
      </c>
      <c r="N226" s="9">
        <v>97.5</v>
      </c>
      <c r="O226" s="9">
        <v>97.7</v>
      </c>
      <c r="P226" s="9">
        <v>97.9</v>
      </c>
      <c r="Q226" s="9">
        <v>97.7</v>
      </c>
      <c r="R226" s="9">
        <v>97.5</v>
      </c>
      <c r="S226" s="9">
        <v>97.5</v>
      </c>
      <c r="T226" s="11">
        <v>97.2</v>
      </c>
      <c r="U226" s="11">
        <v>97.5</v>
      </c>
      <c r="V226" s="11">
        <v>97.7</v>
      </c>
      <c r="W226" s="11">
        <v>95.9</v>
      </c>
      <c r="X226" s="11">
        <v>95.5</v>
      </c>
      <c r="Y226" s="315">
        <v>95.9</v>
      </c>
      <c r="Z226" s="335"/>
    </row>
    <row r="228" spans="1:83" s="192" customFormat="1" ht="12.95" customHeight="1" x14ac:dyDescent="0.25">
      <c r="A228" s="191"/>
      <c r="B228" s="192" t="str">
        <f>VLOOKUP(231,Textbausteine_203[],Hilfsgrössen!$D$2,FALSE)</f>
        <v>1) Rechtzeitig beim Empfänger bedeutet bei der A-Post (Priority) am Folgetag und bei der B-Post (Economy) spätestens am dritten Arbeitstag nach Aufgabe.</v>
      </c>
      <c r="E228" s="191"/>
      <c r="F228" s="191"/>
      <c r="G228" s="193"/>
      <c r="H228" s="191"/>
      <c r="I228" s="191"/>
      <c r="J228" s="191"/>
      <c r="K228" s="191"/>
      <c r="L228" s="191"/>
      <c r="M228" s="191"/>
      <c r="N228" s="191"/>
      <c r="O228" s="191"/>
      <c r="P228" s="191"/>
      <c r="Q228" s="191"/>
      <c r="R228" s="191"/>
      <c r="S228" s="191"/>
      <c r="T228" s="194"/>
      <c r="U228" s="194"/>
      <c r="V228" s="194"/>
      <c r="W228" s="194"/>
      <c r="X228" s="194"/>
      <c r="Y228" s="194"/>
      <c r="Z228" s="335"/>
      <c r="AA228" s="191"/>
      <c r="AB228" s="191"/>
      <c r="AC228" s="191"/>
      <c r="AD228" s="191"/>
      <c r="AE228" s="191"/>
      <c r="AF228" s="191"/>
      <c r="AG228" s="191"/>
      <c r="AH228" s="191"/>
      <c r="AI228" s="191"/>
      <c r="AJ228" s="191"/>
      <c r="AK228" s="191"/>
      <c r="AL228" s="191"/>
      <c r="AM228" s="191"/>
      <c r="AN228" s="191"/>
      <c r="AO228" s="191"/>
      <c r="AP228" s="191"/>
      <c r="AQ228" s="191"/>
      <c r="AR228" s="191"/>
      <c r="AS228" s="191"/>
      <c r="AT228" s="191"/>
      <c r="AU228" s="191"/>
      <c r="AV228" s="191"/>
      <c r="AW228" s="191"/>
      <c r="AX228" s="191"/>
      <c r="AY228" s="191"/>
      <c r="AZ228" s="191"/>
      <c r="BA228" s="191"/>
      <c r="BB228" s="191"/>
      <c r="BC228" s="191"/>
      <c r="BD228" s="191"/>
      <c r="BE228" s="191"/>
      <c r="BF228" s="191"/>
      <c r="BG228" s="191"/>
      <c r="BH228" s="191"/>
      <c r="BI228" s="191"/>
      <c r="BJ228" s="191"/>
      <c r="BK228" s="191"/>
      <c r="BL228" s="191"/>
      <c r="BM228" s="191"/>
      <c r="BN228" s="191"/>
      <c r="BO228" s="191"/>
      <c r="BP228" s="191"/>
      <c r="BQ228" s="191"/>
      <c r="BR228" s="191"/>
      <c r="BS228" s="191"/>
      <c r="BT228" s="191"/>
      <c r="BU228" s="191"/>
      <c r="BV228" s="191"/>
      <c r="BW228" s="191"/>
      <c r="BX228" s="191"/>
      <c r="BY228" s="191"/>
      <c r="BZ228" s="191"/>
      <c r="CA228" s="191"/>
      <c r="CB228" s="191"/>
      <c r="CC228" s="191"/>
      <c r="CD228" s="191"/>
      <c r="CE228" s="191"/>
    </row>
    <row r="231" spans="1:83" s="6" customFormat="1" ht="12.95" customHeight="1" x14ac:dyDescent="0.25">
      <c r="A231" s="39" t="s">
        <v>27</v>
      </c>
      <c r="B231" s="401" t="str">
        <f>$C$12</f>
        <v>Wartezeiten in Filialen</v>
      </c>
      <c r="C231" s="401"/>
      <c r="D231" s="6" t="str">
        <f>VLOOKUP(32,Textbausteine_Menu[],Hilfsgrössen!$D$2,FALSE)</f>
        <v>Einheit</v>
      </c>
      <c r="E231" s="28" t="str">
        <f>VLOOKUP(33,Textbausteine_Menu[],Hilfsgrössen!$D$2,FALSE)</f>
        <v>Fussnoten</v>
      </c>
      <c r="F231" s="28" t="str">
        <f>VLOOKUP(34,Textbausteine_Menu[],Hilfsgrössen!$D$2,FALSE)</f>
        <v>GRI</v>
      </c>
      <c r="G231" s="36"/>
      <c r="H231" s="7">
        <v>2004</v>
      </c>
      <c r="I231" s="7">
        <v>2005</v>
      </c>
      <c r="J231" s="7">
        <v>2006</v>
      </c>
      <c r="K231" s="7">
        <v>2007</v>
      </c>
      <c r="L231" s="7">
        <v>2008</v>
      </c>
      <c r="M231" s="7">
        <v>2009</v>
      </c>
      <c r="N231" s="7">
        <v>2010</v>
      </c>
      <c r="O231" s="7">
        <v>2011</v>
      </c>
      <c r="P231" s="7">
        <v>2012</v>
      </c>
      <c r="Q231" s="7">
        <v>2013</v>
      </c>
      <c r="R231" s="7">
        <v>2014</v>
      </c>
      <c r="S231" s="7">
        <v>2015</v>
      </c>
      <c r="T231" s="7">
        <v>2016</v>
      </c>
      <c r="U231" s="7">
        <v>2017</v>
      </c>
      <c r="V231" s="7">
        <v>2018</v>
      </c>
      <c r="W231" s="7">
        <v>2019</v>
      </c>
      <c r="X231" s="7">
        <v>2020</v>
      </c>
      <c r="Y231" s="149">
        <v>2021</v>
      </c>
      <c r="Z231" s="28"/>
      <c r="AA231" s="28"/>
      <c r="AB231" s="28"/>
      <c r="AC231" s="28"/>
      <c r="AD231" s="28"/>
      <c r="AE231" s="28"/>
      <c r="AF231" s="28"/>
      <c r="AG231" s="28"/>
      <c r="AH231" s="28"/>
      <c r="AI231" s="28"/>
      <c r="AJ231" s="28"/>
      <c r="AK231" s="28"/>
      <c r="AL231" s="28"/>
      <c r="AM231" s="28"/>
      <c r="AN231" s="28"/>
      <c r="AO231" s="28"/>
      <c r="AP231" s="28"/>
      <c r="AQ231" s="28"/>
      <c r="AR231" s="28"/>
      <c r="AS231" s="28"/>
      <c r="AT231" s="28"/>
      <c r="AU231" s="28"/>
      <c r="AV231" s="28"/>
      <c r="AW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c r="CC231" s="28"/>
      <c r="CD231" s="28"/>
      <c r="CE231" s="28"/>
    </row>
    <row r="232" spans="1:83" s="6" customFormat="1" ht="12.95" customHeight="1" x14ac:dyDescent="0.2">
      <c r="A232" s="38"/>
      <c r="B232" s="401"/>
      <c r="C232" s="401"/>
      <c r="E232" s="9"/>
      <c r="F232" s="9"/>
      <c r="G232" s="34"/>
      <c r="H232" s="7"/>
      <c r="I232" s="7"/>
      <c r="J232" s="7"/>
      <c r="K232" s="7"/>
      <c r="L232" s="68"/>
      <c r="M232" s="68"/>
      <c r="N232" s="9"/>
      <c r="O232" s="9"/>
      <c r="P232" s="9"/>
      <c r="Q232" s="9"/>
      <c r="R232" s="9"/>
      <c r="S232" s="9"/>
      <c r="T232" s="11"/>
      <c r="U232" s="11"/>
      <c r="V232" s="11"/>
      <c r="W232" s="11"/>
      <c r="X232" s="11"/>
      <c r="Y232" s="315"/>
      <c r="Z232" s="9"/>
      <c r="AA232" s="9"/>
      <c r="AB232" s="9"/>
      <c r="AC232" s="9"/>
      <c r="AD232" s="9"/>
      <c r="AE232" s="9"/>
      <c r="AF232" s="9"/>
      <c r="AG232" s="9"/>
      <c r="AH232" s="9"/>
      <c r="AI232" s="9"/>
      <c r="AJ232" s="9"/>
      <c r="AK232" s="9"/>
      <c r="AL232" s="9"/>
      <c r="AM232" s="9"/>
      <c r="AN232" s="9"/>
      <c r="AO232" s="9"/>
      <c r="AP232" s="9"/>
      <c r="AQ232" s="9"/>
      <c r="AR232" s="9"/>
      <c r="AS232" s="9"/>
      <c r="AT232" s="9"/>
      <c r="AU232" s="9"/>
      <c r="AV232" s="9"/>
      <c r="AW232" s="9"/>
      <c r="AX232" s="9"/>
      <c r="AY232" s="9"/>
      <c r="AZ232" s="9"/>
      <c r="BA232" s="9"/>
      <c r="BB232" s="9"/>
      <c r="BC232" s="9"/>
      <c r="BD232" s="9"/>
      <c r="BE232" s="9"/>
      <c r="BF232" s="9"/>
      <c r="BG232" s="9"/>
      <c r="BH232" s="9"/>
      <c r="BI232" s="9"/>
      <c r="BJ232" s="9"/>
      <c r="BK232" s="9"/>
      <c r="BL232" s="9"/>
      <c r="BM232" s="9"/>
      <c r="BN232" s="9"/>
      <c r="BO232" s="9"/>
      <c r="BP232" s="9"/>
      <c r="BQ232" s="9"/>
      <c r="BR232" s="9"/>
      <c r="BS232" s="9"/>
      <c r="BT232" s="9"/>
      <c r="BU232" s="9"/>
      <c r="BV232" s="9"/>
      <c r="BW232" s="9"/>
      <c r="BX232" s="9"/>
      <c r="BY232" s="9"/>
      <c r="BZ232" s="9"/>
      <c r="CA232" s="9"/>
      <c r="CB232" s="9"/>
      <c r="CC232" s="9"/>
      <c r="CD232" s="9"/>
      <c r="CE232" s="9"/>
    </row>
    <row r="233" spans="1:83" ht="12.95" customHeight="1" x14ac:dyDescent="0.2">
      <c r="A233" s="47"/>
      <c r="B233" s="2"/>
      <c r="E233" s="28"/>
      <c r="F233" s="28"/>
      <c r="H233" s="7"/>
      <c r="I233" s="7"/>
      <c r="J233" s="7"/>
      <c r="K233" s="7"/>
      <c r="L233" s="68"/>
      <c r="M233" s="68"/>
      <c r="Y233" s="315"/>
    </row>
    <row r="234" spans="1:83" ht="12.95" customHeight="1" x14ac:dyDescent="0.2">
      <c r="A234" s="47"/>
      <c r="B234" s="2" t="str">
        <f>VLOOKUP(37,Textbausteine_Menu[],Hilfsgrössen!$D$2,FALSE)</f>
        <v>Konzern Schweiz</v>
      </c>
      <c r="E234" s="28"/>
      <c r="F234" s="28"/>
      <c r="H234" s="7"/>
      <c r="I234" s="7"/>
      <c r="J234" s="7"/>
      <c r="K234" s="7"/>
      <c r="L234" s="68"/>
      <c r="M234" s="68"/>
      <c r="Y234" s="315"/>
    </row>
    <row r="235" spans="1:83" s="6" customFormat="1" ht="12.95" customHeight="1" x14ac:dyDescent="0.2">
      <c r="A235" s="65"/>
      <c r="C235" s="6" t="str">
        <f>VLOOKUP(151,Textbausteine_203[],Hilfsgrössen!$D$2,FALSE)</f>
        <v>Wartezeiten am Schalter bis zur Bedienung</v>
      </c>
      <c r="E235" s="28"/>
      <c r="F235" s="28"/>
      <c r="G235" s="33"/>
      <c r="H235" s="28"/>
      <c r="I235" s="28"/>
      <c r="J235" s="28"/>
      <c r="K235" s="28"/>
      <c r="L235" s="28"/>
      <c r="M235" s="28"/>
      <c r="N235" s="28"/>
      <c r="O235" s="28"/>
      <c r="P235" s="28"/>
      <c r="Q235" s="28"/>
      <c r="R235" s="28"/>
      <c r="S235" s="28"/>
      <c r="T235" s="7"/>
      <c r="U235" s="7"/>
      <c r="V235" s="7"/>
      <c r="W235" s="7"/>
      <c r="X235" s="7"/>
      <c r="Y235" s="149"/>
      <c r="Z235" s="28"/>
      <c r="AA235" s="28"/>
      <c r="AB235" s="28"/>
      <c r="AC235" s="28"/>
      <c r="AD235" s="28"/>
      <c r="AE235" s="28"/>
      <c r="AF235" s="28"/>
      <c r="AG235" s="28"/>
      <c r="AH235" s="28"/>
      <c r="AI235" s="28"/>
      <c r="AJ235" s="28"/>
      <c r="AK235" s="28"/>
      <c r="AL235" s="28"/>
      <c r="AM235" s="28"/>
      <c r="AN235" s="28"/>
      <c r="AO235" s="28"/>
      <c r="AP235" s="28"/>
      <c r="AQ235" s="28"/>
      <c r="AR235" s="28"/>
      <c r="AS235" s="28"/>
      <c r="AT235" s="28"/>
      <c r="AU235" s="28"/>
      <c r="AV235" s="28"/>
      <c r="AW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c r="CC235" s="28"/>
      <c r="CD235" s="28"/>
      <c r="CE235" s="28"/>
    </row>
    <row r="236" spans="1:83" ht="12.95" customHeight="1" x14ac:dyDescent="0.2">
      <c r="C236" s="13" t="str">
        <f>VLOOKUP(152,Textbausteine_203[],Hilfsgrössen!$D$2,FALSE)</f>
        <v>Anteil der Kundinnen und Kunden, die innerhalb 7 Minuten bedient werden</v>
      </c>
      <c r="D236" s="1" t="str">
        <f>VLOOKUP(12,Textbausteine_203[],Hilfsgrössen!$D$2,FALSE)</f>
        <v>%</v>
      </c>
      <c r="E236" s="9" t="s">
        <v>97</v>
      </c>
      <c r="H236" s="9" t="s">
        <v>30</v>
      </c>
      <c r="I236" s="9">
        <v>95.7</v>
      </c>
      <c r="J236" s="9">
        <v>95.7</v>
      </c>
      <c r="K236" s="9">
        <v>95</v>
      </c>
      <c r="L236" s="9">
        <v>94.3</v>
      </c>
      <c r="M236" s="9">
        <v>95.399999999999991</v>
      </c>
      <c r="N236" s="9">
        <v>95.8</v>
      </c>
      <c r="O236" s="9">
        <v>95.7</v>
      </c>
      <c r="P236" s="9">
        <v>95</v>
      </c>
      <c r="Q236" s="9">
        <v>94.6</v>
      </c>
      <c r="R236" s="9">
        <v>94.899999999999991</v>
      </c>
      <c r="S236" s="9">
        <v>94.899999999999991</v>
      </c>
      <c r="T236" s="11">
        <v>95.807900000000004</v>
      </c>
      <c r="U236" s="11">
        <v>94.94</v>
      </c>
      <c r="V236" s="11">
        <v>94.74</v>
      </c>
      <c r="W236" s="11">
        <v>94.3</v>
      </c>
      <c r="X236" s="11">
        <v>92.6</v>
      </c>
      <c r="Y236" s="315" t="s">
        <v>136</v>
      </c>
      <c r="Z236" s="335"/>
    </row>
    <row r="237" spans="1:83" ht="12.95" customHeight="1" x14ac:dyDescent="0.2">
      <c r="C237" s="13" t="str">
        <f>VLOOKUP(153,Textbausteine_203[],Hilfsgrössen!$D$2,FALSE)</f>
        <v>Anteil der Kundinnen und Kunden, die innerhalb 10 Minuten bedient werden</v>
      </c>
      <c r="D237" s="1" t="str">
        <f>VLOOKUP(12,Textbausteine_203[],Hilfsgrössen!$D$2,FALSE)</f>
        <v>%</v>
      </c>
      <c r="E237" s="9" t="s">
        <v>97</v>
      </c>
      <c r="H237" s="9" t="s">
        <v>30</v>
      </c>
      <c r="I237" s="9">
        <v>98.6</v>
      </c>
      <c r="J237" s="9">
        <v>98.8</v>
      </c>
      <c r="K237" s="9">
        <v>98.5</v>
      </c>
      <c r="L237" s="9">
        <v>98.2</v>
      </c>
      <c r="M237" s="9">
        <v>98.6</v>
      </c>
      <c r="N237" s="9">
        <v>98.7</v>
      </c>
      <c r="O237" s="9">
        <v>98.6</v>
      </c>
      <c r="P237" s="9">
        <v>98.3</v>
      </c>
      <c r="Q237" s="9">
        <v>98</v>
      </c>
      <c r="R237" s="9">
        <v>98.2</v>
      </c>
      <c r="S237" s="9">
        <v>98.2</v>
      </c>
      <c r="T237" s="11">
        <v>98.550000000000011</v>
      </c>
      <c r="U237" s="11">
        <v>98.13</v>
      </c>
      <c r="V237" s="11">
        <v>98.11</v>
      </c>
      <c r="W237" s="11">
        <v>98</v>
      </c>
      <c r="X237" s="11">
        <v>97</v>
      </c>
      <c r="Y237" s="315" t="s">
        <v>136</v>
      </c>
      <c r="Z237" s="335"/>
    </row>
    <row r="239" spans="1:83" s="192" customFormat="1" ht="12.95" customHeight="1" x14ac:dyDescent="0.25">
      <c r="A239" s="191"/>
      <c r="B239" s="192" t="str">
        <f>VLOOKUP(241,Textbausteine_203[],Hilfsgrössen!$D$2,FALSE)</f>
        <v>1) Die Wartezeiten werden vom Geschäftsbereich PostNetz in 290 Filialen mit Hilfe des Ticketsystems erhoben.</v>
      </c>
      <c r="E239" s="191"/>
      <c r="F239" s="191"/>
      <c r="G239" s="193"/>
      <c r="H239" s="191"/>
      <c r="I239" s="191"/>
      <c r="J239" s="191"/>
      <c r="K239" s="191"/>
      <c r="L239" s="191"/>
      <c r="M239" s="191"/>
      <c r="N239" s="191"/>
      <c r="O239" s="191"/>
      <c r="P239" s="191"/>
      <c r="Q239" s="191"/>
      <c r="R239" s="191"/>
      <c r="S239" s="191"/>
      <c r="T239" s="194"/>
      <c r="U239" s="194"/>
      <c r="V239" s="194"/>
      <c r="W239" s="194"/>
      <c r="X239" s="194"/>
      <c r="Y239" s="194"/>
      <c r="Z239" s="335"/>
      <c r="AA239" s="191"/>
      <c r="AB239" s="191"/>
      <c r="AC239" s="191"/>
      <c r="AD239" s="191"/>
      <c r="AE239" s="191"/>
      <c r="AF239" s="191"/>
      <c r="AG239" s="191"/>
      <c r="AH239" s="191"/>
      <c r="AI239" s="191"/>
      <c r="AJ239" s="191"/>
      <c r="AK239" s="191"/>
      <c r="AL239" s="191"/>
      <c r="AM239" s="191"/>
      <c r="AN239" s="191"/>
      <c r="AO239" s="191"/>
      <c r="AP239" s="191"/>
      <c r="AQ239" s="191"/>
      <c r="AR239" s="191"/>
      <c r="AS239" s="191"/>
      <c r="AT239" s="191"/>
      <c r="AU239" s="191"/>
      <c r="AV239" s="191"/>
      <c r="AW239" s="191"/>
      <c r="AX239" s="191"/>
      <c r="AY239" s="191"/>
      <c r="AZ239" s="191"/>
      <c r="BA239" s="191"/>
      <c r="BB239" s="191"/>
      <c r="BC239" s="191"/>
      <c r="BD239" s="191"/>
      <c r="BE239" s="191"/>
      <c r="BF239" s="191"/>
      <c r="BG239" s="191"/>
      <c r="BH239" s="191"/>
      <c r="BI239" s="191"/>
      <c r="BJ239" s="191"/>
      <c r="BK239" s="191"/>
      <c r="BL239" s="191"/>
      <c r="BM239" s="191"/>
      <c r="BN239" s="191"/>
      <c r="BO239" s="191"/>
      <c r="BP239" s="191"/>
      <c r="BQ239" s="191"/>
      <c r="BR239" s="191"/>
      <c r="BS239" s="191"/>
      <c r="BT239" s="191"/>
      <c r="BU239" s="191"/>
      <c r="BV239" s="191"/>
      <c r="BW239" s="191"/>
      <c r="BX239" s="191"/>
      <c r="BY239" s="191"/>
      <c r="BZ239" s="191"/>
      <c r="CA239" s="191"/>
      <c r="CB239" s="191"/>
      <c r="CC239" s="191"/>
      <c r="CD239" s="191"/>
      <c r="CE239" s="191"/>
    </row>
    <row r="240" spans="1:83" s="192" customFormat="1" ht="12.95" customHeight="1" x14ac:dyDescent="0.25">
      <c r="A240" s="191"/>
      <c r="B240" s="18" t="str">
        <f>VLOOKUP(242,Textbausteine_203[],Hilfsgrössen!$D$2,FALSE)</f>
        <v xml:space="preserve">2) Aufgrund der Corona Pandemie waren im 2021 die Ticketsysteme in den meisten Filialen während Monaten ausgeschaltet. Eine aussagekräftige Auswertung ist demzufolge nicht möglich. </v>
      </c>
      <c r="E240" s="191"/>
      <c r="F240" s="191"/>
      <c r="G240" s="193"/>
      <c r="H240" s="191"/>
      <c r="I240" s="191"/>
      <c r="J240" s="191"/>
      <c r="K240" s="191"/>
      <c r="L240" s="191"/>
      <c r="M240" s="191"/>
      <c r="N240" s="191"/>
      <c r="O240" s="191"/>
      <c r="P240" s="191"/>
      <c r="Q240" s="191"/>
      <c r="R240" s="191"/>
      <c r="S240" s="191"/>
      <c r="T240" s="194"/>
      <c r="U240" s="194"/>
      <c r="V240" s="194"/>
      <c r="W240" s="194"/>
      <c r="X240" s="194"/>
      <c r="Y240" s="194"/>
      <c r="Z240" s="335"/>
      <c r="AA240" s="191"/>
      <c r="AB240" s="191"/>
      <c r="AC240" s="191"/>
      <c r="AD240" s="191"/>
      <c r="AE240" s="191"/>
      <c r="AF240" s="191"/>
      <c r="AG240" s="191"/>
      <c r="AH240" s="191"/>
      <c r="AI240" s="191"/>
      <c r="AJ240" s="191"/>
      <c r="AK240" s="191"/>
      <c r="AL240" s="191"/>
      <c r="AM240" s="191"/>
      <c r="AN240" s="191"/>
      <c r="AO240" s="191"/>
      <c r="AP240" s="191"/>
      <c r="AQ240" s="191"/>
      <c r="AR240" s="191"/>
      <c r="AS240" s="191"/>
      <c r="AT240" s="191"/>
      <c r="AU240" s="191"/>
      <c r="AV240" s="191"/>
      <c r="AW240" s="191"/>
      <c r="AX240" s="191"/>
      <c r="AY240" s="191"/>
      <c r="AZ240" s="191"/>
      <c r="BA240" s="191"/>
      <c r="BB240" s="191"/>
      <c r="BC240" s="191"/>
      <c r="BD240" s="191"/>
      <c r="BE240" s="191"/>
      <c r="BF240" s="191"/>
      <c r="BG240" s="191"/>
      <c r="BH240" s="191"/>
      <c r="BI240" s="191"/>
      <c r="BJ240" s="191"/>
      <c r="BK240" s="191"/>
      <c r="BL240" s="191"/>
      <c r="BM240" s="191"/>
      <c r="BN240" s="191"/>
      <c r="BO240" s="191"/>
      <c r="BP240" s="191"/>
      <c r="BQ240" s="191"/>
      <c r="BR240" s="191"/>
      <c r="BS240" s="191"/>
      <c r="BT240" s="191"/>
      <c r="BU240" s="191"/>
      <c r="BV240" s="191"/>
      <c r="BW240" s="191"/>
      <c r="BX240" s="191"/>
      <c r="BY240" s="191"/>
      <c r="BZ240" s="191"/>
      <c r="CA240" s="191"/>
      <c r="CB240" s="191"/>
      <c r="CC240" s="191"/>
      <c r="CD240" s="191"/>
      <c r="CE240" s="191"/>
    </row>
    <row r="243" spans="1:83" s="6" customFormat="1" ht="14.25" x14ac:dyDescent="0.25">
      <c r="A243" s="39" t="s">
        <v>27</v>
      </c>
      <c r="B243" s="401" t="str">
        <f>$C$13</f>
        <v>Verarbeitungszeiten von Finanzdienstleistungen</v>
      </c>
      <c r="C243" s="401"/>
      <c r="D243" s="6" t="str">
        <f>VLOOKUP(32,Textbausteine_Menu[],Hilfsgrössen!$D$2,FALSE)</f>
        <v>Einheit</v>
      </c>
      <c r="E243" s="28" t="str">
        <f>VLOOKUP(33,Textbausteine_Menu[],Hilfsgrössen!$D$2,FALSE)</f>
        <v>Fussnoten</v>
      </c>
      <c r="F243" s="28" t="str">
        <f>VLOOKUP(34,Textbausteine_Menu[],Hilfsgrössen!$D$2,FALSE)</f>
        <v>GRI</v>
      </c>
      <c r="G243" s="36"/>
      <c r="H243" s="7">
        <v>2004</v>
      </c>
      <c r="I243" s="7">
        <v>2005</v>
      </c>
      <c r="J243" s="7">
        <v>2006</v>
      </c>
      <c r="K243" s="7">
        <v>2007</v>
      </c>
      <c r="L243" s="7">
        <v>2008</v>
      </c>
      <c r="M243" s="7">
        <v>2009</v>
      </c>
      <c r="N243" s="7">
        <v>2010</v>
      </c>
      <c r="O243" s="7">
        <v>2011</v>
      </c>
      <c r="P243" s="7">
        <v>2012</v>
      </c>
      <c r="Q243" s="7">
        <v>2013</v>
      </c>
      <c r="R243" s="7">
        <v>2014</v>
      </c>
      <c r="S243" s="7">
        <v>2015</v>
      </c>
      <c r="T243" s="7">
        <v>2016</v>
      </c>
      <c r="U243" s="7">
        <v>2017</v>
      </c>
      <c r="V243" s="7" t="s">
        <v>145</v>
      </c>
      <c r="W243" s="7">
        <v>2019</v>
      </c>
      <c r="X243" s="7">
        <v>2020</v>
      </c>
      <c r="Y243" s="149">
        <v>2021</v>
      </c>
      <c r="Z243" s="28"/>
      <c r="AA243" s="28"/>
      <c r="AB243" s="28"/>
      <c r="AC243" s="28"/>
      <c r="AD243" s="28"/>
      <c r="AE243" s="28"/>
      <c r="AF243" s="28"/>
      <c r="AG243" s="28"/>
      <c r="AH243" s="28"/>
      <c r="AI243" s="28"/>
      <c r="AJ243" s="28"/>
      <c r="AK243" s="28"/>
      <c r="AL243" s="28"/>
      <c r="AM243" s="28"/>
      <c r="AN243" s="28"/>
      <c r="AO243" s="28"/>
      <c r="AP243" s="28"/>
      <c r="AQ243" s="28"/>
      <c r="AR243" s="28"/>
      <c r="AS243" s="28"/>
      <c r="AT243" s="28"/>
      <c r="AU243" s="28"/>
      <c r="AV243" s="28"/>
      <c r="AW243" s="28"/>
      <c r="AX243" s="28"/>
      <c r="AY243" s="28"/>
      <c r="AZ243" s="28"/>
      <c r="BA243" s="28"/>
      <c r="BB243" s="28"/>
      <c r="BC243" s="28"/>
      <c r="BD243" s="28"/>
      <c r="BE243" s="28"/>
      <c r="BF243" s="28"/>
      <c r="BG243" s="28"/>
      <c r="BH243" s="28"/>
      <c r="BI243" s="28"/>
      <c r="BJ243" s="28"/>
      <c r="BK243" s="28"/>
      <c r="BL243" s="28"/>
      <c r="BM243" s="28"/>
      <c r="BN243" s="28"/>
      <c r="BO243" s="28"/>
      <c r="BP243" s="28"/>
      <c r="BQ243" s="28"/>
      <c r="BR243" s="28"/>
      <c r="BS243" s="28"/>
      <c r="BT243" s="28"/>
      <c r="BU243" s="28"/>
      <c r="BV243" s="28"/>
      <c r="BW243" s="28"/>
      <c r="BX243" s="28"/>
      <c r="BY243" s="28"/>
      <c r="BZ243" s="28"/>
      <c r="CA243" s="28"/>
      <c r="CB243" s="28"/>
      <c r="CC243" s="28"/>
      <c r="CD243" s="28"/>
      <c r="CE243" s="28"/>
    </row>
    <row r="244" spans="1:83" s="6" customFormat="1" ht="12.95" customHeight="1" x14ac:dyDescent="0.2">
      <c r="A244" s="38"/>
      <c r="B244" s="401"/>
      <c r="C244" s="401"/>
      <c r="E244" s="9"/>
      <c r="F244" s="9"/>
      <c r="G244" s="34"/>
      <c r="H244" s="7"/>
      <c r="I244" s="7"/>
      <c r="J244" s="7"/>
      <c r="K244" s="7"/>
      <c r="L244" s="68"/>
      <c r="M244" s="68"/>
      <c r="N244" s="9"/>
      <c r="O244" s="9"/>
      <c r="P244" s="9"/>
      <c r="Q244" s="9"/>
      <c r="R244" s="9"/>
      <c r="S244" s="9"/>
      <c r="T244" s="11"/>
      <c r="U244" s="11"/>
      <c r="V244" s="11"/>
      <c r="W244" s="11"/>
      <c r="X244" s="11"/>
      <c r="Y244" s="315"/>
      <c r="Z244" s="9"/>
      <c r="AA244" s="9"/>
      <c r="AB244" s="9"/>
      <c r="AC244" s="9"/>
      <c r="AD244" s="9"/>
      <c r="AE244" s="9"/>
      <c r="AF244" s="9"/>
      <c r="AG244" s="9"/>
      <c r="AH244" s="9"/>
      <c r="AI244" s="9"/>
      <c r="AJ244" s="9"/>
      <c r="AK244" s="9"/>
      <c r="AL244" s="9"/>
      <c r="AM244" s="9"/>
      <c r="AN244" s="9"/>
      <c r="AO244" s="9"/>
      <c r="AP244" s="9"/>
      <c r="AQ244" s="9"/>
      <c r="AR244" s="9"/>
      <c r="AS244" s="9"/>
      <c r="AT244" s="9"/>
      <c r="AU244" s="9"/>
      <c r="AV244" s="9"/>
      <c r="AW244" s="9"/>
      <c r="AX244" s="9"/>
      <c r="AY244" s="9"/>
      <c r="AZ244" s="9"/>
      <c r="BA244" s="9"/>
      <c r="BB244" s="9"/>
      <c r="BC244" s="9"/>
      <c r="BD244" s="9"/>
      <c r="BE244" s="9"/>
      <c r="BF244" s="9"/>
      <c r="BG244" s="9"/>
      <c r="BH244" s="9"/>
      <c r="BI244" s="9"/>
      <c r="BJ244" s="9"/>
      <c r="BK244" s="9"/>
      <c r="BL244" s="9"/>
      <c r="BM244" s="9"/>
      <c r="BN244" s="9"/>
      <c r="BO244" s="9"/>
      <c r="BP244" s="9"/>
      <c r="BQ244" s="9"/>
      <c r="BR244" s="9"/>
      <c r="BS244" s="9"/>
      <c r="BT244" s="9"/>
      <c r="BU244" s="9"/>
      <c r="BV244" s="9"/>
      <c r="BW244" s="9"/>
      <c r="BX244" s="9"/>
      <c r="BY244" s="9"/>
      <c r="BZ244" s="9"/>
      <c r="CA244" s="9"/>
      <c r="CB244" s="9"/>
      <c r="CC244" s="9"/>
      <c r="CD244" s="9"/>
      <c r="CE244" s="9"/>
    </row>
    <row r="245" spans="1:83" ht="12.95" customHeight="1" x14ac:dyDescent="0.2">
      <c r="A245" s="47"/>
      <c r="B245" s="2"/>
      <c r="E245" s="28"/>
      <c r="F245" s="28"/>
      <c r="H245" s="7"/>
      <c r="I245" s="7"/>
      <c r="J245" s="7"/>
      <c r="K245" s="7"/>
      <c r="L245" s="68"/>
      <c r="M245" s="68"/>
      <c r="Y245" s="315"/>
    </row>
    <row r="246" spans="1:83" ht="12.95" customHeight="1" x14ac:dyDescent="0.2">
      <c r="A246" s="47"/>
      <c r="B246" s="2" t="str">
        <f>VLOOKUP(37,Textbausteine_Menu[],Hilfsgrössen!$D$2,FALSE)</f>
        <v>Konzern Schweiz</v>
      </c>
      <c r="E246" s="28"/>
      <c r="F246" s="28"/>
      <c r="H246" s="7"/>
      <c r="I246" s="7"/>
      <c r="J246" s="7"/>
      <c r="K246" s="7"/>
      <c r="L246" s="68"/>
      <c r="M246" s="68"/>
      <c r="Y246" s="315"/>
    </row>
    <row r="247" spans="1:83" ht="12.95" customHeight="1" x14ac:dyDescent="0.2">
      <c r="C247" s="1" t="str">
        <f>VLOOKUP(161,Textbausteine_203[],Hilfsgrössen!$D$2,FALSE)</f>
        <v>Taggerechte Verarbeitung von Zahlungsbelegen von Filialen</v>
      </c>
      <c r="D247" s="1" t="str">
        <f>VLOOKUP(12,Textbausteine_203[],Hilfsgrössen!$D$2,FALSE)</f>
        <v>%</v>
      </c>
      <c r="E247" s="9">
        <v>1</v>
      </c>
      <c r="H247" s="9" t="s">
        <v>30</v>
      </c>
      <c r="I247" s="9">
        <v>99.7</v>
      </c>
      <c r="J247" s="9">
        <v>99.9</v>
      </c>
      <c r="K247" s="9">
        <v>99.99</v>
      </c>
      <c r="L247" s="9">
        <v>99.99</v>
      </c>
      <c r="M247" s="9">
        <v>99.66</v>
      </c>
      <c r="N247" s="9">
        <v>99.99</v>
      </c>
      <c r="O247" s="9">
        <v>99.3</v>
      </c>
      <c r="P247" s="9">
        <v>99.99</v>
      </c>
      <c r="Q247" s="9">
        <v>100</v>
      </c>
      <c r="R247" s="9">
        <v>99.11</v>
      </c>
      <c r="S247" s="9">
        <v>99.87</v>
      </c>
      <c r="T247" s="11">
        <v>100</v>
      </c>
      <c r="U247" s="11">
        <v>99.57</v>
      </c>
      <c r="V247" s="11" t="s">
        <v>30</v>
      </c>
      <c r="W247" s="11" t="s">
        <v>30</v>
      </c>
      <c r="X247" s="11" t="s">
        <v>30</v>
      </c>
      <c r="Y247" s="315" t="s">
        <v>30</v>
      </c>
      <c r="Z247" s="335"/>
    </row>
    <row r="248" spans="1:83" ht="12.95" customHeight="1" x14ac:dyDescent="0.2">
      <c r="C248" s="1" t="str">
        <f>VLOOKUP(162,Textbausteine_203[],Hilfsgrössen!$D$2,FALSE)</f>
        <v>Taggerechte Verarbeitung von Zahlungsbelegen aus Zahlungsaufträgen</v>
      </c>
      <c r="D248" s="1" t="str">
        <f>VLOOKUP(12,Textbausteine_203[],Hilfsgrössen!$D$2,FALSE)</f>
        <v>%</v>
      </c>
      <c r="E248" s="9">
        <v>1</v>
      </c>
      <c r="H248" s="9" t="s">
        <v>30</v>
      </c>
      <c r="I248" s="9">
        <v>98.2</v>
      </c>
      <c r="J248" s="9">
        <v>100</v>
      </c>
      <c r="K248" s="9">
        <v>99.66</v>
      </c>
      <c r="L248" s="9">
        <v>99.99</v>
      </c>
      <c r="M248" s="9">
        <v>99.81</v>
      </c>
      <c r="N248" s="9">
        <v>99.98</v>
      </c>
      <c r="O248" s="9">
        <v>98.8</v>
      </c>
      <c r="P248" s="9">
        <v>99.9</v>
      </c>
      <c r="Q248" s="9">
        <v>99.99</v>
      </c>
      <c r="R248" s="9">
        <v>99.66</v>
      </c>
      <c r="S248" s="9">
        <v>99.89</v>
      </c>
      <c r="T248" s="11">
        <v>99.94</v>
      </c>
      <c r="U248" s="11">
        <v>99.89</v>
      </c>
      <c r="V248" s="11" t="s">
        <v>30</v>
      </c>
      <c r="W248" s="11" t="s">
        <v>30</v>
      </c>
      <c r="X248" s="11" t="s">
        <v>30</v>
      </c>
      <c r="Y248" s="315" t="s">
        <v>30</v>
      </c>
      <c r="Z248" s="335"/>
    </row>
    <row r="249" spans="1:83" ht="12.95" customHeight="1" x14ac:dyDescent="0.2">
      <c r="C249" s="1" t="str">
        <f>VLOOKUP(163,Textbausteine_203[],Hilfsgrössen!$D$2,FALSE)</f>
        <v>Taggerechte Verarbeitung von Zahlungsbelegen von Filialen (SCHAPO)</v>
      </c>
      <c r="D249" s="1" t="str">
        <f>VLOOKUP(12,Textbausteine_203[],Hilfsgrössen!$D$2,FALSE)</f>
        <v>%</v>
      </c>
      <c r="H249" s="9" t="s">
        <v>30</v>
      </c>
      <c r="I249" s="9" t="s">
        <v>30</v>
      </c>
      <c r="J249" s="9" t="s">
        <v>30</v>
      </c>
      <c r="K249" s="9" t="s">
        <v>30</v>
      </c>
      <c r="L249" s="9" t="s">
        <v>30</v>
      </c>
      <c r="M249" s="9" t="s">
        <v>30</v>
      </c>
      <c r="N249" s="9">
        <v>99.88</v>
      </c>
      <c r="O249" s="9">
        <v>99.68</v>
      </c>
      <c r="P249" s="9">
        <v>99.75</v>
      </c>
      <c r="Q249" s="9">
        <v>99.66</v>
      </c>
      <c r="R249" s="9">
        <v>99.89</v>
      </c>
      <c r="S249" s="9">
        <v>99.86</v>
      </c>
      <c r="T249" s="11">
        <v>99.94</v>
      </c>
      <c r="U249" s="11">
        <v>99.97</v>
      </c>
      <c r="V249" s="11" t="s">
        <v>30</v>
      </c>
      <c r="W249" s="11" t="s">
        <v>30</v>
      </c>
      <c r="X249" s="11" t="s">
        <v>30</v>
      </c>
      <c r="Y249" s="315" t="s">
        <v>30</v>
      </c>
      <c r="Z249" s="335"/>
    </row>
    <row r="251" spans="1:83" s="18" customFormat="1" ht="12.95" customHeight="1" x14ac:dyDescent="0.25">
      <c r="A251" s="188"/>
      <c r="B251" s="18" t="str">
        <f>VLOOKUP(251,Textbausteine_203[],Hilfsgrössen!$D$2,FALSE)</f>
        <v>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v>
      </c>
      <c r="E251" s="189"/>
      <c r="F251" s="189"/>
      <c r="G251" s="195"/>
      <c r="H251" s="189"/>
      <c r="I251" s="189"/>
      <c r="J251" s="189"/>
      <c r="K251" s="189"/>
      <c r="L251" s="189"/>
      <c r="M251" s="189"/>
      <c r="N251" s="189"/>
      <c r="O251" s="189"/>
      <c r="P251" s="189"/>
      <c r="Q251" s="189"/>
      <c r="R251" s="189"/>
      <c r="S251" s="189"/>
      <c r="T251" s="30"/>
      <c r="U251" s="30"/>
      <c r="V251" s="30"/>
      <c r="W251" s="30"/>
      <c r="X251" s="30"/>
      <c r="Y251" s="30"/>
      <c r="Z251" s="335"/>
      <c r="AA251" s="189"/>
      <c r="AB251" s="189"/>
      <c r="AC251" s="189"/>
      <c r="AD251" s="189"/>
      <c r="AE251" s="189"/>
      <c r="AF251" s="189"/>
      <c r="AG251" s="189"/>
      <c r="AH251" s="189"/>
      <c r="AI251" s="189"/>
      <c r="AJ251" s="189"/>
      <c r="AK251" s="189"/>
      <c r="AL251" s="189"/>
      <c r="AM251" s="189"/>
      <c r="AN251" s="189"/>
      <c r="AO251" s="189"/>
      <c r="AP251" s="189"/>
      <c r="AQ251" s="189"/>
      <c r="AR251" s="189"/>
      <c r="AS251" s="189"/>
      <c r="AT251" s="189"/>
      <c r="AU251" s="189"/>
      <c r="AV251" s="189"/>
      <c r="AW251" s="189"/>
      <c r="AX251" s="189"/>
      <c r="AY251" s="189"/>
      <c r="AZ251" s="189"/>
      <c r="BA251" s="189"/>
      <c r="BB251" s="189"/>
      <c r="BC251" s="189"/>
      <c r="BD251" s="189"/>
      <c r="BE251" s="189"/>
      <c r="BF251" s="189"/>
      <c r="BG251" s="189"/>
      <c r="BH251" s="189"/>
      <c r="BI251" s="189"/>
      <c r="BJ251" s="189"/>
      <c r="BK251" s="189"/>
      <c r="BL251" s="189"/>
      <c r="BM251" s="189"/>
      <c r="BN251" s="189"/>
      <c r="BO251" s="189"/>
      <c r="BP251" s="189"/>
      <c r="BQ251" s="189"/>
      <c r="BR251" s="189"/>
      <c r="BS251" s="189"/>
      <c r="BT251" s="189"/>
      <c r="BU251" s="189"/>
      <c r="BV251" s="189"/>
      <c r="BW251" s="189"/>
      <c r="BX251" s="189"/>
      <c r="BY251" s="189"/>
      <c r="BZ251" s="189"/>
      <c r="CA251" s="189"/>
      <c r="CB251" s="189"/>
      <c r="CC251" s="189"/>
      <c r="CD251" s="189"/>
      <c r="CE251" s="189"/>
    </row>
    <row r="252" spans="1:83" ht="12.95" customHeight="1" x14ac:dyDescent="0.25">
      <c r="B252" s="18" t="str">
        <f>VLOOKUP(252,Textbausteine_203[],Hilfsgrössen!$D$2,FALSE)</f>
        <v>2) Die Erhebung zur Taggerechten Verarbeitung von Zahlungsbelegen wurde 2018 eingestellt.</v>
      </c>
      <c r="Z252" s="335"/>
    </row>
    <row r="253" spans="1:83" ht="13.5" x14ac:dyDescent="0.25">
      <c r="B253" s="18"/>
      <c r="C253" s="105"/>
    </row>
  </sheetData>
  <sheetProtection algorithmName="SHA-512" hashValue="rXNNEeJtXZRbPKphyqoSAZknmrRJ7ffmebIJw6M+6oOsF3a1IkZ6qUnc7dRWHU7HKevDTuM8yiVR3wDJud65jA==" saltValue="XHVM32pUMTmVtlnHUCMVKA==" spinCount="100000" sheet="1" objects="1" scenarios="1"/>
  <mergeCells count="10">
    <mergeCell ref="D2:E2"/>
    <mergeCell ref="B39:C40"/>
    <mergeCell ref="B58:C59"/>
    <mergeCell ref="B139:C140"/>
    <mergeCell ref="B216:C217"/>
    <mergeCell ref="B231:C232"/>
    <mergeCell ref="B243:C244"/>
    <mergeCell ref="B2:C2"/>
    <mergeCell ref="B3:C3"/>
    <mergeCell ref="B16:C17"/>
  </mergeCells>
  <conditionalFormatting sqref="H16:CE19 H46:H48 H145:K145 H147:K147 Y20 H156:K156 H158:K158 H178:K186 H192:K192 H35:CE42 H49:CE50 AA145:CE145 AA147:CE147 W90:X90 H43:X45 H159:CE160 Y161 H162:Y164 Y165 H169:X171 H173:X173 H177:CE177 AA173:CE173 AA169:CE171 Y168:Y175 H193:CE194 AA192:CE192 Y197:Y198 AA209:CE209 H210:CE210 Y201:Y206 Z20:CE26 Y144:Y155 Y30 Y34 Z29:CE34 H27:CE28 Y43:CE48 H52:CE62 Y63:CE66 Y68:CE68 Y80:CE90 Z67:CE67 Z69:CE69 Y70:CE78 Z79:CE79 H91:CE143 Z156:CE156 Z158:CE158 H166:Y167 AA162:CE164 AA166:CE167 H176:Y176 AA176:CE176 Y178:Y187 AA178:CE186 H199:Y200 H195:Y196 AA195:CE196 AA199:CE200 H209:X209 H214:CE220 H211:Y213 AA211:CE213 H223:CE224 H221:Y222 AA221:CE222 H227:CE227 H225:Y226 AA225:CE226 H238:CE238 H236:Y237 AA236:CE237 H229:CE235 H228:Y228 AA228:CE228 H241:CE246 H239:Y240 AA239:CE240 H250:CE250 H247:Y249 AA247:CE249 H253:CE10000 H251:Y252 AA251:CE252 Z51:CE51">
    <cfRule type="expression" dxfId="922" priority="361">
      <formula>AND($D16&lt;&gt;"",H$16&lt;&gt;"",H16="")</formula>
    </cfRule>
    <cfRule type="expression" dxfId="921" priority="440">
      <formula>AND($A16="",ABS(H16)=0)</formula>
    </cfRule>
    <cfRule type="expression" dxfId="920" priority="443">
      <formula>AND($A16="",ABS(H16)&lt;10)</formula>
    </cfRule>
    <cfRule type="expression" dxfId="919" priority="467">
      <formula>AND($A16="",ABS(H16)&lt;100)</formula>
    </cfRule>
    <cfRule type="expression" dxfId="918" priority="477">
      <formula>AND($A16="",ABS(H16)&gt;=100)</formula>
    </cfRule>
  </conditionalFormatting>
  <conditionalFormatting sqref="AA148:CE148 AA174:CE174 AA203:CE204 AA206:CE207">
    <cfRule type="expression" dxfId="917" priority="522">
      <formula>AND($D146&lt;&gt;"",AA$16&lt;&gt;"",AA148="")</formula>
    </cfRule>
    <cfRule type="expression" dxfId="916" priority="523">
      <formula>AND($A148="",ABS(AA148)=0)</formula>
    </cfRule>
    <cfRule type="expression" dxfId="915" priority="524">
      <formula>AND($A148="",ABS(AA148)&lt;10)</formula>
    </cfRule>
    <cfRule type="expression" dxfId="914" priority="525">
      <formula>AND($A148="",ABS(AA148)&lt;100)</formula>
    </cfRule>
    <cfRule type="expression" dxfId="913" priority="526">
      <formula>AND($A148="",ABS(AA148)&gt;=100)</formula>
    </cfRule>
  </conditionalFormatting>
  <conditionalFormatting sqref="AA146:CE146 AA168:CE168 AA187:CE187 AA197:CE197 AA155:CE155">
    <cfRule type="expression" dxfId="912" priority="527">
      <formula>AND(#REF!&lt;&gt;"",AA$16&lt;&gt;"",AA146="")</formula>
    </cfRule>
    <cfRule type="expression" dxfId="911" priority="528">
      <formula>AND($A146="",ABS(AA146)=0)</formula>
    </cfRule>
    <cfRule type="expression" dxfId="910" priority="529">
      <formula>AND($A146="",ABS(AA146)&lt;10)</formula>
    </cfRule>
    <cfRule type="expression" dxfId="909" priority="530">
      <formula>AND($A146="",ABS(AA146)&lt;100)</formula>
    </cfRule>
    <cfRule type="expression" dxfId="908" priority="531">
      <formula>AND($A146="",ABS(AA146)&gt;=100)</formula>
    </cfRule>
  </conditionalFormatting>
  <conditionalFormatting sqref="H146:K146 H172:X172 H201:X202 H204:X205">
    <cfRule type="expression" dxfId="907" priority="572">
      <formula>AND($D146&lt;&gt;"",H$16&lt;&gt;"",H146="")</formula>
    </cfRule>
    <cfRule type="expression" dxfId="906" priority="573">
      <formula>AND($A148="",ABS(H146)=0)</formula>
    </cfRule>
    <cfRule type="expression" dxfId="905" priority="574">
      <formula>AND($A148="",ABS(H146)&lt;10)</formula>
    </cfRule>
    <cfRule type="expression" dxfId="904" priority="575">
      <formula>AND($A148="",ABS(H146)&lt;100)</formula>
    </cfRule>
    <cfRule type="expression" dxfId="903" priority="576">
      <formula>AND($A148="",ABS(H146)&gt;=100)</formula>
    </cfRule>
  </conditionalFormatting>
  <conditionalFormatting sqref="AA153:CE153 AA175:CE175 AA198:CE198 AA208:CE208 AA144:CE144 AA188:CE191">
    <cfRule type="expression" dxfId="902" priority="582">
      <formula>AND($D143&lt;&gt;"",AA$16&lt;&gt;"",AA144="")</formula>
    </cfRule>
    <cfRule type="expression" dxfId="901" priority="583">
      <formula>AND($A144="",ABS(AA144)=0)</formula>
    </cfRule>
    <cfRule type="expression" dxfId="900" priority="584">
      <formula>AND($A144="",ABS(AA144)&lt;10)</formula>
    </cfRule>
    <cfRule type="expression" dxfId="899" priority="585">
      <formula>AND($A144="",ABS(AA144)&lt;100)</formula>
    </cfRule>
    <cfRule type="expression" dxfId="898" priority="586">
      <formula>AND($A144="",ABS(AA144)&gt;=100)</formula>
    </cfRule>
  </conditionalFormatting>
  <conditionalFormatting sqref="H152:K152 H187:K190 H207:N207 H174:X174 H197:X197">
    <cfRule type="expression" dxfId="897" priority="627">
      <formula>AND($D152&lt;&gt;"",H$16&lt;&gt;"",H152="")</formula>
    </cfRule>
    <cfRule type="expression" dxfId="896" priority="628">
      <formula>AND($A153="",ABS(H152)=0)</formula>
    </cfRule>
    <cfRule type="expression" dxfId="895" priority="629">
      <formula>AND($A153="",ABS(H152)&lt;10)</formula>
    </cfRule>
    <cfRule type="expression" dxfId="894" priority="630">
      <formula>AND($A153="",ABS(H152)&lt;100)</formula>
    </cfRule>
    <cfRule type="expression" dxfId="893" priority="631">
      <formula>AND($A153="",ABS(H152)&gt;=100)</formula>
    </cfRule>
  </conditionalFormatting>
  <conditionalFormatting sqref="AA152:CE152 AA154:CE154 AA202:CE202 AA205:CE205 AA149:CE150">
    <cfRule type="expression" dxfId="892" priority="812">
      <formula>AND($D150&lt;&gt;"",AA$16&lt;&gt;"",AA149="")</formula>
    </cfRule>
    <cfRule type="expression" dxfId="891" priority="813">
      <formula>AND($A149="",ABS(AA149)=0)</formula>
    </cfRule>
    <cfRule type="expression" dxfId="890" priority="814">
      <formula>AND($A149="",ABS(AA149)&lt;10)</formula>
    </cfRule>
    <cfRule type="expression" dxfId="889" priority="815">
      <formula>AND($A149="",ABS(AA149)&lt;100)</formula>
    </cfRule>
    <cfRule type="expression" dxfId="888" priority="816">
      <formula>AND($A149="",ABS(AA149)&gt;=100)</formula>
    </cfRule>
  </conditionalFormatting>
  <conditionalFormatting sqref="H150:K151 H153:K153 H155:K155 H203:X203 H206:X206">
    <cfRule type="expression" dxfId="887" priority="817">
      <formula>AND($D150&lt;&gt;"",H$16&lt;&gt;"",H150="")</formula>
    </cfRule>
    <cfRule type="expression" dxfId="886" priority="818">
      <formula>AND($A149="",ABS(H150)=0)</formula>
    </cfRule>
    <cfRule type="expression" dxfId="885" priority="819">
      <formula>AND($A149="",ABS(H150)&lt;10)</formula>
    </cfRule>
    <cfRule type="expression" dxfId="884" priority="820">
      <formula>AND($A149="",ABS(H150)&lt;100)</formula>
    </cfRule>
    <cfRule type="expression" dxfId="883" priority="821">
      <formula>AND($A149="",ABS(H150)&gt;=100)</formula>
    </cfRule>
  </conditionalFormatting>
  <conditionalFormatting sqref="H157:K157 H191:K191 H208:N208 H175:X175">
    <cfRule type="expression" dxfId="882" priority="857">
      <formula>AND($D157&lt;&gt;"",H$16&lt;&gt;"",H157="")</formula>
    </cfRule>
    <cfRule type="expression" dxfId="881" priority="858">
      <formula>AND(#REF!="",ABS(H157)=0)</formula>
    </cfRule>
    <cfRule type="expression" dxfId="880" priority="859">
      <formula>AND(#REF!="",ABS(H157)&lt;10)</formula>
    </cfRule>
    <cfRule type="expression" dxfId="879" priority="860">
      <formula>AND(#REF!="",ABS(H157)&lt;100)</formula>
    </cfRule>
    <cfRule type="expression" dxfId="878" priority="861">
      <formula>AND(#REF!="",ABS(H157)&gt;=100)</formula>
    </cfRule>
  </conditionalFormatting>
  <conditionalFormatting sqref="Y20">
    <cfRule type="expression" dxfId="877" priority="286">
      <formula>AND($D20&lt;&gt;"",Y$16&lt;&gt;"",Y20="")</formula>
    </cfRule>
    <cfRule type="expression" dxfId="876" priority="287">
      <formula>AND($A20="",ABS(Y20)=0)</formula>
    </cfRule>
    <cfRule type="expression" dxfId="875" priority="288">
      <formula>AND($A20="",ABS(Y20)&lt;10)</formula>
    </cfRule>
    <cfRule type="expression" dxfId="874" priority="289">
      <formula>AND($A20="",ABS(Y20)&lt;100)</formula>
    </cfRule>
    <cfRule type="expression" dxfId="873" priority="290">
      <formula>AND($A20="",ABS(Y20)&gt;=100)</formula>
    </cfRule>
  </conditionalFormatting>
  <conditionalFormatting sqref="H144:K144 H148:K148 H154:K154 H198:X198">
    <cfRule type="expression" dxfId="872" priority="206">
      <formula>AND($D144&lt;&gt;"",H$16&lt;&gt;"",H144="")</formula>
    </cfRule>
    <cfRule type="expression" dxfId="871" priority="207">
      <formula>AND($A147="",ABS(H144)=0)</formula>
    </cfRule>
    <cfRule type="expression" dxfId="870" priority="208">
      <formula>AND($A147="",ABS(H144)&lt;10)</formula>
    </cfRule>
    <cfRule type="expression" dxfId="869" priority="209">
      <formula>AND($A147="",ABS(H144)&lt;100)</formula>
    </cfRule>
    <cfRule type="expression" dxfId="868" priority="210">
      <formula>AND($A147="",ABS(H144)&gt;=100)</formula>
    </cfRule>
  </conditionalFormatting>
  <conditionalFormatting sqref="H149:K149">
    <cfRule type="expression" dxfId="867" priority="1262">
      <formula>AND($D149&lt;&gt;"",H$16&lt;&gt;"",H149="")</formula>
    </cfRule>
    <cfRule type="expression" dxfId="866" priority="1263">
      <formula>AND(#REF!="",ABS(H149)=0)</formula>
    </cfRule>
    <cfRule type="expression" dxfId="865" priority="1264">
      <formula>AND(#REF!="",ABS(H149)&lt;10)</formula>
    </cfRule>
    <cfRule type="expression" dxfId="864" priority="1265">
      <formula>AND(#REF!="",ABS(H149)&lt;100)</formula>
    </cfRule>
    <cfRule type="expression" dxfId="863" priority="1266">
      <formula>AND(#REF!="",ABS(H149)&gt;=100)</formula>
    </cfRule>
  </conditionalFormatting>
  <conditionalFormatting sqref="AA151:CE151 AA157:CE157 AA201:CE201">
    <cfRule type="expression" dxfId="862" priority="1577">
      <formula>AND($D148&lt;&gt;"",AA$16&lt;&gt;"",AA151="")</formula>
    </cfRule>
    <cfRule type="expression" dxfId="861" priority="1578">
      <formula>AND($A151="",ABS(AA151)=0)</formula>
    </cfRule>
    <cfRule type="expression" dxfId="860" priority="1579">
      <formula>AND($A151="",ABS(AA151)&lt;10)</formula>
    </cfRule>
    <cfRule type="expression" dxfId="859" priority="1580">
      <formula>AND($A151="",ABS(AA151)&lt;100)</formula>
    </cfRule>
    <cfRule type="expression" dxfId="858" priority="1581">
      <formula>AND($A151="",ABS(AA151)&gt;=100)</formula>
    </cfRule>
  </conditionalFormatting>
  <conditionalFormatting sqref="AA161:CE161">
    <cfRule type="expression" dxfId="857" priority="2002">
      <formula>AND($D165&lt;&gt;"",AA$16&lt;&gt;"",AA161="")</formula>
    </cfRule>
    <cfRule type="expression" dxfId="856" priority="2003">
      <formula>AND($A161="",ABS(AA161)=0)</formula>
    </cfRule>
    <cfRule type="expression" dxfId="855" priority="2004">
      <formula>AND($A161="",ABS(AA161)&lt;10)</formula>
    </cfRule>
    <cfRule type="expression" dxfId="854" priority="2005">
      <formula>AND($A161="",ABS(AA161)&lt;100)</formula>
    </cfRule>
    <cfRule type="expression" dxfId="853" priority="2006">
      <formula>AND($A161="",ABS(AA161)&gt;=100)</formula>
    </cfRule>
  </conditionalFormatting>
  <conditionalFormatting sqref="H165:X165">
    <cfRule type="expression" dxfId="852" priority="2027">
      <formula>AND($D165&lt;&gt;"",H$16&lt;&gt;"",H165="")</formula>
    </cfRule>
    <cfRule type="expression" dxfId="851" priority="2028">
      <formula>AND($A161="",ABS(H165)=0)</formula>
    </cfRule>
    <cfRule type="expression" dxfId="850" priority="2029">
      <formula>AND($A161="",ABS(H165)&lt;10)</formula>
    </cfRule>
    <cfRule type="expression" dxfId="849" priority="2030">
      <formula>AND($A161="",ABS(H165)&lt;100)</formula>
    </cfRule>
    <cfRule type="expression" dxfId="848" priority="2031">
      <formula>AND($A161="",ABS(H165)&gt;=100)</formula>
    </cfRule>
  </conditionalFormatting>
  <conditionalFormatting sqref="AA165:CE165">
    <cfRule type="expression" dxfId="847" priority="2252">
      <formula>AND($D168&lt;&gt;"",AA$16&lt;&gt;"",AA165="")</formula>
    </cfRule>
    <cfRule type="expression" dxfId="846" priority="2253">
      <formula>AND($A165="",ABS(AA165)=0)</formula>
    </cfRule>
    <cfRule type="expression" dxfId="845" priority="2254">
      <formula>AND($A165="",ABS(AA165)&lt;10)</formula>
    </cfRule>
    <cfRule type="expression" dxfId="844" priority="2255">
      <formula>AND($A165="",ABS(AA165)&lt;100)</formula>
    </cfRule>
    <cfRule type="expression" dxfId="843" priority="2256">
      <formula>AND($A165="",ABS(AA165)&gt;=100)</formula>
    </cfRule>
  </conditionalFormatting>
  <conditionalFormatting sqref="H168:X168">
    <cfRule type="expression" dxfId="842" priority="2257">
      <formula>AND($D168&lt;&gt;"",H$16&lt;&gt;"",H168="")</formula>
    </cfRule>
    <cfRule type="expression" dxfId="841" priority="2258">
      <formula>AND($A165="",ABS(H168)=0)</formula>
    </cfRule>
    <cfRule type="expression" dxfId="840" priority="2259">
      <formula>AND($A165="",ABS(H168)&lt;10)</formula>
    </cfRule>
    <cfRule type="expression" dxfId="839" priority="2260">
      <formula>AND($A165="",ABS(H168)&lt;100)</formula>
    </cfRule>
    <cfRule type="expression" dxfId="838" priority="2261">
      <formula>AND($A165="",ABS(H168)&gt;=100)</formula>
    </cfRule>
  </conditionalFormatting>
  <conditionalFormatting sqref="H161:X161">
    <cfRule type="expression" dxfId="837" priority="2462">
      <formula>AND($D161&lt;&gt;"",H$16&lt;&gt;"",H161="")</formula>
    </cfRule>
    <cfRule type="expression" dxfId="836" priority="2463">
      <formula>AND($A172="",ABS(H161)=0)</formula>
    </cfRule>
    <cfRule type="expression" dxfId="835" priority="2464">
      <formula>AND($A172="",ABS(H161)&lt;10)</formula>
    </cfRule>
    <cfRule type="expression" dxfId="834" priority="2465">
      <formula>AND($A172="",ABS(H161)&lt;100)</formula>
    </cfRule>
    <cfRule type="expression" dxfId="833" priority="2466">
      <formula>AND($A172="",ABS(H161)&gt;=100)</formula>
    </cfRule>
  </conditionalFormatting>
  <conditionalFormatting sqref="AA172:CE172">
    <cfRule type="expression" dxfId="832" priority="2467">
      <formula>AND($D161&lt;&gt;"",AA$16&lt;&gt;"",AA172="")</formula>
    </cfRule>
    <cfRule type="expression" dxfId="831" priority="2468">
      <formula>AND($A172="",ABS(AA172)=0)</formula>
    </cfRule>
    <cfRule type="expression" dxfId="830" priority="2469">
      <formula>AND($A172="",ABS(AA172)&lt;10)</formula>
    </cfRule>
    <cfRule type="expression" dxfId="829" priority="2470">
      <formula>AND($A172="",ABS(AA172)&lt;100)</formula>
    </cfRule>
    <cfRule type="expression" dxfId="828" priority="2471">
      <formula>AND($A172="",ABS(AA172)&gt;=100)</formula>
    </cfRule>
  </conditionalFormatting>
  <conditionalFormatting sqref="Z157">
    <cfRule type="expression" dxfId="827" priority="191">
      <formula>AND($D157&lt;&gt;"",Z$16&lt;&gt;"",Z157="")</formula>
    </cfRule>
    <cfRule type="expression" dxfId="826" priority="192">
      <formula>AND($A157="",ABS(Z157)=0)</formula>
    </cfRule>
    <cfRule type="expression" dxfId="825" priority="193">
      <formula>AND($A157="",ABS(Z157)&lt;10)</formula>
    </cfRule>
    <cfRule type="expression" dxfId="824" priority="194">
      <formula>AND($A157="",ABS(Z157)&lt;100)</formula>
    </cfRule>
    <cfRule type="expression" dxfId="823" priority="195">
      <formula>AND($A157="",ABS(Z157)&gt;=100)</formula>
    </cfRule>
  </conditionalFormatting>
  <conditionalFormatting sqref="Z144:Z149">
    <cfRule type="expression" dxfId="822" priority="186">
      <formula>AND($D144&lt;&gt;"",Z$16&lt;&gt;"",Z144="")</formula>
    </cfRule>
    <cfRule type="expression" dxfId="821" priority="187">
      <formula>AND($A144="",ABS(Z144)=0)</formula>
    </cfRule>
    <cfRule type="expression" dxfId="820" priority="188">
      <formula>AND($A144="",ABS(Z144)&lt;10)</formula>
    </cfRule>
    <cfRule type="expression" dxfId="819" priority="189">
      <formula>AND($A144="",ABS(Z144)&lt;100)</formula>
    </cfRule>
    <cfRule type="expression" dxfId="818" priority="190">
      <formula>AND($A144="",ABS(Z144)&gt;=100)</formula>
    </cfRule>
  </conditionalFormatting>
  <conditionalFormatting sqref="Z150:Z155">
    <cfRule type="expression" dxfId="817" priority="181">
      <formula>AND($D150&lt;&gt;"",Z$16&lt;&gt;"",Z150="")</formula>
    </cfRule>
    <cfRule type="expression" dxfId="816" priority="182">
      <formula>AND($A150="",ABS(Z150)=0)</formula>
    </cfRule>
    <cfRule type="expression" dxfId="815" priority="183">
      <formula>AND($A150="",ABS(Z150)&lt;10)</formula>
    </cfRule>
    <cfRule type="expression" dxfId="814" priority="184">
      <formula>AND($A150="",ABS(Z150)&lt;100)</formula>
    </cfRule>
    <cfRule type="expression" dxfId="813" priority="185">
      <formula>AND($A150="",ABS(Z150)&gt;=100)</formula>
    </cfRule>
  </conditionalFormatting>
  <conditionalFormatting sqref="Z161:Z166">
    <cfRule type="expression" dxfId="812" priority="176">
      <formula>AND($D161&lt;&gt;"",Z$16&lt;&gt;"",Z161="")</formula>
    </cfRule>
    <cfRule type="expression" dxfId="811" priority="177">
      <formula>AND($A161="",ABS(Z161)=0)</formula>
    </cfRule>
    <cfRule type="expression" dxfId="810" priority="178">
      <formula>AND($A161="",ABS(Z161)&lt;10)</formula>
    </cfRule>
    <cfRule type="expression" dxfId="809" priority="179">
      <formula>AND($A161="",ABS(Z161)&lt;100)</formula>
    </cfRule>
    <cfRule type="expression" dxfId="808" priority="180">
      <formula>AND($A161="",ABS(Z161)&gt;=100)</formula>
    </cfRule>
  </conditionalFormatting>
  <conditionalFormatting sqref="Z167:Z170">
    <cfRule type="expression" dxfId="807" priority="171">
      <formula>AND($D167&lt;&gt;"",Z$16&lt;&gt;"",Z167="")</formula>
    </cfRule>
    <cfRule type="expression" dxfId="806" priority="172">
      <formula>AND($A167="",ABS(Z167)=0)</formula>
    </cfRule>
    <cfRule type="expression" dxfId="805" priority="173">
      <formula>AND($A167="",ABS(Z167)&lt;10)</formula>
    </cfRule>
    <cfRule type="expression" dxfId="804" priority="174">
      <formula>AND($A167="",ABS(Z167)&lt;100)</formula>
    </cfRule>
    <cfRule type="expression" dxfId="803" priority="175">
      <formula>AND($A167="",ABS(Z167)&gt;=100)</formula>
    </cfRule>
  </conditionalFormatting>
  <conditionalFormatting sqref="Z171:Z176">
    <cfRule type="expression" dxfId="802" priority="166">
      <formula>AND($D171&lt;&gt;"",Z$16&lt;&gt;"",Z171="")</formula>
    </cfRule>
    <cfRule type="expression" dxfId="801" priority="167">
      <formula>AND($A171="",ABS(Z171)=0)</formula>
    </cfRule>
    <cfRule type="expression" dxfId="800" priority="168">
      <formula>AND($A171="",ABS(Z171)&lt;10)</formula>
    </cfRule>
    <cfRule type="expression" dxfId="799" priority="169">
      <formula>AND($A171="",ABS(Z171)&lt;100)</formula>
    </cfRule>
    <cfRule type="expression" dxfId="798" priority="170">
      <formula>AND($A171="",ABS(Z171)&gt;=100)</formula>
    </cfRule>
  </conditionalFormatting>
  <conditionalFormatting sqref="Z178:Z182">
    <cfRule type="expression" dxfId="797" priority="161">
      <formula>AND($D178&lt;&gt;"",Z$16&lt;&gt;"",Z178="")</formula>
    </cfRule>
    <cfRule type="expression" dxfId="796" priority="162">
      <formula>AND($A178="",ABS(Z178)=0)</formula>
    </cfRule>
    <cfRule type="expression" dxfId="795" priority="163">
      <formula>AND($A178="",ABS(Z178)&lt;10)</formula>
    </cfRule>
    <cfRule type="expression" dxfId="794" priority="164">
      <formula>AND($A178="",ABS(Z178)&lt;100)</formula>
    </cfRule>
    <cfRule type="expression" dxfId="793" priority="165">
      <formula>AND($A178="",ABS(Z178)&gt;=100)</formula>
    </cfRule>
  </conditionalFormatting>
  <conditionalFormatting sqref="Z183:Z184">
    <cfRule type="expression" dxfId="792" priority="156">
      <formula>AND($D183&lt;&gt;"",Z$16&lt;&gt;"",Z183="")</formula>
    </cfRule>
    <cfRule type="expression" dxfId="791" priority="157">
      <formula>AND($A183="",ABS(Z183)=0)</formula>
    </cfRule>
    <cfRule type="expression" dxfId="790" priority="158">
      <formula>AND($A183="",ABS(Z183)&lt;10)</formula>
    </cfRule>
    <cfRule type="expression" dxfId="789" priority="159">
      <formula>AND($A183="",ABS(Z183)&lt;100)</formula>
    </cfRule>
    <cfRule type="expression" dxfId="788" priority="160">
      <formula>AND($A183="",ABS(Z183)&gt;=100)</formula>
    </cfRule>
  </conditionalFormatting>
  <conditionalFormatting sqref="Z185:Z186">
    <cfRule type="expression" dxfId="787" priority="151">
      <formula>AND($D185&lt;&gt;"",Z$16&lt;&gt;"",Z185="")</formula>
    </cfRule>
    <cfRule type="expression" dxfId="786" priority="152">
      <formula>AND($A185="",ABS(Z185)=0)</formula>
    </cfRule>
    <cfRule type="expression" dxfId="785" priority="153">
      <formula>AND($A185="",ABS(Z185)&lt;10)</formula>
    </cfRule>
    <cfRule type="expression" dxfId="784" priority="154">
      <formula>AND($A185="",ABS(Z185)&lt;100)</formula>
    </cfRule>
    <cfRule type="expression" dxfId="783" priority="155">
      <formula>AND($A185="",ABS(Z185)&gt;=100)</formula>
    </cfRule>
  </conditionalFormatting>
  <conditionalFormatting sqref="Z187">
    <cfRule type="expression" dxfId="782" priority="146">
      <formula>AND($D187&lt;&gt;"",Z$16&lt;&gt;"",Z187="")</formula>
    </cfRule>
    <cfRule type="expression" dxfId="781" priority="147">
      <formula>AND($A187="",ABS(Z187)=0)</formula>
    </cfRule>
    <cfRule type="expression" dxfId="780" priority="148">
      <formula>AND($A187="",ABS(Z187)&lt;10)</formula>
    </cfRule>
    <cfRule type="expression" dxfId="779" priority="149">
      <formula>AND($A187="",ABS(Z187)&lt;100)</formula>
    </cfRule>
    <cfRule type="expression" dxfId="778" priority="150">
      <formula>AND($A187="",ABS(Z187)&gt;=100)</formula>
    </cfRule>
  </conditionalFormatting>
  <conditionalFormatting sqref="Z222">
    <cfRule type="expression" dxfId="777" priority="66">
      <formula>AND($D222&lt;&gt;"",Z$16&lt;&gt;"",Z222="")</formula>
    </cfRule>
    <cfRule type="expression" dxfId="776" priority="67">
      <formula>AND($A222="",ABS(Z222)=0)</formula>
    </cfRule>
    <cfRule type="expression" dxfId="775" priority="68">
      <formula>AND($A222="",ABS(Z222)&lt;10)</formula>
    </cfRule>
    <cfRule type="expression" dxfId="774" priority="69">
      <formula>AND($A222="",ABS(Z222)&lt;100)</formula>
    </cfRule>
    <cfRule type="expression" dxfId="773" priority="70">
      <formula>AND($A222="",ABS(Z222)&gt;=100)</formula>
    </cfRule>
  </conditionalFormatting>
  <conditionalFormatting sqref="Z195:Z199">
    <cfRule type="expression" dxfId="772" priority="136">
      <formula>AND($D195&lt;&gt;"",Z$16&lt;&gt;"",Z195="")</formula>
    </cfRule>
    <cfRule type="expression" dxfId="771" priority="137">
      <formula>AND($A195="",ABS(Z195)=0)</formula>
    </cfRule>
    <cfRule type="expression" dxfId="770" priority="138">
      <formula>AND($A195="",ABS(Z195)&lt;10)</formula>
    </cfRule>
    <cfRule type="expression" dxfId="769" priority="139">
      <formula>AND($A195="",ABS(Z195)&lt;100)</formula>
    </cfRule>
    <cfRule type="expression" dxfId="768" priority="140">
      <formula>AND($A195="",ABS(Z195)&gt;=100)</formula>
    </cfRule>
  </conditionalFormatting>
  <conditionalFormatting sqref="Z200:Z204">
    <cfRule type="expression" dxfId="767" priority="131">
      <formula>AND($D200&lt;&gt;"",Z$16&lt;&gt;"",Z200="")</formula>
    </cfRule>
    <cfRule type="expression" dxfId="766" priority="132">
      <formula>AND($A200="",ABS(Z200)=0)</formula>
    </cfRule>
    <cfRule type="expression" dxfId="765" priority="133">
      <formula>AND($A200="",ABS(Z200)&lt;10)</formula>
    </cfRule>
    <cfRule type="expression" dxfId="764" priority="134">
      <formula>AND($A200="",ABS(Z200)&lt;100)</formula>
    </cfRule>
    <cfRule type="expression" dxfId="763" priority="135">
      <formula>AND($A200="",ABS(Z200)&gt;=100)</formula>
    </cfRule>
  </conditionalFormatting>
  <conditionalFormatting sqref="Z205">
    <cfRule type="expression" dxfId="762" priority="126">
      <formula>AND($D205&lt;&gt;"",Z$16&lt;&gt;"",Z205="")</formula>
    </cfRule>
    <cfRule type="expression" dxfId="761" priority="127">
      <formula>AND($A205="",ABS(Z205)=0)</formula>
    </cfRule>
    <cfRule type="expression" dxfId="760" priority="128">
      <formula>AND($A205="",ABS(Z205)&lt;10)</formula>
    </cfRule>
    <cfRule type="expression" dxfId="759" priority="129">
      <formula>AND($A205="",ABS(Z205)&lt;100)</formula>
    </cfRule>
    <cfRule type="expression" dxfId="758" priority="130">
      <formula>AND($A205="",ABS(Z205)&gt;=100)</formula>
    </cfRule>
  </conditionalFormatting>
  <conditionalFormatting sqref="Z188">
    <cfRule type="expression" dxfId="757" priority="121">
      <formula>AND($D188&lt;&gt;"",Z$16&lt;&gt;"",Z188="")</formula>
    </cfRule>
    <cfRule type="expression" dxfId="756" priority="122">
      <formula>AND($A188="",ABS(Z188)=0)</formula>
    </cfRule>
    <cfRule type="expression" dxfId="755" priority="123">
      <formula>AND($A188="",ABS(Z188)&lt;10)</formula>
    </cfRule>
    <cfRule type="expression" dxfId="754" priority="124">
      <formula>AND($A188="",ABS(Z188)&lt;100)</formula>
    </cfRule>
    <cfRule type="expression" dxfId="753" priority="125">
      <formula>AND($A188="",ABS(Z188)&gt;=100)</formula>
    </cfRule>
  </conditionalFormatting>
  <conditionalFormatting sqref="Z189">
    <cfRule type="expression" dxfId="752" priority="116">
      <formula>AND($D189&lt;&gt;"",Z$16&lt;&gt;"",Z189="")</formula>
    </cfRule>
    <cfRule type="expression" dxfId="751" priority="117">
      <formula>AND($A189="",ABS(Z189)=0)</formula>
    </cfRule>
    <cfRule type="expression" dxfId="750" priority="118">
      <formula>AND($A189="",ABS(Z189)&lt;10)</formula>
    </cfRule>
    <cfRule type="expression" dxfId="749" priority="119">
      <formula>AND($A189="",ABS(Z189)&lt;100)</formula>
    </cfRule>
    <cfRule type="expression" dxfId="748" priority="120">
      <formula>AND($A189="",ABS(Z189)&gt;=100)</formula>
    </cfRule>
  </conditionalFormatting>
  <conditionalFormatting sqref="Z190 Z192">
    <cfRule type="expression" dxfId="747" priority="111">
      <formula>AND($D190&lt;&gt;"",Z$16&lt;&gt;"",Z190="")</formula>
    </cfRule>
    <cfRule type="expression" dxfId="746" priority="112">
      <formula>AND($A190="",ABS(Z190)=0)</formula>
    </cfRule>
    <cfRule type="expression" dxfId="745" priority="113">
      <formula>AND($A190="",ABS(Z190)&lt;10)</formula>
    </cfRule>
    <cfRule type="expression" dxfId="744" priority="114">
      <formula>AND($A190="",ABS(Z190)&lt;100)</formula>
    </cfRule>
    <cfRule type="expression" dxfId="743" priority="115">
      <formula>AND($A190="",ABS(Z190)&gt;=100)</formula>
    </cfRule>
  </conditionalFormatting>
  <conditionalFormatting sqref="Z191">
    <cfRule type="expression" dxfId="742" priority="106">
      <formula>AND($D191&lt;&gt;"",Z$16&lt;&gt;"",Z191="")</formula>
    </cfRule>
    <cfRule type="expression" dxfId="741" priority="107">
      <formula>AND($A191="",ABS(Z191)=0)</formula>
    </cfRule>
    <cfRule type="expression" dxfId="740" priority="108">
      <formula>AND($A191="",ABS(Z191)&lt;10)</formula>
    </cfRule>
    <cfRule type="expression" dxfId="739" priority="109">
      <formula>AND($A191="",ABS(Z191)&lt;100)</formula>
    </cfRule>
    <cfRule type="expression" dxfId="738" priority="110">
      <formula>AND($A191="",ABS(Z191)&gt;=100)</formula>
    </cfRule>
  </conditionalFormatting>
  <conditionalFormatting sqref="Z206">
    <cfRule type="expression" dxfId="737" priority="101">
      <formula>AND($D206&lt;&gt;"",Z$16&lt;&gt;"",Z206="")</formula>
    </cfRule>
    <cfRule type="expression" dxfId="736" priority="102">
      <formula>AND($A206="",ABS(Z206)=0)</formula>
    </cfRule>
    <cfRule type="expression" dxfId="735" priority="103">
      <formula>AND($A206="",ABS(Z206)&lt;10)</formula>
    </cfRule>
    <cfRule type="expression" dxfId="734" priority="104">
      <formula>AND($A206="",ABS(Z206)&lt;100)</formula>
    </cfRule>
    <cfRule type="expression" dxfId="733" priority="105">
      <formula>AND($A206="",ABS(Z206)&gt;=100)</formula>
    </cfRule>
  </conditionalFormatting>
  <conditionalFormatting sqref="Z228">
    <cfRule type="expression" dxfId="732" priority="41">
      <formula>AND($D228&lt;&gt;"",Z$16&lt;&gt;"",Z228="")</formula>
    </cfRule>
    <cfRule type="expression" dxfId="731" priority="42">
      <formula>AND($A228="",ABS(Z228)=0)</formula>
    </cfRule>
    <cfRule type="expression" dxfId="730" priority="43">
      <formula>AND($A228="",ABS(Z228)&lt;10)</formula>
    </cfRule>
    <cfRule type="expression" dxfId="729" priority="44">
      <formula>AND($A228="",ABS(Z228)&lt;100)</formula>
    </cfRule>
    <cfRule type="expression" dxfId="728" priority="45">
      <formula>AND($A228="",ABS(Z228)&gt;=100)</formula>
    </cfRule>
  </conditionalFormatting>
  <conditionalFormatting sqref="Z207 Z209">
    <cfRule type="expression" dxfId="727" priority="91">
      <formula>AND($D207&lt;&gt;"",Z$16&lt;&gt;"",Z207="")</formula>
    </cfRule>
    <cfRule type="expression" dxfId="726" priority="92">
      <formula>AND($A207="",ABS(Z207)=0)</formula>
    </cfRule>
    <cfRule type="expression" dxfId="725" priority="93">
      <formula>AND($A207="",ABS(Z207)&lt;10)</formula>
    </cfRule>
    <cfRule type="expression" dxfId="724" priority="94">
      <formula>AND($A207="",ABS(Z207)&lt;100)</formula>
    </cfRule>
    <cfRule type="expression" dxfId="723" priority="95">
      <formula>AND($A207="",ABS(Z207)&gt;=100)</formula>
    </cfRule>
  </conditionalFormatting>
  <conditionalFormatting sqref="Z208">
    <cfRule type="expression" dxfId="722" priority="86">
      <formula>AND($D208&lt;&gt;"",Z$16&lt;&gt;"",Z208="")</formula>
    </cfRule>
    <cfRule type="expression" dxfId="721" priority="87">
      <formula>AND($A208="",ABS(Z208)=0)</formula>
    </cfRule>
    <cfRule type="expression" dxfId="720" priority="88">
      <formula>AND($A208="",ABS(Z208)&lt;10)</formula>
    </cfRule>
    <cfRule type="expression" dxfId="719" priority="89">
      <formula>AND($A208="",ABS(Z208)&lt;100)</formula>
    </cfRule>
    <cfRule type="expression" dxfId="718" priority="90">
      <formula>AND($A208="",ABS(Z208)&gt;=100)</formula>
    </cfRule>
  </conditionalFormatting>
  <conditionalFormatting sqref="Z211:Z212">
    <cfRule type="expression" dxfId="717" priority="81">
      <formula>AND($D211&lt;&gt;"",Z$16&lt;&gt;"",Z211="")</formula>
    </cfRule>
    <cfRule type="expression" dxfId="716" priority="82">
      <formula>AND($A211="",ABS(Z211)=0)</formula>
    </cfRule>
    <cfRule type="expression" dxfId="715" priority="83">
      <formula>AND($A211="",ABS(Z211)&lt;10)</formula>
    </cfRule>
    <cfRule type="expression" dxfId="714" priority="84">
      <formula>AND($A211="",ABS(Z211)&lt;100)</formula>
    </cfRule>
    <cfRule type="expression" dxfId="713" priority="85">
      <formula>AND($A211="",ABS(Z211)&gt;=100)</formula>
    </cfRule>
  </conditionalFormatting>
  <conditionalFormatting sqref="Z213">
    <cfRule type="expression" dxfId="712" priority="76">
      <formula>AND($D213&lt;&gt;"",Z$16&lt;&gt;"",Z213="")</formula>
    </cfRule>
    <cfRule type="expression" dxfId="711" priority="77">
      <formula>AND($A213="",ABS(Z213)=0)</formula>
    </cfRule>
    <cfRule type="expression" dxfId="710" priority="78">
      <formula>AND($A213="",ABS(Z213)&lt;10)</formula>
    </cfRule>
    <cfRule type="expression" dxfId="709" priority="79">
      <formula>AND($A213="",ABS(Z213)&lt;100)</formula>
    </cfRule>
    <cfRule type="expression" dxfId="708" priority="80">
      <formula>AND($A213="",ABS(Z213)&gt;=100)</formula>
    </cfRule>
  </conditionalFormatting>
  <conditionalFormatting sqref="Z221">
    <cfRule type="expression" dxfId="707" priority="71">
      <formula>AND($D221&lt;&gt;"",Z$16&lt;&gt;"",Z221="")</formula>
    </cfRule>
    <cfRule type="expression" dxfId="706" priority="72">
      <formula>AND($A221="",ABS(Z221)=0)</formula>
    </cfRule>
    <cfRule type="expression" dxfId="705" priority="73">
      <formula>AND($A221="",ABS(Z221)&lt;10)</formula>
    </cfRule>
    <cfRule type="expression" dxfId="704" priority="74">
      <formula>AND($A221="",ABS(Z221)&lt;100)</formula>
    </cfRule>
    <cfRule type="expression" dxfId="703" priority="75">
      <formula>AND($A221="",ABS(Z221)&gt;=100)</formula>
    </cfRule>
  </conditionalFormatting>
  <conditionalFormatting sqref="Z225">
    <cfRule type="expression" dxfId="702" priority="61">
      <formula>AND($D225&lt;&gt;"",Z$16&lt;&gt;"",Z225="")</formula>
    </cfRule>
    <cfRule type="expression" dxfId="701" priority="62">
      <formula>AND($A225="",ABS(Z225)=0)</formula>
    </cfRule>
    <cfRule type="expression" dxfId="700" priority="63">
      <formula>AND($A225="",ABS(Z225)&lt;10)</formula>
    </cfRule>
    <cfRule type="expression" dxfId="699" priority="64">
      <formula>AND($A225="",ABS(Z225)&lt;100)</formula>
    </cfRule>
    <cfRule type="expression" dxfId="698" priority="65">
      <formula>AND($A225="",ABS(Z225)&gt;=100)</formula>
    </cfRule>
  </conditionalFormatting>
  <conditionalFormatting sqref="Z226">
    <cfRule type="expression" dxfId="697" priority="56">
      <formula>AND($D226&lt;&gt;"",Z$16&lt;&gt;"",Z226="")</formula>
    </cfRule>
    <cfRule type="expression" dxfId="696" priority="57">
      <formula>AND($A226="",ABS(Z226)=0)</formula>
    </cfRule>
    <cfRule type="expression" dxfId="695" priority="58">
      <formula>AND($A226="",ABS(Z226)&lt;10)</formula>
    </cfRule>
    <cfRule type="expression" dxfId="694" priority="59">
      <formula>AND($A226="",ABS(Z226)&lt;100)</formula>
    </cfRule>
    <cfRule type="expression" dxfId="693" priority="60">
      <formula>AND($A226="",ABS(Z226)&gt;=100)</formula>
    </cfRule>
  </conditionalFormatting>
  <conditionalFormatting sqref="Z236">
    <cfRule type="expression" dxfId="692" priority="51">
      <formula>AND($D236&lt;&gt;"",Z$16&lt;&gt;"",Z236="")</formula>
    </cfRule>
    <cfRule type="expression" dxfId="691" priority="52">
      <formula>AND($A236="",ABS(Z236)=0)</formula>
    </cfRule>
    <cfRule type="expression" dxfId="690" priority="53">
      <formula>AND($A236="",ABS(Z236)&lt;10)</formula>
    </cfRule>
    <cfRule type="expression" dxfId="689" priority="54">
      <formula>AND($A236="",ABS(Z236)&lt;100)</formula>
    </cfRule>
    <cfRule type="expression" dxfId="688" priority="55">
      <formula>AND($A236="",ABS(Z236)&gt;=100)</formula>
    </cfRule>
  </conditionalFormatting>
  <conditionalFormatting sqref="Z237">
    <cfRule type="expression" dxfId="687" priority="46">
      <formula>AND($D237&lt;&gt;"",Z$16&lt;&gt;"",Z237="")</formula>
    </cfRule>
    <cfRule type="expression" dxfId="686" priority="47">
      <formula>AND($A237="",ABS(Z237)=0)</formula>
    </cfRule>
    <cfRule type="expression" dxfId="685" priority="48">
      <formula>AND($A237="",ABS(Z237)&lt;10)</formula>
    </cfRule>
    <cfRule type="expression" dxfId="684" priority="49">
      <formula>AND($A237="",ABS(Z237)&lt;100)</formula>
    </cfRule>
    <cfRule type="expression" dxfId="683" priority="50">
      <formula>AND($A237="",ABS(Z237)&gt;=100)</formula>
    </cfRule>
  </conditionalFormatting>
  <conditionalFormatting sqref="Z239">
    <cfRule type="expression" dxfId="682" priority="36">
      <formula>AND($D239&lt;&gt;"",Z$16&lt;&gt;"",Z239="")</formula>
    </cfRule>
    <cfRule type="expression" dxfId="681" priority="37">
      <formula>AND($A239="",ABS(Z239)=0)</formula>
    </cfRule>
    <cfRule type="expression" dxfId="680" priority="38">
      <formula>AND($A239="",ABS(Z239)&lt;10)</formula>
    </cfRule>
    <cfRule type="expression" dxfId="679" priority="39">
      <formula>AND($A239="",ABS(Z239)&lt;100)</formula>
    </cfRule>
    <cfRule type="expression" dxfId="678" priority="40">
      <formula>AND($A239="",ABS(Z239)&gt;=100)</formula>
    </cfRule>
  </conditionalFormatting>
  <conditionalFormatting sqref="Z240">
    <cfRule type="expression" dxfId="677" priority="31">
      <formula>AND($D240&lt;&gt;"",Z$16&lt;&gt;"",Z240="")</formula>
    </cfRule>
    <cfRule type="expression" dxfId="676" priority="32">
      <formula>AND($A240="",ABS(Z240)=0)</formula>
    </cfRule>
    <cfRule type="expression" dxfId="675" priority="33">
      <formula>AND($A240="",ABS(Z240)&lt;10)</formula>
    </cfRule>
    <cfRule type="expression" dxfId="674" priority="34">
      <formula>AND($A240="",ABS(Z240)&lt;100)</formula>
    </cfRule>
    <cfRule type="expression" dxfId="673" priority="35">
      <formula>AND($A240="",ABS(Z240)&gt;=100)</formula>
    </cfRule>
  </conditionalFormatting>
  <conditionalFormatting sqref="Z247">
    <cfRule type="expression" dxfId="672" priority="26">
      <formula>AND($D247&lt;&gt;"",Z$16&lt;&gt;"",Z247="")</formula>
    </cfRule>
    <cfRule type="expression" dxfId="671" priority="27">
      <formula>AND($A247="",ABS(Z247)=0)</formula>
    </cfRule>
    <cfRule type="expression" dxfId="670" priority="28">
      <formula>AND($A247="",ABS(Z247)&lt;10)</formula>
    </cfRule>
    <cfRule type="expression" dxfId="669" priority="29">
      <formula>AND($A247="",ABS(Z247)&lt;100)</formula>
    </cfRule>
    <cfRule type="expression" dxfId="668" priority="30">
      <formula>AND($A247="",ABS(Z247)&gt;=100)</formula>
    </cfRule>
  </conditionalFormatting>
  <conditionalFormatting sqref="Z248">
    <cfRule type="expression" dxfId="667" priority="16">
      <formula>AND($D248&lt;&gt;"",Z$16&lt;&gt;"",Z248="")</formula>
    </cfRule>
    <cfRule type="expression" dxfId="666" priority="17">
      <formula>AND($A248="",ABS(Z248)=0)</formula>
    </cfRule>
    <cfRule type="expression" dxfId="665" priority="18">
      <formula>AND($A248="",ABS(Z248)&lt;10)</formula>
    </cfRule>
    <cfRule type="expression" dxfId="664" priority="19">
      <formula>AND($A248="",ABS(Z248)&lt;100)</formula>
    </cfRule>
    <cfRule type="expression" dxfId="663" priority="20">
      <formula>AND($A248="",ABS(Z248)&gt;=100)</formula>
    </cfRule>
  </conditionalFormatting>
  <conditionalFormatting sqref="Z249">
    <cfRule type="expression" dxfId="662" priority="11">
      <formula>AND($D249&lt;&gt;"",Z$16&lt;&gt;"",Z249="")</formula>
    </cfRule>
    <cfRule type="expression" dxfId="661" priority="12">
      <formula>AND($A249="",ABS(Z249)=0)</formula>
    </cfRule>
    <cfRule type="expression" dxfId="660" priority="13">
      <formula>AND($A249="",ABS(Z249)&lt;10)</formula>
    </cfRule>
    <cfRule type="expression" dxfId="659" priority="14">
      <formula>AND($A249="",ABS(Z249)&lt;100)</formula>
    </cfRule>
    <cfRule type="expression" dxfId="658" priority="15">
      <formula>AND($A249="",ABS(Z249)&gt;=100)</formula>
    </cfRule>
  </conditionalFormatting>
  <conditionalFormatting sqref="Z251">
    <cfRule type="expression" dxfId="657" priority="6">
      <formula>AND($D251&lt;&gt;"",Z$16&lt;&gt;"",Z251="")</formula>
    </cfRule>
    <cfRule type="expression" dxfId="656" priority="7">
      <formula>AND($A251="",ABS(Z251)=0)</formula>
    </cfRule>
    <cfRule type="expression" dxfId="655" priority="8">
      <formula>AND($A251="",ABS(Z251)&lt;10)</formula>
    </cfRule>
    <cfRule type="expression" dxfId="654" priority="9">
      <formula>AND($A251="",ABS(Z251)&lt;100)</formula>
    </cfRule>
    <cfRule type="expression" dxfId="653" priority="10">
      <formula>AND($A251="",ABS(Z251)&gt;=100)</formula>
    </cfRule>
  </conditionalFormatting>
  <conditionalFormatting sqref="Z252">
    <cfRule type="expression" dxfId="652" priority="1">
      <formula>AND($D252&lt;&gt;"",Z$16&lt;&gt;"",Z252="")</formula>
    </cfRule>
    <cfRule type="expression" dxfId="651" priority="2">
      <formula>AND($A252="",ABS(Z252)=0)</formula>
    </cfRule>
    <cfRule type="expression" dxfId="650" priority="3">
      <formula>AND($A252="",ABS(Z252)&lt;10)</formula>
    </cfRule>
    <cfRule type="expression" dxfId="649" priority="4">
      <formula>AND($A252="",ABS(Z252)&lt;100)</formula>
    </cfRule>
    <cfRule type="expression" dxfId="648" priority="5">
      <formula>AND($A252="",ABS(Z252)&gt;=100)</formula>
    </cfRule>
  </conditionalFormatting>
  <dataValidations count="2">
    <dataValidation type="list" allowBlank="1" showInputMessage="1" showErrorMessage="1" sqref="G2" xr:uid="{00000000-0002-0000-0400-000000000000}">
      <formula1>Sprache</formula1>
    </dataValidation>
    <dataValidation allowBlank="1" showInputMessage="1" showErrorMessage="1" sqref="F2" xr:uid="{B8BC0E47-A281-4BEC-B71E-1120ABEFDE8C}"/>
  </dataValidations>
  <hyperlinks>
    <hyperlink ref="C7" location="GRI_203_2" display="GRI_203_2" xr:uid="{00000000-0004-0000-0400-000000000000}"/>
    <hyperlink ref="A16" location="GRI_203" display="Ó" xr:uid="{00000000-0004-0000-0400-000001000000}"/>
    <hyperlink ref="D2" location="Home" display="Home" xr:uid="{00000000-0004-0000-0400-000002000000}"/>
    <hyperlink ref="C8" location="GRI_203_2b" display="Poststellen" xr:uid="{00000000-0004-0000-0400-000003000000}"/>
    <hyperlink ref="C9" location="GRI_203_2c" display="Arbeitsplätze in den Regionen" xr:uid="{00000000-0004-0000-0400-000004000000}"/>
    <hyperlink ref="C10" location="GRI_203_2d" display="GRI_203_2d" xr:uid="{00000000-0004-0000-0400-000005000000}"/>
    <hyperlink ref="C11" location="GRI_203_2e" display="GRI_203_2e" xr:uid="{00000000-0004-0000-0400-000006000000}"/>
    <hyperlink ref="C12" location="GRI_203_2f" display="GRI_203_2f" xr:uid="{00000000-0004-0000-0400-000007000000}"/>
    <hyperlink ref="C13" location="GRI_203_2g" display="GRI_203_2g" xr:uid="{00000000-0004-0000-0400-000008000000}"/>
    <hyperlink ref="A39" location="GRI_203" display="Ó" xr:uid="{00000000-0004-0000-0400-000009000000}"/>
    <hyperlink ref="A58" location="GRI_203" display="Ó" xr:uid="{00000000-0004-0000-0400-00000A000000}"/>
    <hyperlink ref="A139" location="GRI_203" display="Ó" xr:uid="{00000000-0004-0000-0400-00000B000000}"/>
    <hyperlink ref="A216" location="GRI_203" display="Ó" xr:uid="{00000000-0004-0000-0400-00000C000000}"/>
    <hyperlink ref="A231" location="GRI_203" display="Ó" xr:uid="{00000000-0004-0000-0400-00000D000000}"/>
    <hyperlink ref="A243" location="GRI_203" display="Ó" xr:uid="{00000000-0004-0000-0400-00000E000000}"/>
  </hyperlinks>
  <pageMargins left="0.7" right="0.7" top="0.78740157499999996" bottom="0.78740157499999996" header="0.3" footer="0.3"/>
  <pageSetup paperSize="9" orientation="portrait" r:id="rId1"/>
  <ignoredErrors>
    <ignoredError sqref="E67:E88 E93:E119"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0">
    <tabColor rgb="FF006D68"/>
  </sheetPr>
  <dimension ref="A2:CE129"/>
  <sheetViews>
    <sheetView showGridLines="0" showRowColHeaders="0" zoomScaleNormal="100" workbookViewId="0">
      <pane xSplit="7" topLeftCell="H1" activePane="topRight" state="frozen"/>
      <selection activeCell="B73" sqref="B73"/>
      <selection pane="topRight" activeCell="B2" sqref="B2:C2"/>
    </sheetView>
  </sheetViews>
  <sheetFormatPr baseColWidth="10" defaultColWidth="10.85546875" defaultRowHeight="12.95" customHeight="1" x14ac:dyDescent="0.2"/>
  <cols>
    <col min="1" max="1" width="2.42578125" style="66" customWidth="1"/>
    <col min="2" max="2" width="2.42578125" style="1" customWidth="1"/>
    <col min="3" max="3" width="57.42578125" style="1" customWidth="1"/>
    <col min="4" max="4" width="17.85546875" style="1" customWidth="1"/>
    <col min="5" max="5" width="9.42578125" style="9" customWidth="1"/>
    <col min="6" max="6" width="14.140625" style="9" customWidth="1"/>
    <col min="7" max="7" width="2.42578125" style="34" customWidth="1"/>
    <col min="8" max="13" width="11.7109375" style="9" customWidth="1"/>
    <col min="14" max="19" width="11.7109375" style="11" customWidth="1"/>
    <col min="20" max="83" width="11.7109375" style="9" customWidth="1"/>
    <col min="84" max="16384" width="10.85546875" style="1"/>
  </cols>
  <sheetData>
    <row r="2" spans="1:83" s="97" customFormat="1" ht="26.1" customHeight="1" x14ac:dyDescent="0.2">
      <c r="A2" s="64"/>
      <c r="B2" s="406" t="str">
        <f>UPPER(RIGHT(Inhaltsverzeichnis!$C$21,LEN(Inhaltsverzeichnis!$C$21)-FIND(" – ",Inhaltsverzeichnis!$C$21,1)-2))</f>
        <v>ENERGIE</v>
      </c>
      <c r="C2" s="406"/>
      <c r="D2" s="402" t="str">
        <f>VLOOKUP(35,Textbausteine_Menu[],Hilfsgrössen!$D$2,FALSE)</f>
        <v>zurück zum Inhaltsverzeichnis</v>
      </c>
      <c r="E2" s="403"/>
      <c r="F2" s="91" t="s">
        <v>0</v>
      </c>
      <c r="G2" s="104"/>
      <c r="H2" s="27"/>
      <c r="I2" s="27"/>
      <c r="J2" s="27"/>
      <c r="K2" s="27"/>
      <c r="L2" s="27"/>
      <c r="M2" s="27"/>
      <c r="N2" s="71"/>
      <c r="O2" s="71"/>
      <c r="P2" s="71"/>
      <c r="Q2" s="71"/>
      <c r="R2" s="71"/>
      <c r="S2" s="71"/>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row>
    <row r="3" spans="1:83" s="98" customFormat="1" ht="26.1" customHeight="1" x14ac:dyDescent="0.2">
      <c r="A3" s="64"/>
      <c r="B3" s="407" t="str">
        <f>UPPER("GRI "&amp;LEFT(Inhaltsverzeichnis!$C$21,3))</f>
        <v>GRI 302</v>
      </c>
      <c r="C3" s="407"/>
      <c r="E3" s="117"/>
      <c r="F3" s="117"/>
      <c r="G3" s="32"/>
      <c r="H3" s="27"/>
      <c r="I3" s="27"/>
      <c r="J3" s="27"/>
      <c r="K3" s="27"/>
      <c r="L3" s="27"/>
      <c r="M3" s="27"/>
      <c r="N3" s="71"/>
      <c r="O3" s="71"/>
      <c r="P3" s="71"/>
      <c r="Q3" s="71"/>
      <c r="R3" s="71"/>
      <c r="S3" s="71"/>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row>
    <row r="6" spans="1:83" s="6" customFormat="1" ht="12.95" customHeight="1" x14ac:dyDescent="0.2">
      <c r="A6" s="66"/>
      <c r="B6" s="6" t="str">
        <f>VLOOKUP(31,Textbausteine_Menu[],Hilfsgrössen!$D$2,FALSE)</f>
        <v>Offenlegungen</v>
      </c>
      <c r="E6" s="28"/>
      <c r="F6" s="28"/>
      <c r="G6" s="33"/>
      <c r="H6" s="9"/>
      <c r="I6" s="9"/>
      <c r="J6" s="9"/>
      <c r="K6" s="9"/>
      <c r="L6" s="9"/>
      <c r="M6" s="9"/>
      <c r="N6" s="11"/>
      <c r="O6" s="11"/>
      <c r="P6" s="11"/>
      <c r="Q6" s="11"/>
      <c r="R6" s="11"/>
      <c r="S6" s="11"/>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row>
    <row r="7" spans="1:83" ht="12.95" customHeight="1" x14ac:dyDescent="0.2">
      <c r="B7" s="2"/>
      <c r="C7" s="119" t="str">
        <f>VLOOKUP(1,Textbausteine_302[],Hilfsgrössen!$D$2,FALSE)</f>
        <v>Energieverbrauch innerhalb und ausserhalb der Organisation</v>
      </c>
      <c r="D7" s="4"/>
    </row>
    <row r="8" spans="1:83" ht="12.95" customHeight="1" x14ac:dyDescent="0.2">
      <c r="B8" s="2"/>
      <c r="C8" s="119" t="str">
        <f>VLOOKUP(2,Textbausteine_302[],Hilfsgrössen!$D$2,FALSE)</f>
        <v>Weitere Energiekennzahlen</v>
      </c>
      <c r="D8" s="4"/>
    </row>
    <row r="9" spans="1:83" ht="12.95" customHeight="1" x14ac:dyDescent="0.2">
      <c r="B9" s="2"/>
    </row>
    <row r="10" spans="1:83" ht="12.95" customHeight="1" x14ac:dyDescent="0.2">
      <c r="B10" s="2"/>
      <c r="E10" s="28"/>
      <c r="F10" s="28"/>
      <c r="H10" s="11"/>
      <c r="I10" s="11"/>
      <c r="J10" s="11"/>
      <c r="K10" s="11"/>
      <c r="L10" s="11"/>
      <c r="M10" s="11"/>
      <c r="T10" s="7"/>
      <c r="U10" s="7"/>
      <c r="V10" s="7"/>
      <c r="W10" s="7"/>
      <c r="X10" s="7"/>
      <c r="Y10" s="7"/>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row>
    <row r="11" spans="1:83" s="78" customFormat="1" ht="12.95" customHeight="1" x14ac:dyDescent="0.2">
      <c r="A11" s="120" t="s">
        <v>27</v>
      </c>
      <c r="B11" s="401" t="str">
        <f>$C$7</f>
        <v>Energieverbrauch innerhalb und ausserhalb der Organisation</v>
      </c>
      <c r="C11" s="401"/>
      <c r="D11" s="78" t="str">
        <f>VLOOKUP(32,Textbausteine_Menu[],Hilfsgrössen!$D$2,FALSE)</f>
        <v>Einheit</v>
      </c>
      <c r="E11" s="72" t="str">
        <f>VLOOKUP(33,Textbausteine_Menu[],Hilfsgrössen!$D$2,FALSE)</f>
        <v>Fussnoten</v>
      </c>
      <c r="F11" s="72" t="str">
        <f>VLOOKUP(34,Textbausteine_Menu[],Hilfsgrössen!$D$2,FALSE)</f>
        <v>GRI</v>
      </c>
      <c r="G11" s="34"/>
      <c r="H11" s="72">
        <v>2010</v>
      </c>
      <c r="I11" s="72">
        <v>2011</v>
      </c>
      <c r="J11" s="72">
        <v>2012</v>
      </c>
      <c r="K11" s="72">
        <v>2013</v>
      </c>
      <c r="L11" s="72">
        <v>2014</v>
      </c>
      <c r="M11" s="72">
        <v>2015</v>
      </c>
      <c r="N11" s="74">
        <v>2016</v>
      </c>
      <c r="O11" s="74">
        <v>2017</v>
      </c>
      <c r="P11" s="74">
        <v>2018</v>
      </c>
      <c r="Q11" s="74" t="s">
        <v>146</v>
      </c>
      <c r="R11" s="72" t="s">
        <v>147</v>
      </c>
      <c r="S11" s="81">
        <v>2021</v>
      </c>
      <c r="T11" s="80"/>
      <c r="U11" s="74"/>
      <c r="V11" s="74"/>
      <c r="W11" s="74"/>
      <c r="X11" s="74"/>
      <c r="Y11" s="74"/>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row>
    <row r="12" spans="1:83" s="6" customFormat="1" ht="12.95" customHeight="1" x14ac:dyDescent="0.2">
      <c r="A12" s="66"/>
      <c r="B12" s="401"/>
      <c r="C12" s="401"/>
      <c r="E12" s="28"/>
      <c r="F12" s="28"/>
      <c r="G12" s="33"/>
      <c r="H12" s="9"/>
      <c r="I12" s="9"/>
      <c r="J12" s="9"/>
      <c r="K12" s="9"/>
      <c r="L12" s="9"/>
      <c r="M12" s="9"/>
      <c r="N12" s="11"/>
      <c r="O12" s="11"/>
      <c r="P12" s="11"/>
      <c r="Q12" s="11"/>
      <c r="R12" s="11"/>
      <c r="S12" s="82"/>
      <c r="T12" s="10"/>
      <c r="U12" s="7"/>
      <c r="V12" s="7"/>
      <c r="W12" s="7"/>
      <c r="X12" s="7"/>
      <c r="Y12" s="7"/>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row>
    <row r="13" spans="1:83" ht="12.95" customHeight="1" x14ac:dyDescent="0.2">
      <c r="B13" s="2"/>
      <c r="E13" s="68"/>
      <c r="G13" s="33"/>
      <c r="S13" s="82"/>
    </row>
    <row r="14" spans="1:83" ht="12.95" customHeight="1" x14ac:dyDescent="0.2">
      <c r="B14" s="2" t="str">
        <f>VLOOKUP(36,Textbausteine_Menu[],Hilfsgrössen!$D$2,FALSE)</f>
        <v>Konzern</v>
      </c>
      <c r="C14" s="2"/>
      <c r="D14" s="2"/>
      <c r="H14" s="11"/>
      <c r="I14" s="11"/>
      <c r="L14" s="85"/>
      <c r="M14" s="85"/>
      <c r="S14" s="82"/>
      <c r="T14" s="12"/>
      <c r="U14" s="15"/>
      <c r="V14" s="15"/>
      <c r="W14" s="15"/>
      <c r="X14" s="15"/>
      <c r="Y14" s="15"/>
    </row>
    <row r="15" spans="1:83" ht="12.95" customHeight="1" x14ac:dyDescent="0.2">
      <c r="C15" s="121" t="str">
        <f>VLOOKUP(31,Textbausteine_302[],Hilfsgrössen!$D$2,FALSE)</f>
        <v>Treibstoffverbrauch</v>
      </c>
      <c r="D15" s="16"/>
      <c r="H15" s="11"/>
      <c r="I15" s="11"/>
      <c r="L15" s="85"/>
      <c r="M15" s="85"/>
      <c r="S15" s="82"/>
      <c r="T15" s="12"/>
      <c r="U15" s="15"/>
      <c r="V15" s="15"/>
      <c r="W15" s="15"/>
      <c r="X15" s="15"/>
      <c r="Y15" s="15"/>
    </row>
    <row r="16" spans="1:83" ht="12.95" customHeight="1" x14ac:dyDescent="0.2">
      <c r="C16" s="17" t="str">
        <f>VLOOKUP(31,Textbausteine_302[],Hilfsgrössen!$D$2,FALSE)</f>
        <v>Treibstoffverbrauch</v>
      </c>
      <c r="D16" s="16" t="str">
        <f>VLOOKUP(11,Textbausteine_302[],Hilfsgrössen!$D$2,FALSE)</f>
        <v>GWh</v>
      </c>
      <c r="E16" s="9">
        <v>1</v>
      </c>
      <c r="H16" s="216">
        <f>SUM(H17,H28)</f>
        <v>1141.5601300707381</v>
      </c>
      <c r="I16" s="216">
        <f>SUM(I17,I28)</f>
        <v>1149.493855542866</v>
      </c>
      <c r="J16" s="216">
        <f>SUM(J17,J28)</f>
        <v>1197.244812174489</v>
      </c>
      <c r="K16" s="216">
        <f t="shared" ref="K16" si="0">SUM(K17,K28)</f>
        <v>1138.6504437543717</v>
      </c>
      <c r="L16" s="216">
        <f>SUM(L17,L28)</f>
        <v>1134.2495197794015</v>
      </c>
      <c r="M16" s="216">
        <f>SUM(M17,M28)</f>
        <v>1143.9663664568016</v>
      </c>
      <c r="N16" s="216">
        <f>SUM(N17,N28)</f>
        <v>1180.5568753905591</v>
      </c>
      <c r="O16" s="216">
        <f>SUM(O17,O28)</f>
        <v>1147.378730758021</v>
      </c>
      <c r="P16" s="216">
        <v>1159.0383935448001</v>
      </c>
      <c r="Q16" s="331">
        <f>Q17+Q28</f>
        <v>1229.42</v>
      </c>
      <c r="R16" s="331">
        <f t="shared" ref="R16" si="1">R17+R28</f>
        <v>1192.43</v>
      </c>
      <c r="S16" s="87">
        <f t="shared" ref="S16" si="2">S17+S28</f>
        <v>1279.3499999999999</v>
      </c>
      <c r="T16" s="12"/>
      <c r="U16" s="12"/>
      <c r="V16" s="12"/>
      <c r="W16" s="12"/>
      <c r="X16" s="12"/>
    </row>
    <row r="17" spans="3:25" ht="12.95" customHeight="1" x14ac:dyDescent="0.2">
      <c r="C17" s="122" t="str">
        <f>VLOOKUP(32,Textbausteine_302[],Hilfsgrössen!$D$2,FALSE)</f>
        <v>Treibstoffverbrauch (innerhalb der Post)</v>
      </c>
      <c r="D17" s="16" t="str">
        <f>VLOOKUP(11,Textbausteine_302[],Hilfsgrössen!$D$2,FALSE)</f>
        <v>GWh</v>
      </c>
      <c r="E17" s="9">
        <v>1</v>
      </c>
      <c r="F17" s="9" t="s">
        <v>148</v>
      </c>
      <c r="H17" s="212">
        <f>SUM(H19,H21:H22,H24)</f>
        <v>609.31514508888813</v>
      </c>
      <c r="I17" s="212">
        <f>SUM(I19,I21:I22,I24)</f>
        <v>621.85307296666599</v>
      </c>
      <c r="J17" s="198">
        <f>SUM(J19,J21:J22,J24)</f>
        <v>636.07586048888902</v>
      </c>
      <c r="K17" s="198">
        <f>SUM(K19,K21:K22,K24,K26)</f>
        <v>653.72490732221183</v>
      </c>
      <c r="L17" s="243">
        <f>SUM(L19,L21:L22,L24,L26)</f>
        <v>649.59068726110149</v>
      </c>
      <c r="M17" s="243">
        <f>SUM(M19,M21:M22,M24,M26)</f>
        <v>651.67637380774147</v>
      </c>
      <c r="N17" s="224">
        <f>SUM(N19,N21:N22,N24,N26)</f>
        <v>669.96657913647914</v>
      </c>
      <c r="O17" s="224">
        <f>SUM(O19,O21:O22,O24)</f>
        <v>658.08255089914098</v>
      </c>
      <c r="P17" s="224">
        <v>665.52959588715999</v>
      </c>
      <c r="Q17" s="332">
        <v>647.21</v>
      </c>
      <c r="R17" s="332">
        <v>627.61</v>
      </c>
      <c r="S17" s="87">
        <v>681.48</v>
      </c>
      <c r="T17" s="12"/>
      <c r="U17" s="15"/>
      <c r="V17" s="15"/>
      <c r="W17" s="15"/>
      <c r="X17" s="15"/>
      <c r="Y17" s="15"/>
    </row>
    <row r="18" spans="3:25" ht="12.95" customHeight="1" x14ac:dyDescent="0.2">
      <c r="C18" s="123" t="str">
        <f>VLOOKUP(33,Textbausteine_302[],Hilfsgrössen!$D$2,FALSE)</f>
        <v>Anteil an erneuerbaren Treibstoffen (innerhalb der Post)</v>
      </c>
      <c r="D18" s="16" t="str">
        <f>VLOOKUP(12,Textbausteine_302[],Hilfsgrössen!$D$2,FALSE)</f>
        <v>%</v>
      </c>
      <c r="E18" s="9">
        <v>1</v>
      </c>
      <c r="F18" s="9" t="s">
        <v>148</v>
      </c>
      <c r="H18" s="259">
        <v>0.35478541872998998</v>
      </c>
      <c r="I18" s="259">
        <v>1.1567168482984</v>
      </c>
      <c r="J18" s="260">
        <v>1.1485380847405</v>
      </c>
      <c r="K18" s="256">
        <v>1.1168743896872999</v>
      </c>
      <c r="L18" s="258">
        <v>1.0955225747880999</v>
      </c>
      <c r="M18" s="258">
        <v>1.5431254318726999</v>
      </c>
      <c r="N18" s="259">
        <v>1.252446342611</v>
      </c>
      <c r="O18" s="259">
        <v>1.2342065211546001</v>
      </c>
      <c r="P18" s="259">
        <v>1.2406316478727</v>
      </c>
      <c r="Q18" s="256">
        <v>1.24</v>
      </c>
      <c r="R18" s="256">
        <v>1.24</v>
      </c>
      <c r="S18" s="327">
        <v>1.4</v>
      </c>
      <c r="T18" s="12"/>
      <c r="U18" s="15"/>
      <c r="V18" s="15"/>
      <c r="W18" s="15"/>
      <c r="X18" s="15"/>
    </row>
    <row r="19" spans="3:25" ht="12.95" customHeight="1" x14ac:dyDescent="0.2">
      <c r="C19" s="124" t="str">
        <f>VLOOKUP(34,Textbausteine_302[],Hilfsgrössen!$D$2,FALSE)</f>
        <v>Diesel (innerhalb der Post)</v>
      </c>
      <c r="D19" s="16" t="str">
        <f>VLOOKUP(11,Textbausteine_302[],Hilfsgrössen!$D$2,FALSE)</f>
        <v>GWh</v>
      </c>
      <c r="E19" s="9">
        <v>1</v>
      </c>
      <c r="F19" s="9" t="s">
        <v>148</v>
      </c>
      <c r="H19" s="212">
        <v>544.40902000000006</v>
      </c>
      <c r="I19" s="212">
        <v>560.00621000000001</v>
      </c>
      <c r="J19" s="198">
        <v>582.90075000000002</v>
      </c>
      <c r="K19" s="198">
        <v>608.74079799999004</v>
      </c>
      <c r="L19" s="243">
        <v>607.69878899999003</v>
      </c>
      <c r="M19" s="243">
        <v>613.16696364972995</v>
      </c>
      <c r="N19" s="198">
        <v>637.89312152758998</v>
      </c>
      <c r="O19" s="198">
        <v>630.95065035518996</v>
      </c>
      <c r="P19" s="198">
        <v>639.84254149914</v>
      </c>
      <c r="Q19" s="198">
        <v>618.52</v>
      </c>
      <c r="R19" s="198">
        <v>599.65</v>
      </c>
      <c r="S19" s="87">
        <v>651.91999999999996</v>
      </c>
      <c r="T19" s="12"/>
      <c r="U19" s="15"/>
      <c r="V19" s="15"/>
      <c r="W19" s="15"/>
      <c r="X19" s="15"/>
      <c r="Y19" s="15"/>
    </row>
    <row r="20" spans="3:25" ht="12.95" customHeight="1" x14ac:dyDescent="0.2">
      <c r="C20" s="123" t="str">
        <f>VLOOKUP(35,Textbausteine_302[],Hilfsgrössen!$D$2,FALSE)</f>
        <v>Anteil an Biodiesel (innerhalb der Post)</v>
      </c>
      <c r="D20" s="16" t="str">
        <f>VLOOKUP(12,Textbausteine_302[],Hilfsgrössen!$D$2,FALSE)</f>
        <v>%</v>
      </c>
      <c r="E20" s="9">
        <v>1</v>
      </c>
      <c r="F20" s="9" t="s">
        <v>148</v>
      </c>
      <c r="H20" s="9" t="s">
        <v>30</v>
      </c>
      <c r="I20" s="9" t="s">
        <v>30</v>
      </c>
      <c r="J20" s="9" t="s">
        <v>30</v>
      </c>
      <c r="K20" s="9" t="s">
        <v>30</v>
      </c>
      <c r="L20" s="9" t="s">
        <v>30</v>
      </c>
      <c r="M20" s="258">
        <v>0.54443258490796997</v>
      </c>
      <c r="N20" s="256">
        <v>0.48426318195439999</v>
      </c>
      <c r="O20" s="256">
        <v>0.72887832434894995</v>
      </c>
      <c r="P20" s="256">
        <v>0.74692666051560996</v>
      </c>
      <c r="Q20" s="256">
        <v>0.73</v>
      </c>
      <c r="R20" s="256">
        <v>0.65</v>
      </c>
      <c r="S20" s="327">
        <v>0.78</v>
      </c>
      <c r="T20" s="11"/>
      <c r="Y20" s="15"/>
    </row>
    <row r="21" spans="3:25" ht="12.95" customHeight="1" x14ac:dyDescent="0.2">
      <c r="C21" s="124" t="str">
        <f>VLOOKUP(36,Textbausteine_302[],Hilfsgrössen!$D$2,FALSE)</f>
        <v>Benzin (innerhalb der Post)</v>
      </c>
      <c r="D21" s="16" t="str">
        <f>VLOOKUP(11,Textbausteine_302[],Hilfsgrössen!$D$2,FALSE)</f>
        <v>GWh</v>
      </c>
      <c r="E21" s="9">
        <v>1</v>
      </c>
      <c r="F21" s="9" t="s">
        <v>148</v>
      </c>
      <c r="H21" s="304">
        <v>47.134163999999998</v>
      </c>
      <c r="I21" s="304">
        <v>42.558746999999997</v>
      </c>
      <c r="J21" s="304">
        <v>41.277111333333998</v>
      </c>
      <c r="K21" s="304">
        <v>33.425691933332999</v>
      </c>
      <c r="L21" s="304">
        <v>30.902586244445001</v>
      </c>
      <c r="M21" s="304">
        <v>28.164445756945</v>
      </c>
      <c r="N21" s="304">
        <v>25.191793305556001</v>
      </c>
      <c r="O21" s="304">
        <v>22.953475213950998</v>
      </c>
      <c r="P21" s="304">
        <v>21.373896523271</v>
      </c>
      <c r="Q21" s="304">
        <v>24.18</v>
      </c>
      <c r="R21" s="304">
        <v>23.61</v>
      </c>
      <c r="S21" s="87">
        <v>24.72</v>
      </c>
    </row>
    <row r="22" spans="3:25" ht="12.95" customHeight="1" x14ac:dyDescent="0.2">
      <c r="C22" s="124" t="str">
        <f>VLOOKUP(37,Textbausteine_302[],Hilfsgrössen!$D$2,FALSE)</f>
        <v>Erdgas (innerhalb der Post)</v>
      </c>
      <c r="D22" s="16" t="str">
        <f>VLOOKUP(11,Textbausteine_302[],Hilfsgrössen!$D$2,FALSE)</f>
        <v>GWh</v>
      </c>
      <c r="E22" s="9" t="s">
        <v>97</v>
      </c>
      <c r="F22" s="9" t="s">
        <v>148</v>
      </c>
      <c r="H22" s="304">
        <v>17.359948088888</v>
      </c>
      <c r="I22" s="304">
        <v>18.315607966666001</v>
      </c>
      <c r="J22" s="304">
        <v>10.627592155555</v>
      </c>
      <c r="K22" s="304">
        <v>8.6863183888887008</v>
      </c>
      <c r="L22" s="304">
        <v>7.7856172666664998</v>
      </c>
      <c r="M22" s="304">
        <v>7.3162420243998003</v>
      </c>
      <c r="N22" s="304">
        <v>3.4726373333331999</v>
      </c>
      <c r="O22" s="304">
        <v>1.4541024</v>
      </c>
      <c r="P22" s="304">
        <v>1.2843088647576999</v>
      </c>
      <c r="Q22" s="304">
        <v>0.7</v>
      </c>
      <c r="R22" s="304">
        <v>0.12</v>
      </c>
      <c r="S22" s="87">
        <v>0.09</v>
      </c>
    </row>
    <row r="23" spans="3:25" ht="12.95" customHeight="1" x14ac:dyDescent="0.2">
      <c r="C23" s="123" t="str">
        <f>VLOOKUP(38,Textbausteine_302[],Hilfsgrössen!$D$2,FALSE)</f>
        <v>Anteil an Biogas (innerhalb der Post)</v>
      </c>
      <c r="D23" s="16" t="str">
        <f>VLOOKUP(12,Textbausteine_302[],Hilfsgrössen!$D$2,FALSE)</f>
        <v>%</v>
      </c>
      <c r="E23" s="9" t="s">
        <v>97</v>
      </c>
      <c r="F23" s="9" t="s">
        <v>148</v>
      </c>
      <c r="H23" s="304">
        <v>10.079225352112999</v>
      </c>
      <c r="I23" s="304">
        <v>33.963225670629001</v>
      </c>
      <c r="J23" s="304">
        <v>56.787712750162001</v>
      </c>
      <c r="K23" s="304">
        <v>52.064144858813997</v>
      </c>
      <c r="L23" s="304">
        <v>51.146533797846999</v>
      </c>
      <c r="M23" s="304">
        <v>51.490128563768998</v>
      </c>
      <c r="N23" s="304">
        <v>55.482631740411001</v>
      </c>
      <c r="O23" s="304">
        <v>54.941955944781</v>
      </c>
      <c r="P23" s="304">
        <v>34.942316219422999</v>
      </c>
      <c r="Q23" s="304">
        <v>15.41</v>
      </c>
      <c r="R23" s="304">
        <v>49.05</v>
      </c>
      <c r="S23" s="87">
        <v>64.430000000000007</v>
      </c>
    </row>
    <row r="24" spans="3:25" ht="12.95" customHeight="1" x14ac:dyDescent="0.2">
      <c r="C24" s="124" t="str">
        <f>VLOOKUP(39,Textbausteine_302[],Hilfsgrössen!$D$2,FALSE)</f>
        <v>Strom verwendet als Treibstoff (innerhalb der Post)</v>
      </c>
      <c r="D24" s="16" t="str">
        <f>VLOOKUP(11,Textbausteine_302[],Hilfsgrössen!$D$2,FALSE)</f>
        <v>GWh</v>
      </c>
      <c r="E24" s="9" t="s">
        <v>97</v>
      </c>
      <c r="F24" s="9" t="s">
        <v>148</v>
      </c>
      <c r="H24" s="256">
        <v>0.41201300000000002</v>
      </c>
      <c r="I24" s="256">
        <v>0.97250800000000004</v>
      </c>
      <c r="J24" s="256">
        <v>1.2704070000000001</v>
      </c>
      <c r="K24" s="256">
        <v>1.812209</v>
      </c>
      <c r="L24" s="256">
        <v>2.240424</v>
      </c>
      <c r="M24" s="256">
        <v>2.3199797100000001</v>
      </c>
      <c r="N24" s="256">
        <v>2.7038777199999999</v>
      </c>
      <c r="O24" s="256">
        <v>2.72432293</v>
      </c>
      <c r="P24" s="256">
        <v>3.0288490000000001</v>
      </c>
      <c r="Q24" s="256">
        <v>3.81</v>
      </c>
      <c r="R24" s="256">
        <v>4.2300000000000004</v>
      </c>
      <c r="S24" s="327">
        <v>4.74</v>
      </c>
    </row>
    <row r="25" spans="3:25" ht="12.95" customHeight="1" x14ac:dyDescent="0.2">
      <c r="C25" s="123" t="str">
        <f>VLOOKUP(40,Textbausteine_302[],Hilfsgrössen!$D$2,FALSE)</f>
        <v>Anteil an erneuerbarem Strom verwendet als Treibstoff (innerhalb der Post)</v>
      </c>
      <c r="D25" s="16" t="str">
        <f>VLOOKUP(12,Textbausteine_302[],Hilfsgrössen!$D$2,FALSE)</f>
        <v>%</v>
      </c>
      <c r="E25" s="9" t="s">
        <v>149</v>
      </c>
      <c r="F25" s="9" t="s">
        <v>148</v>
      </c>
      <c r="H25" s="9">
        <v>100</v>
      </c>
      <c r="I25" s="9">
        <v>100</v>
      </c>
      <c r="J25" s="9">
        <v>100</v>
      </c>
      <c r="K25" s="9">
        <v>100</v>
      </c>
      <c r="L25" s="9">
        <v>100</v>
      </c>
      <c r="M25" s="9">
        <v>100</v>
      </c>
      <c r="N25" s="9">
        <v>100</v>
      </c>
      <c r="O25" s="9">
        <v>100</v>
      </c>
      <c r="P25" s="9">
        <v>100</v>
      </c>
      <c r="Q25" s="9">
        <v>95.89</v>
      </c>
      <c r="R25" s="9">
        <v>95.75</v>
      </c>
      <c r="S25" s="324">
        <v>100</v>
      </c>
    </row>
    <row r="26" spans="3:25" ht="12.95" customHeight="1" x14ac:dyDescent="0.2">
      <c r="C26" s="124" t="str">
        <f>VLOOKUP(41,Textbausteine_302[],Hilfsgrössen!$D$2,FALSE)</f>
        <v>Wasserstoff (innerhalb der Post)</v>
      </c>
      <c r="D26" s="16" t="str">
        <f>VLOOKUP(11,Textbausteine_302[],Hilfsgrössen!$D$2,FALSE)</f>
        <v>GWh</v>
      </c>
      <c r="E26" s="9" t="s">
        <v>97</v>
      </c>
      <c r="F26" s="9" t="s">
        <v>148</v>
      </c>
      <c r="H26" s="9" t="s">
        <v>30</v>
      </c>
      <c r="I26" s="9" t="s">
        <v>30</v>
      </c>
      <c r="J26" s="9" t="s">
        <v>30</v>
      </c>
      <c r="K26" s="9">
        <v>1.05989</v>
      </c>
      <c r="L26" s="9">
        <v>0.96327074999999995</v>
      </c>
      <c r="M26" s="9">
        <v>0.70874266666666996</v>
      </c>
      <c r="N26" s="9">
        <v>0.70514924999999995</v>
      </c>
      <c r="O26" s="9" t="s">
        <v>30</v>
      </c>
      <c r="P26" s="9" t="s">
        <v>30</v>
      </c>
      <c r="Q26" s="9" t="s">
        <v>30</v>
      </c>
      <c r="R26" s="9" t="s">
        <v>30</v>
      </c>
      <c r="S26" s="87" t="s">
        <v>30</v>
      </c>
    </row>
    <row r="27" spans="3:25" ht="12.95" customHeight="1" x14ac:dyDescent="0.2">
      <c r="C27" s="123" t="str">
        <f>VLOOKUP(42,Textbausteine_302[],Hilfsgrössen!$D$2,FALSE)</f>
        <v>Anteil an erneuerbarem Wasserstoff (innerhalb der Post)</v>
      </c>
      <c r="D27" s="16" t="str">
        <f>VLOOKUP(12,Textbausteine_302[],Hilfsgrössen!$D$2,FALSE)</f>
        <v>%</v>
      </c>
      <c r="E27" s="9" t="s">
        <v>97</v>
      </c>
      <c r="F27" s="9" t="s">
        <v>148</v>
      </c>
      <c r="H27" s="9" t="s">
        <v>30</v>
      </c>
      <c r="I27" s="9" t="s">
        <v>30</v>
      </c>
      <c r="J27" s="9" t="s">
        <v>30</v>
      </c>
      <c r="K27" s="9">
        <v>91.2</v>
      </c>
      <c r="L27" s="9">
        <v>92.8</v>
      </c>
      <c r="M27" s="9">
        <v>89</v>
      </c>
      <c r="N27" s="9">
        <v>95.2</v>
      </c>
      <c r="O27" s="9" t="s">
        <v>30</v>
      </c>
      <c r="P27" s="9" t="s">
        <v>30</v>
      </c>
      <c r="Q27" s="9" t="s">
        <v>30</v>
      </c>
      <c r="R27" s="9" t="s">
        <v>30</v>
      </c>
      <c r="S27" s="87" t="s">
        <v>30</v>
      </c>
    </row>
    <row r="28" spans="3:25" ht="12.95" customHeight="1" x14ac:dyDescent="0.2">
      <c r="C28" s="122" t="str">
        <f>VLOOKUP(43,Textbausteine_302[],Hilfsgrössen!$D$2,FALSE)</f>
        <v>Treibstoffverbauch (ausserhalb der Post)</v>
      </c>
      <c r="D28" s="16" t="str">
        <f>VLOOKUP(11,Textbausteine_302[],Hilfsgrössen!$D$2,FALSE)</f>
        <v>GWh</v>
      </c>
      <c r="E28" s="9">
        <v>1</v>
      </c>
      <c r="F28" s="9" t="s">
        <v>150</v>
      </c>
      <c r="H28" s="9">
        <v>532.24498498185005</v>
      </c>
      <c r="I28" s="9">
        <v>527.64078257619997</v>
      </c>
      <c r="J28" s="9">
        <v>561.16895168559995</v>
      </c>
      <c r="K28" s="9">
        <v>484.92553643216002</v>
      </c>
      <c r="L28" s="9">
        <v>484.65883251830002</v>
      </c>
      <c r="M28" s="9">
        <v>492.28999264906003</v>
      </c>
      <c r="N28" s="9">
        <v>510.59029625407999</v>
      </c>
      <c r="O28" s="9">
        <v>489.29617985888001</v>
      </c>
      <c r="P28" s="9">
        <v>493.50879765768002</v>
      </c>
      <c r="Q28" s="9">
        <v>582.21</v>
      </c>
      <c r="R28" s="9">
        <v>564.82000000000005</v>
      </c>
      <c r="S28" s="87">
        <v>597.87</v>
      </c>
    </row>
    <row r="29" spans="3:25" ht="12.95" customHeight="1" x14ac:dyDescent="0.2">
      <c r="C29" s="122"/>
      <c r="D29" s="16"/>
      <c r="N29" s="9"/>
      <c r="O29" s="9"/>
      <c r="P29" s="9"/>
      <c r="Q29" s="9"/>
      <c r="R29" s="9"/>
      <c r="S29" s="87"/>
    </row>
    <row r="30" spans="3:25" ht="12.95" customHeight="1" x14ac:dyDescent="0.2">
      <c r="C30" s="121" t="str">
        <f>VLOOKUP(44,Textbausteine_302[],Hilfsgrössen!$D$2,FALSE)</f>
        <v>Brennstoffverbrauch</v>
      </c>
      <c r="D30" s="16"/>
      <c r="F30" s="11"/>
      <c r="N30" s="9"/>
      <c r="O30" s="9"/>
      <c r="P30" s="9"/>
      <c r="Q30" s="9"/>
      <c r="R30" s="9"/>
      <c r="S30" s="87"/>
    </row>
    <row r="31" spans="3:25" ht="12.95" customHeight="1" x14ac:dyDescent="0.2">
      <c r="C31" s="17" t="str">
        <f>VLOOKUP(44,Textbausteine_302[],Hilfsgrössen!$D$2,FALSE)</f>
        <v>Brennstoffverbrauch</v>
      </c>
      <c r="D31" s="16" t="str">
        <f>VLOOKUP(11,Textbausteine_302[],Hilfsgrössen!$D$2,FALSE)</f>
        <v>GWh</v>
      </c>
      <c r="E31" s="9">
        <v>1</v>
      </c>
      <c r="G31" s="303"/>
      <c r="H31" s="9">
        <v>197.44983799999898</v>
      </c>
      <c r="I31" s="9">
        <v>166.77795333333202</v>
      </c>
      <c r="J31" s="9">
        <v>162.46546533333299</v>
      </c>
      <c r="K31" s="9">
        <v>144.567847495053</v>
      </c>
      <c r="L31" s="9">
        <v>133.73786956666601</v>
      </c>
      <c r="M31" s="9">
        <v>134.609974516666</v>
      </c>
      <c r="N31" s="9">
        <v>135.64601366666599</v>
      </c>
      <c r="O31" s="9">
        <v>134.533306227297</v>
      </c>
      <c r="P31" s="9">
        <v>159.86959143796</v>
      </c>
      <c r="Q31" s="9">
        <f>Q32+Q43</f>
        <v>156.51999999999998</v>
      </c>
      <c r="R31" s="9">
        <f t="shared" ref="R31" si="3">R32+R43</f>
        <v>153.65</v>
      </c>
      <c r="S31" s="87">
        <f t="shared" ref="S31" si="4">S32+S43</f>
        <v>156.69999999999999</v>
      </c>
    </row>
    <row r="32" spans="3:25" ht="12.95" customHeight="1" x14ac:dyDescent="0.2">
      <c r="C32" s="122" t="str">
        <f>VLOOKUP(45,Textbausteine_302[],Hilfsgrössen!$D$2,FALSE)</f>
        <v>Brennstoffverbrauch (innerhalb der Post)</v>
      </c>
      <c r="D32" s="16" t="str">
        <f>VLOOKUP(11,Textbausteine_302[],Hilfsgrössen!$D$2,FALSE)</f>
        <v>GWh</v>
      </c>
      <c r="E32" s="9">
        <v>1</v>
      </c>
      <c r="F32" s="9" t="s">
        <v>148</v>
      </c>
      <c r="H32" s="9">
        <v>100.882782833333</v>
      </c>
      <c r="I32" s="9">
        <v>85.45137166666602</v>
      </c>
      <c r="J32" s="9">
        <v>95.44584233333299</v>
      </c>
      <c r="K32" s="9">
        <v>78.260579333332998</v>
      </c>
      <c r="L32" s="9">
        <v>78.104861999999997</v>
      </c>
      <c r="M32" s="9">
        <v>79.642092000000005</v>
      </c>
      <c r="N32" s="9">
        <v>79.983076833333001</v>
      </c>
      <c r="O32" s="9">
        <v>76.252287333333001</v>
      </c>
      <c r="P32" s="9">
        <v>96.372365888888993</v>
      </c>
      <c r="Q32" s="9">
        <v>93.52</v>
      </c>
      <c r="R32" s="9">
        <v>93.33</v>
      </c>
      <c r="S32" s="87">
        <v>101.39</v>
      </c>
    </row>
    <row r="33" spans="3:19" ht="12.95" customHeight="1" x14ac:dyDescent="0.2">
      <c r="C33" s="123" t="str">
        <f>VLOOKUP(46,Textbausteine_302[],Hilfsgrössen!$D$2,FALSE)</f>
        <v>Anteil an erneuerbaren Brennstoffen (innerhalb der Post)</v>
      </c>
      <c r="D33" s="16" t="str">
        <f>VLOOKUP(12,Textbausteine_302[],Hilfsgrössen!$D$2,FALSE)</f>
        <v>%</v>
      </c>
      <c r="E33" s="9">
        <v>1</v>
      </c>
      <c r="F33" s="9" t="s">
        <v>148</v>
      </c>
      <c r="H33" s="256">
        <v>9.8889626330711007</v>
      </c>
      <c r="I33" s="256">
        <v>8.4005998089798002</v>
      </c>
      <c r="J33" s="256">
        <v>8.7451638922550998</v>
      </c>
      <c r="K33" s="256">
        <v>9.4947815098100001</v>
      </c>
      <c r="L33" s="256">
        <v>13.149458430124</v>
      </c>
      <c r="M33" s="256">
        <v>14.406724736997999</v>
      </c>
      <c r="N33" s="256">
        <v>14.396322900954001</v>
      </c>
      <c r="O33" s="256">
        <v>18.165597460392</v>
      </c>
      <c r="P33" s="256">
        <v>37.376533286612002</v>
      </c>
      <c r="Q33" s="256">
        <v>37.14</v>
      </c>
      <c r="R33" s="256">
        <v>36.869999999999997</v>
      </c>
      <c r="S33" s="327">
        <v>38.6</v>
      </c>
    </row>
    <row r="34" spans="3:19" ht="12.95" customHeight="1" x14ac:dyDescent="0.2">
      <c r="C34" s="124" t="str">
        <f>VLOOKUP(47,Textbausteine_302[],Hilfsgrössen!$D$2,FALSE)</f>
        <v>Heizöl Extraleicht (innerhalb der Post)</v>
      </c>
      <c r="D34" s="16" t="str">
        <f>VLOOKUP(11,Textbausteine_302[],Hilfsgrössen!$D$2,FALSE)</f>
        <v>GWh</v>
      </c>
      <c r="E34" s="9">
        <v>1</v>
      </c>
      <c r="F34" s="11" t="s">
        <v>148</v>
      </c>
      <c r="H34" s="9">
        <v>60.484234833332998</v>
      </c>
      <c r="I34" s="9">
        <v>50.574408666666002</v>
      </c>
      <c r="J34" s="9">
        <v>51.829524333332998</v>
      </c>
      <c r="K34" s="9">
        <v>43.358942333332998</v>
      </c>
      <c r="L34" s="9">
        <v>33.214683000000001</v>
      </c>
      <c r="M34" s="9">
        <v>30.504086999999998</v>
      </c>
      <c r="N34" s="9">
        <v>28.167044833333001</v>
      </c>
      <c r="O34" s="9">
        <v>27.763987333332999</v>
      </c>
      <c r="P34" s="9">
        <v>25.296445833332999</v>
      </c>
      <c r="Q34" s="9">
        <v>25.98</v>
      </c>
      <c r="R34" s="9">
        <v>23.53</v>
      </c>
      <c r="S34" s="87">
        <v>24.2</v>
      </c>
    </row>
    <row r="35" spans="3:19" ht="12.95" customHeight="1" x14ac:dyDescent="0.2">
      <c r="C35" s="124" t="str">
        <f>VLOOKUP(48,Textbausteine_302[],Hilfsgrössen!$D$2,FALSE)</f>
        <v>Erdgas (innerhalb der Post)</v>
      </c>
      <c r="D35" s="16" t="str">
        <f>VLOOKUP(11,Textbausteine_302[],Hilfsgrössen!$D$2,FALSE)</f>
        <v>GWh</v>
      </c>
      <c r="E35" s="11">
        <v>1</v>
      </c>
      <c r="F35" s="11" t="s">
        <v>148</v>
      </c>
      <c r="G35" s="303"/>
      <c r="H35" s="9">
        <v>19.330335999999999</v>
      </c>
      <c r="I35" s="9">
        <v>19.300885000000001</v>
      </c>
      <c r="J35" s="9">
        <v>25.737584999999999</v>
      </c>
      <c r="K35" s="9">
        <v>18.861450000000001</v>
      </c>
      <c r="L35" s="9">
        <v>20.544436999999999</v>
      </c>
      <c r="M35" s="9">
        <v>19.133552999999999</v>
      </c>
      <c r="N35" s="9">
        <v>18.24288</v>
      </c>
      <c r="O35" s="9">
        <v>16.296202999999998</v>
      </c>
      <c r="P35" s="9">
        <v>28.467953000000001</v>
      </c>
      <c r="Q35" s="9">
        <v>27.49</v>
      </c>
      <c r="R35" s="9">
        <v>29.56</v>
      </c>
      <c r="S35" s="87">
        <v>30.25</v>
      </c>
    </row>
    <row r="36" spans="3:19" ht="12.95" customHeight="1" x14ac:dyDescent="0.2">
      <c r="C36" s="123" t="str">
        <f>VLOOKUP(49,Textbausteine_302[],Hilfsgrössen!$D$2,FALSE)</f>
        <v>Anteil an Biogas (innerhalb der Post)</v>
      </c>
      <c r="D36" s="16" t="str">
        <f>VLOOKUP(12,Textbausteine_302[],Hilfsgrössen!$D$2,FALSE)</f>
        <v>%</v>
      </c>
      <c r="E36" s="11" t="s">
        <v>97</v>
      </c>
      <c r="F36" s="9" t="s">
        <v>148</v>
      </c>
      <c r="G36" s="303"/>
      <c r="H36" s="256">
        <v>0</v>
      </c>
      <c r="I36" s="256">
        <v>0</v>
      </c>
      <c r="J36" s="256">
        <v>0</v>
      </c>
      <c r="K36" s="256">
        <v>0</v>
      </c>
      <c r="L36" s="256">
        <v>6.0080541511067</v>
      </c>
      <c r="M36" s="256">
        <v>6.5253128888293999</v>
      </c>
      <c r="N36" s="256">
        <v>6.4321845015698997</v>
      </c>
      <c r="O36" s="256">
        <v>13.380348784315</v>
      </c>
      <c r="P36" s="256">
        <v>6.8018929917440998</v>
      </c>
      <c r="Q36" s="256">
        <v>6.63</v>
      </c>
      <c r="R36" s="256">
        <v>6.49</v>
      </c>
      <c r="S36" s="327">
        <v>0</v>
      </c>
    </row>
    <row r="37" spans="3:19" ht="12.95" customHeight="1" x14ac:dyDescent="0.2">
      <c r="C37" s="124" t="str">
        <f>VLOOKUP(50,Textbausteine_302[],Hilfsgrössen!$D$2,FALSE)</f>
        <v>Fernwärme (innerhalb der Post)</v>
      </c>
      <c r="D37" s="16" t="str">
        <f>VLOOKUP(11,Textbausteine_302[],Hilfsgrössen!$D$2,FALSE)</f>
        <v>GWh</v>
      </c>
      <c r="E37" s="11">
        <v>1</v>
      </c>
      <c r="F37" s="9" t="s">
        <v>148</v>
      </c>
      <c r="H37" s="9">
        <v>19.435192000000001</v>
      </c>
      <c r="I37" s="9">
        <v>13.943058000000001</v>
      </c>
      <c r="J37" s="9">
        <v>16.245712999999999</v>
      </c>
      <c r="K37" s="9">
        <v>14.407166999999999</v>
      </c>
      <c r="L37" s="9">
        <v>15.621492999999999</v>
      </c>
      <c r="M37" s="9">
        <v>16.353833000000002</v>
      </c>
      <c r="N37" s="9">
        <v>15.255806</v>
      </c>
      <c r="O37" s="9">
        <v>13.918751</v>
      </c>
      <c r="P37" s="9">
        <v>21.470220000000001</v>
      </c>
      <c r="Q37" s="9">
        <v>17.989999999999998</v>
      </c>
      <c r="R37" s="9">
        <v>19.52</v>
      </c>
      <c r="S37" s="87">
        <v>19.649999999999999</v>
      </c>
    </row>
    <row r="38" spans="3:19" ht="12.95" customHeight="1" x14ac:dyDescent="0.2">
      <c r="C38" s="123" t="str">
        <f>VLOOKUP(51,Textbausteine_302[],Hilfsgrössen!$D$2,FALSE)</f>
        <v>Anteil an erneuerbarer Fernwärme (innerhalb der Post)</v>
      </c>
      <c r="D38" s="16" t="str">
        <f>VLOOKUP(12,Textbausteine_302[],Hilfsgrössen!$D$2,FALSE)</f>
        <v>%</v>
      </c>
      <c r="E38" s="9">
        <v>1</v>
      </c>
      <c r="F38" s="11" t="s">
        <v>148</v>
      </c>
      <c r="H38" s="9">
        <v>50.5</v>
      </c>
      <c r="I38" s="9">
        <v>50.5</v>
      </c>
      <c r="J38" s="9">
        <v>50.5</v>
      </c>
      <c r="K38" s="9">
        <v>50.5</v>
      </c>
      <c r="L38" s="9">
        <v>50.5</v>
      </c>
      <c r="M38" s="9">
        <v>50.5</v>
      </c>
      <c r="N38" s="9">
        <v>50.5</v>
      </c>
      <c r="O38" s="9">
        <v>60.3</v>
      </c>
      <c r="P38" s="9">
        <v>60.3</v>
      </c>
      <c r="Q38" s="9">
        <v>60.3</v>
      </c>
      <c r="R38" s="9">
        <v>60.3</v>
      </c>
      <c r="S38" s="87">
        <v>60.3</v>
      </c>
    </row>
    <row r="39" spans="3:19" ht="12.95" customHeight="1" x14ac:dyDescent="0.2">
      <c r="C39" s="124" t="str">
        <f>VLOOKUP(52,Textbausteine_302[],Hilfsgrössen!$D$2,FALSE)</f>
        <v>Holz (innerhalb der Post)</v>
      </c>
      <c r="D39" s="16" t="str">
        <f>VLOOKUP(11,Textbausteine_302[],Hilfsgrössen!$D$2,FALSE)</f>
        <v>GWh</v>
      </c>
      <c r="E39" s="9">
        <v>1</v>
      </c>
      <c r="F39" s="11" t="s">
        <v>148</v>
      </c>
      <c r="H39" s="9" t="s">
        <v>30</v>
      </c>
      <c r="I39" s="9" t="s">
        <v>30</v>
      </c>
      <c r="J39" s="9" t="s">
        <v>30</v>
      </c>
      <c r="K39" s="9" t="s">
        <v>30</v>
      </c>
      <c r="L39" s="9" t="s">
        <v>30</v>
      </c>
      <c r="M39" s="9" t="s">
        <v>30</v>
      </c>
      <c r="N39" s="9" t="s">
        <v>30</v>
      </c>
      <c r="O39" s="9" t="s">
        <v>30</v>
      </c>
      <c r="P39" s="256">
        <v>0.41493005555556001</v>
      </c>
      <c r="Q39" s="256">
        <v>0.71</v>
      </c>
      <c r="R39" s="256">
        <v>0.75</v>
      </c>
      <c r="S39" s="327">
        <v>0.88</v>
      </c>
    </row>
    <row r="40" spans="3:19" ht="12.95" customHeight="1" x14ac:dyDescent="0.2">
      <c r="C40" s="124" t="str">
        <f>VLOOKUP(53,Textbausteine_302[],Hilfsgrössen!$D$2,FALSE)</f>
        <v>Strom verwendet als Brennstoff (innerhalb der Post)</v>
      </c>
      <c r="D40" s="16" t="str">
        <f>VLOOKUP(11,Textbausteine_302[],Hilfsgrössen!$D$2,FALSE)</f>
        <v>GWh</v>
      </c>
      <c r="E40" s="11" t="s">
        <v>95</v>
      </c>
      <c r="F40" s="11" t="s">
        <v>148</v>
      </c>
      <c r="G40" s="303"/>
      <c r="H40" s="9">
        <v>0</v>
      </c>
      <c r="I40" s="9">
        <v>0</v>
      </c>
      <c r="J40" s="9">
        <v>0</v>
      </c>
      <c r="K40" s="9">
        <v>0</v>
      </c>
      <c r="L40" s="9">
        <v>0</v>
      </c>
      <c r="M40" s="9">
        <v>0</v>
      </c>
      <c r="N40" s="9">
        <v>0</v>
      </c>
      <c r="O40" s="9">
        <v>0</v>
      </c>
      <c r="P40" s="256">
        <v>4.6756089999999997</v>
      </c>
      <c r="Q40" s="256">
        <v>5.27</v>
      </c>
      <c r="R40" s="256">
        <v>3.82</v>
      </c>
      <c r="S40" s="327">
        <v>4.63</v>
      </c>
    </row>
    <row r="41" spans="3:19" ht="12.95" customHeight="1" x14ac:dyDescent="0.2">
      <c r="C41" s="123" t="str">
        <f>VLOOKUP(54,Textbausteine_302[],Hilfsgrössen!$D$2,FALSE)</f>
        <v>Anteil an erneuerbarem Strom verwendet als Brennstoff (innerhalb der Post)</v>
      </c>
      <c r="D41" s="16" t="str">
        <f>VLOOKUP(12,Textbausteine_302[],Hilfsgrössen!$D$2,FALSE)</f>
        <v>%</v>
      </c>
      <c r="E41" s="11" t="s">
        <v>95</v>
      </c>
      <c r="F41" s="11" t="s">
        <v>148</v>
      </c>
      <c r="G41" s="303"/>
      <c r="H41" s="9" t="s">
        <v>30</v>
      </c>
      <c r="I41" s="9" t="s">
        <v>30</v>
      </c>
      <c r="J41" s="9" t="s">
        <v>30</v>
      </c>
      <c r="K41" s="9" t="s">
        <v>30</v>
      </c>
      <c r="L41" s="9" t="s">
        <v>30</v>
      </c>
      <c r="M41" s="9" t="s">
        <v>30</v>
      </c>
      <c r="N41" s="9" t="s">
        <v>30</v>
      </c>
      <c r="O41" s="9" t="s">
        <v>30</v>
      </c>
      <c r="P41" s="9">
        <v>100</v>
      </c>
      <c r="Q41" s="9">
        <v>100</v>
      </c>
      <c r="R41" s="9">
        <v>100</v>
      </c>
      <c r="S41" s="87">
        <v>100</v>
      </c>
    </row>
    <row r="42" spans="3:19" ht="12.95" customHeight="1" x14ac:dyDescent="0.2">
      <c r="C42" s="124" t="str">
        <f>VLOOKUP(55,Textbausteine_302[],Hilfsgrössen!$D$2,FALSE)</f>
        <v>Umweltwärme und -kälte (innerhalb der Post)</v>
      </c>
      <c r="D42" s="16" t="str">
        <f>VLOOKUP(11,Textbausteine_302[],Hilfsgrössen!$D$2,FALSE)</f>
        <v>GWh</v>
      </c>
      <c r="E42" s="11">
        <v>1</v>
      </c>
      <c r="F42" s="9" t="s">
        <v>148</v>
      </c>
      <c r="G42" s="303"/>
      <c r="H42" s="9">
        <v>1.6330199999999999</v>
      </c>
      <c r="I42" s="9">
        <v>1.6330199999999999</v>
      </c>
      <c r="J42" s="9">
        <v>1.6330199999999999</v>
      </c>
      <c r="K42" s="9">
        <v>1.6330199999999999</v>
      </c>
      <c r="L42" s="9">
        <v>8.7242490000000004</v>
      </c>
      <c r="M42" s="9">
        <v>13.650619000000001</v>
      </c>
      <c r="N42" s="9">
        <v>18.317346000000001</v>
      </c>
      <c r="O42" s="9">
        <v>18.273346</v>
      </c>
      <c r="P42" s="9">
        <v>16.047208000000001</v>
      </c>
      <c r="Q42" s="9">
        <v>16.09</v>
      </c>
      <c r="R42" s="9">
        <v>16.149999999999999</v>
      </c>
      <c r="S42" s="87">
        <v>21.78</v>
      </c>
    </row>
    <row r="43" spans="3:19" ht="12.95" customHeight="1" x14ac:dyDescent="0.2">
      <c r="C43" s="122" t="str">
        <f>VLOOKUP(56,Textbausteine_302[],Hilfsgrössen!$D$2,FALSE)</f>
        <v>Brennstoffverbrauch (ausserhalb der Post)</v>
      </c>
      <c r="D43" s="16" t="str">
        <f>VLOOKUP(11,Textbausteine_302[],Hilfsgrössen!$D$2,FALSE)</f>
        <v>GWh</v>
      </c>
      <c r="E43" s="11">
        <v>1</v>
      </c>
      <c r="F43" s="9" t="s">
        <v>150</v>
      </c>
      <c r="H43" s="9">
        <v>96.567055166665995</v>
      </c>
      <c r="I43" s="9">
        <v>81.326581666666002</v>
      </c>
      <c r="J43" s="9">
        <v>67.019622999999996</v>
      </c>
      <c r="K43" s="9">
        <v>66.307268161720003</v>
      </c>
      <c r="L43" s="9">
        <v>55.633007566666002</v>
      </c>
      <c r="M43" s="9">
        <v>54.967882516666002</v>
      </c>
      <c r="N43" s="9">
        <v>55.662936833332999</v>
      </c>
      <c r="O43" s="9">
        <v>58.281018893964003</v>
      </c>
      <c r="P43" s="9">
        <v>63.497225549069</v>
      </c>
      <c r="Q43" s="9">
        <v>63</v>
      </c>
      <c r="R43" s="9">
        <v>60.32</v>
      </c>
      <c r="S43" s="87">
        <v>55.31</v>
      </c>
    </row>
    <row r="44" spans="3:19" ht="12.95" customHeight="1" x14ac:dyDescent="0.2">
      <c r="C44" s="125"/>
      <c r="D44" s="126"/>
      <c r="E44" s="11"/>
      <c r="N44" s="9"/>
      <c r="O44" s="9"/>
      <c r="P44" s="9"/>
      <c r="Q44" s="9"/>
      <c r="R44" s="9"/>
      <c r="S44" s="87"/>
    </row>
    <row r="45" spans="3:19" ht="12.95" customHeight="1" x14ac:dyDescent="0.2">
      <c r="C45" s="121" t="str">
        <f>VLOOKUP(57,Textbausteine_302[],Hilfsgrössen!$D$2,FALSE)</f>
        <v>Strom</v>
      </c>
      <c r="D45" s="127"/>
      <c r="E45" s="11"/>
      <c r="N45" s="9"/>
      <c r="O45" s="9"/>
      <c r="P45" s="9"/>
      <c r="Q45" s="9"/>
      <c r="R45" s="9"/>
      <c r="S45" s="87"/>
    </row>
    <row r="46" spans="3:19" ht="12.95" customHeight="1" x14ac:dyDescent="0.2">
      <c r="C46" s="17" t="str">
        <f>VLOOKUP(58,Textbausteine_302[],Hilfsgrössen!$D$2,FALSE)</f>
        <v>Stromverbrauch (ohne Verwendung als Treibstoffe und Brennstoffe)</v>
      </c>
      <c r="D46" s="16" t="str">
        <f>VLOOKUP(11,Textbausteine_302[],Hilfsgrössen!$D$2,FALSE)</f>
        <v>GWh</v>
      </c>
      <c r="E46" s="9">
        <v>1</v>
      </c>
      <c r="H46" s="9">
        <v>215.77504099999999</v>
      </c>
      <c r="I46" s="9">
        <v>203.308536</v>
      </c>
      <c r="J46" s="9">
        <v>186.968772</v>
      </c>
      <c r="K46" s="9">
        <v>177.78381180000002</v>
      </c>
      <c r="L46" s="9">
        <v>187.78284600000001</v>
      </c>
      <c r="M46" s="9">
        <v>179.51580106</v>
      </c>
      <c r="N46" s="9">
        <v>174.96544728000001</v>
      </c>
      <c r="O46" s="9">
        <f>SUM(O47,O49)</f>
        <v>171.52816507</v>
      </c>
      <c r="P46" s="9">
        <v>160.1</v>
      </c>
      <c r="Q46" s="9">
        <f>Q47+Q49</f>
        <v>152.03</v>
      </c>
      <c r="R46" s="9">
        <f>R47+R49</f>
        <v>149.01</v>
      </c>
      <c r="S46" s="87">
        <f>S47+S49</f>
        <v>143.69</v>
      </c>
    </row>
    <row r="47" spans="3:19" ht="12.95" customHeight="1" x14ac:dyDescent="0.2">
      <c r="C47" s="122" t="str">
        <f>VLOOKUP(59,Textbausteine_302[],Hilfsgrössen!$D$2,FALSE)</f>
        <v>Stromverbrauch (innerhalb der Post)</v>
      </c>
      <c r="D47" s="16" t="str">
        <f>VLOOKUP(11,Textbausteine_302[],Hilfsgrössen!$D$2,FALSE)</f>
        <v>GWh</v>
      </c>
      <c r="E47" s="9" t="s">
        <v>95</v>
      </c>
      <c r="F47" s="11" t="s">
        <v>148</v>
      </c>
      <c r="H47" s="9">
        <v>197.36829299999999</v>
      </c>
      <c r="I47" s="9">
        <v>182.65411800000001</v>
      </c>
      <c r="J47" s="9">
        <v>165.36073400000001</v>
      </c>
      <c r="K47" s="9">
        <v>158.94715780000001</v>
      </c>
      <c r="L47" s="9">
        <v>166.66481400000001</v>
      </c>
      <c r="M47" s="9">
        <v>158.70853406000001</v>
      </c>
      <c r="N47" s="9">
        <v>155.07117228000001</v>
      </c>
      <c r="O47" s="9">
        <v>152.39495206999999</v>
      </c>
      <c r="P47" s="9">
        <v>139.6</v>
      </c>
      <c r="Q47" s="9">
        <v>134.16</v>
      </c>
      <c r="R47" s="9">
        <v>129.44999999999999</v>
      </c>
      <c r="S47" s="87">
        <v>124.91</v>
      </c>
    </row>
    <row r="48" spans="3:19" ht="12.95" customHeight="1" x14ac:dyDescent="0.2">
      <c r="C48" s="124" t="str">
        <f>VLOOKUP(60,Textbausteine_302[],Hilfsgrössen!$D$2,FALSE)</f>
        <v>Anteil an erneuerbarem Strom (innerhalb der Post)</v>
      </c>
      <c r="D48" s="16" t="str">
        <f>VLOOKUP(12,Textbausteine_302[],Hilfsgrössen!$D$2,FALSE)</f>
        <v>%</v>
      </c>
      <c r="E48" s="9" t="s">
        <v>92</v>
      </c>
      <c r="F48" s="9" t="s">
        <v>148</v>
      </c>
      <c r="G48" s="303"/>
      <c r="H48" s="9">
        <v>99.999988200800999</v>
      </c>
      <c r="I48" s="9">
        <v>81.916222506029996</v>
      </c>
      <c r="J48" s="9">
        <v>78.630838478567</v>
      </c>
      <c r="K48" s="9">
        <v>100</v>
      </c>
      <c r="L48" s="9">
        <v>100</v>
      </c>
      <c r="M48" s="9">
        <v>100</v>
      </c>
      <c r="N48" s="9">
        <v>100</v>
      </c>
      <c r="O48" s="9">
        <v>100</v>
      </c>
      <c r="P48" s="9">
        <v>100</v>
      </c>
      <c r="Q48" s="9">
        <v>99.57</v>
      </c>
      <c r="R48" s="9">
        <v>99.56</v>
      </c>
      <c r="S48" s="87">
        <v>100</v>
      </c>
    </row>
    <row r="49" spans="1:83" ht="12.95" customHeight="1" x14ac:dyDescent="0.2">
      <c r="C49" s="122" t="str">
        <f>VLOOKUP(61,Textbausteine_302[],Hilfsgrössen!$D$2,FALSE)</f>
        <v>Stromverbrauch (ausserhalb der Post)</v>
      </c>
      <c r="D49" s="16" t="str">
        <f>VLOOKUP(11,Textbausteine_302[],Hilfsgrössen!$D$2,FALSE)</f>
        <v>GWh</v>
      </c>
      <c r="E49" s="9">
        <v>1</v>
      </c>
      <c r="F49" s="9" t="s">
        <v>150</v>
      </c>
      <c r="H49" s="9">
        <v>18.406748</v>
      </c>
      <c r="I49" s="9">
        <v>20.654418</v>
      </c>
      <c r="J49" s="9">
        <v>21.608038000000001</v>
      </c>
      <c r="K49" s="9">
        <v>18.836653999999999</v>
      </c>
      <c r="L49" s="9">
        <v>21.118031999999999</v>
      </c>
      <c r="M49" s="9">
        <v>20.807267</v>
      </c>
      <c r="N49" s="9">
        <v>19.894275</v>
      </c>
      <c r="O49" s="9">
        <v>19.133213000000001</v>
      </c>
      <c r="P49" s="9">
        <v>20.5</v>
      </c>
      <c r="Q49" s="9">
        <v>17.87</v>
      </c>
      <c r="R49" s="9">
        <v>19.559999999999999</v>
      </c>
      <c r="S49" s="87">
        <v>18.78</v>
      </c>
    </row>
    <row r="50" spans="1:83" ht="12.95" customHeight="1" x14ac:dyDescent="0.2">
      <c r="C50" s="4"/>
      <c r="D50" s="16"/>
      <c r="F50" s="11"/>
      <c r="N50" s="9"/>
      <c r="O50" s="9"/>
      <c r="P50" s="9"/>
      <c r="Q50" s="9"/>
      <c r="R50" s="9"/>
      <c r="S50" s="87"/>
    </row>
    <row r="51" spans="1:83" ht="12.95" customHeight="1" x14ac:dyDescent="0.2">
      <c r="C51" s="121" t="str">
        <f>VLOOKUP(62,Textbausteine_302[],Hilfsgrössen!$D$2,FALSE)</f>
        <v>Energiebedarf</v>
      </c>
      <c r="D51" s="16"/>
      <c r="G51" s="303"/>
      <c r="N51" s="9"/>
      <c r="O51" s="9"/>
      <c r="P51" s="9"/>
      <c r="Q51" s="9"/>
      <c r="R51" s="9"/>
      <c r="S51" s="87"/>
    </row>
    <row r="52" spans="1:83" ht="12.95" customHeight="1" x14ac:dyDescent="0.2">
      <c r="C52" s="17" t="str">
        <f>VLOOKUP(63,Textbausteine_302[],Hilfsgrössen!$D$2,FALSE)</f>
        <v>Energiebedarf</v>
      </c>
      <c r="D52" s="16" t="str">
        <f>VLOOKUP(11,Textbausteine_302[],Hilfsgrössen!$D$2,FALSE)</f>
        <v>GWh</v>
      </c>
      <c r="E52" s="9">
        <v>1</v>
      </c>
      <c r="F52" s="9" t="s">
        <v>148</v>
      </c>
      <c r="H52" s="15">
        <f>SUM(H53,H55)</f>
        <v>1554.785009070737</v>
      </c>
      <c r="I52" s="15">
        <f>SUM(I53,I55)</f>
        <v>1519.5803448761981</v>
      </c>
      <c r="J52" s="15">
        <f>SUM(J53,J55)</f>
        <v>1546.6790495078219</v>
      </c>
      <c r="K52" s="15">
        <f t="shared" ref="K52" si="5">SUM(K53,K55)</f>
        <v>1461.0021030494249</v>
      </c>
      <c r="L52" s="15">
        <f>SUM(L53,L55)</f>
        <v>1455.7702353460675</v>
      </c>
      <c r="M52" s="15">
        <f>SUM(M53,M55)</f>
        <v>1458.0921420334676</v>
      </c>
      <c r="N52" s="15">
        <f>SUM(N53,N55)</f>
        <v>1491.1683363372254</v>
      </c>
      <c r="O52" s="15">
        <f>SUM(O53,O55)</f>
        <v>1453.440202055318</v>
      </c>
      <c r="P52" s="15">
        <v>1479</v>
      </c>
      <c r="Q52" s="15">
        <f>Q53+Q55</f>
        <v>1537.97</v>
      </c>
      <c r="R52" s="15">
        <f>R53+R55</f>
        <v>1495.1</v>
      </c>
      <c r="S52" s="87">
        <f>S53+S55</f>
        <v>1579.74</v>
      </c>
    </row>
    <row r="53" spans="1:83" ht="12.95" customHeight="1" x14ac:dyDescent="0.2">
      <c r="C53" s="122" t="str">
        <f>VLOOKUP(64,Textbausteine_302[],Hilfsgrössen!$D$2,FALSE)</f>
        <v>Energiebedarf (innerhalb der Post)</v>
      </c>
      <c r="D53" s="16" t="str">
        <f>VLOOKUP(11,Textbausteine_302[],Hilfsgrössen!$D$2,FALSE)</f>
        <v>GWh</v>
      </c>
      <c r="E53" s="9">
        <v>1</v>
      </c>
      <c r="F53" s="9" t="s">
        <v>148</v>
      </c>
      <c r="H53" s="15">
        <f>SUM(H17,H32,H47)</f>
        <v>907.56622092222108</v>
      </c>
      <c r="I53" s="15">
        <f>SUM(I17,I32,I47)</f>
        <v>889.95856263333201</v>
      </c>
      <c r="J53" s="15">
        <f>SUM(J17,J32,J47)</f>
        <v>896.88243682222196</v>
      </c>
      <c r="K53" s="15">
        <f t="shared" ref="K53" si="6">SUM(K17,K32,K47)</f>
        <v>890.93264445554485</v>
      </c>
      <c r="L53" s="15">
        <f>SUM(L17,L32,L47)</f>
        <v>894.3603632611015</v>
      </c>
      <c r="M53" s="15">
        <f>SUM(M17,M32,M47)</f>
        <v>890.02699986774155</v>
      </c>
      <c r="N53" s="15">
        <f>SUM(N17,N32,N47)</f>
        <v>905.02082824981221</v>
      </c>
      <c r="O53" s="15">
        <f>SUM(O17,O32,O47)</f>
        <v>886.72979030247393</v>
      </c>
      <c r="P53" s="15">
        <v>901.5</v>
      </c>
      <c r="Q53" s="15">
        <v>874.89</v>
      </c>
      <c r="R53" s="15">
        <v>850.4</v>
      </c>
      <c r="S53" s="87">
        <v>907.78</v>
      </c>
    </row>
    <row r="54" spans="1:83" ht="12.95" customHeight="1" x14ac:dyDescent="0.2">
      <c r="C54" s="124" t="str">
        <f>VLOOKUP(65,Textbausteine_302[],Hilfsgrössen!$D$2,FALSE)</f>
        <v>Erneuerbarer Anteil am Energiebedarf (innerhalb der Post)</v>
      </c>
      <c r="D54" s="16" t="str">
        <f>VLOOKUP(12,Textbausteine_302[],Hilfsgrössen!$D$2,FALSE)</f>
        <v>%</v>
      </c>
      <c r="E54" s="9">
        <v>1</v>
      </c>
      <c r="F54" s="9" t="s">
        <v>148</v>
      </c>
      <c r="H54" s="220">
        <v>23.108194152494001</v>
      </c>
      <c r="I54" s="220">
        <v>17.952801711770999</v>
      </c>
      <c r="J54" s="220">
        <v>15.701303624192001</v>
      </c>
      <c r="K54" s="220">
        <v>19.101987854531</v>
      </c>
      <c r="L54" s="220">
        <v>20.290979341735</v>
      </c>
      <c r="M54" s="220">
        <v>19.995921883158999</v>
      </c>
      <c r="N54" s="220">
        <v>19.258017591822</v>
      </c>
      <c r="O54" s="220">
        <v>19.620217243828002</v>
      </c>
      <c r="P54" s="220">
        <v>20.399999999999999</v>
      </c>
      <c r="Q54" s="220">
        <v>20.16</v>
      </c>
      <c r="R54" s="220">
        <v>20.12</v>
      </c>
      <c r="S54" s="87">
        <v>19.12</v>
      </c>
    </row>
    <row r="55" spans="1:83" ht="12.95" customHeight="1" x14ac:dyDescent="0.2">
      <c r="C55" s="122" t="str">
        <f>VLOOKUP(66,Textbausteine_302[],Hilfsgrössen!$D$2,FALSE)</f>
        <v>Energiebedarf (ausserhalb der Post)</v>
      </c>
      <c r="D55" s="16" t="str">
        <f>VLOOKUP(11,Textbausteine_302[],Hilfsgrössen!$D$2,FALSE)</f>
        <v>GWh</v>
      </c>
      <c r="E55" s="9">
        <v>1</v>
      </c>
      <c r="F55" s="9" t="s">
        <v>150</v>
      </c>
      <c r="H55" s="15">
        <f>SUM(H28,H43,H49)</f>
        <v>647.21878814851607</v>
      </c>
      <c r="I55" s="15">
        <f>SUM(I28,I43,I49)</f>
        <v>629.62178224286595</v>
      </c>
      <c r="J55" s="15">
        <f>SUM(J28,J43,J49)</f>
        <v>649.79661268559994</v>
      </c>
      <c r="K55" s="15">
        <f t="shared" ref="K55" si="7">SUM(K28,K43,K49)</f>
        <v>570.06945859387997</v>
      </c>
      <c r="L55" s="15">
        <f>SUM(L28,L43,L49)</f>
        <v>561.40987208496597</v>
      </c>
      <c r="M55" s="15">
        <f>SUM(M28,M43,M49)</f>
        <v>568.065142165726</v>
      </c>
      <c r="N55" s="15">
        <f>SUM(N28,N43,N49)</f>
        <v>586.14750808741303</v>
      </c>
      <c r="O55" s="15">
        <f>SUM(O28,O43,O49)</f>
        <v>566.71041175284392</v>
      </c>
      <c r="P55" s="15">
        <v>577.5</v>
      </c>
      <c r="Q55" s="15">
        <v>663.08</v>
      </c>
      <c r="R55" s="15">
        <v>644.70000000000005</v>
      </c>
      <c r="S55" s="87">
        <v>671.96</v>
      </c>
    </row>
    <row r="56" spans="1:83" ht="12.95" customHeight="1" x14ac:dyDescent="0.2">
      <c r="N56" s="9"/>
      <c r="O56" s="9"/>
      <c r="P56" s="9"/>
      <c r="Q56" s="9"/>
      <c r="R56" s="9"/>
      <c r="S56" s="9"/>
    </row>
    <row r="57" spans="1:83" ht="12.95" customHeight="1" x14ac:dyDescent="0.25">
      <c r="B57" s="329" t="str">
        <f>VLOOKUP(131,Textbausteine_302[],Hilfsgrössen!$D$2,FALSE)</f>
        <v>1) Standards, Methoden und Umrechnungsfaktoren: GHG Protocol, Revised Edition (2004). Die Umrechnungsfaktoren stammen aus der DEFRA (2021) Datenbank, dem GLEC Framework oder dem Mobitool 2.1</v>
      </c>
      <c r="N57" s="9"/>
      <c r="O57" s="9"/>
      <c r="P57" s="9"/>
      <c r="Q57" s="9"/>
      <c r="R57" s="9"/>
      <c r="S57" s="9"/>
    </row>
    <row r="58" spans="1:83" ht="12.95" customHeight="1" x14ac:dyDescent="0.25">
      <c r="B58" s="330" t="str">
        <f>VLOOKUP(132,Textbausteine_302[],Hilfsgrössen!$D$2,FALSE)</f>
        <v>2) «naturemade star»-zertifizierter Ökostrom/Biogas</v>
      </c>
      <c r="N58" s="9"/>
      <c r="O58" s="9"/>
      <c r="P58" s="9"/>
      <c r="Q58" s="9"/>
      <c r="R58" s="9"/>
      <c r="S58" s="9"/>
    </row>
    <row r="59" spans="1:83" ht="12.95" customHeight="1" x14ac:dyDescent="0.25">
      <c r="B59" s="330" t="str">
        <f>VLOOKUP(133,Textbausteine_302[],Hilfsgrössen!$D$2,FALSE)</f>
        <v>3) Strom aus erneuerbaren Quellen aus dem Land, wo der Stromverbrauch anfällt. Wo sie keinen erneuerbaren Strom aus der Grundversorgung beschafft, kauft sie Herkunftsnachweise ein.</v>
      </c>
      <c r="N59" s="9"/>
      <c r="O59" s="9"/>
      <c r="P59" s="9"/>
      <c r="Q59" s="9"/>
      <c r="R59" s="9"/>
      <c r="S59" s="9"/>
    </row>
    <row r="60" spans="1:83" ht="12.95" customHeight="1" x14ac:dyDescent="0.25">
      <c r="B60" s="329" t="str">
        <f>VLOOKUP(135,Textbausteine_302[],Hilfsgrössen!$D$2,FALSE)</f>
        <v>4) Die Sachdaten von akquirierten Konzerngesellschaften werden rückwirkend für die Jahre 2019 und folgende nacherfasst, da 2019 als Basisjahr für die Ziele 2024/2030 dient.</v>
      </c>
      <c r="N60" s="9"/>
      <c r="O60" s="9"/>
      <c r="P60" s="9"/>
      <c r="Q60" s="9"/>
      <c r="R60" s="9"/>
      <c r="S60" s="9"/>
    </row>
    <row r="61" spans="1:83" ht="12.95" customHeight="1" x14ac:dyDescent="0.25">
      <c r="B61" s="329" t="str">
        <f>VLOOKUP(136,Textbausteine_302[],Hilfsgrössen!$D$2,FALSE)</f>
        <v>5) Für den Stromverbrauch von akquirierten Gesellschaften werden keine HKN für vergangene Geschäftsjahre beschafft. Der Anteil an erneuerbarem Strom bei Treib- und Brennstoffen ist daher in den Jahren mit Nacherfassung nicht bei 100%, obwohl im entsprechenden Geschäftsjahr 100% des Stromverbrauchs innerhalb der Post aus erneuerbaren Quellen gedeckt wurde.</v>
      </c>
      <c r="N61" s="9"/>
      <c r="O61" s="9"/>
      <c r="P61" s="9"/>
      <c r="Q61" s="9"/>
      <c r="R61" s="9"/>
      <c r="S61" s="9"/>
    </row>
    <row r="62" spans="1:83" ht="12.95" customHeight="1" x14ac:dyDescent="0.2">
      <c r="E62" s="11"/>
      <c r="N62" s="9"/>
      <c r="O62" s="9"/>
      <c r="P62" s="9"/>
      <c r="Q62" s="9"/>
      <c r="R62" s="9"/>
      <c r="S62" s="9"/>
    </row>
    <row r="63" spans="1:83" ht="12.95" customHeight="1" x14ac:dyDescent="0.2">
      <c r="N63" s="9"/>
      <c r="O63" s="9"/>
      <c r="P63" s="9"/>
      <c r="Q63" s="9"/>
      <c r="R63" s="9"/>
      <c r="S63" s="9"/>
    </row>
    <row r="64" spans="1:83" s="6" customFormat="1" ht="12.95" customHeight="1" x14ac:dyDescent="0.2">
      <c r="A64" s="128" t="s">
        <v>27</v>
      </c>
      <c r="B64" s="401" t="str">
        <f>$C$8</f>
        <v>Weitere Energiekennzahlen</v>
      </c>
      <c r="C64" s="401"/>
      <c r="D64" s="6" t="str">
        <f>VLOOKUP(32,Textbausteine_Menu[],Hilfsgrössen!$D$2,FALSE)</f>
        <v>Einheit</v>
      </c>
      <c r="E64" s="69" t="str">
        <f>VLOOKUP(33,Textbausteine_Menu[],Hilfsgrössen!$D$2,FALSE)</f>
        <v>Fussnoten</v>
      </c>
      <c r="F64" s="69" t="str">
        <f>VLOOKUP(34,Textbausteine_Menu[],Hilfsgrössen!$D$2,FALSE)</f>
        <v>GRI</v>
      </c>
      <c r="G64" s="34"/>
      <c r="H64" s="28">
        <v>2010</v>
      </c>
      <c r="I64" s="28">
        <v>2011</v>
      </c>
      <c r="J64" s="28">
        <v>2012</v>
      </c>
      <c r="K64" s="28">
        <v>2013</v>
      </c>
      <c r="L64" s="28">
        <v>2014</v>
      </c>
      <c r="M64" s="28">
        <v>2015</v>
      </c>
      <c r="N64" s="28">
        <v>2016</v>
      </c>
      <c r="O64" s="28">
        <v>2017</v>
      </c>
      <c r="P64" s="28">
        <v>2018</v>
      </c>
      <c r="Q64" s="74">
        <v>2019</v>
      </c>
      <c r="R64" s="28">
        <v>2020</v>
      </c>
      <c r="S64" s="84">
        <v>2021</v>
      </c>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c r="CC64" s="28"/>
      <c r="CD64" s="28"/>
      <c r="CE64" s="28"/>
    </row>
    <row r="65" spans="1:83" s="6" customFormat="1" ht="12.95" customHeight="1" x14ac:dyDescent="0.2">
      <c r="A65" s="66"/>
      <c r="B65" s="401"/>
      <c r="C65" s="401"/>
      <c r="E65" s="118"/>
      <c r="F65" s="118"/>
      <c r="G65" s="35"/>
      <c r="H65" s="9"/>
      <c r="I65" s="9"/>
      <c r="J65" s="9"/>
      <c r="K65" s="9"/>
      <c r="L65" s="9"/>
      <c r="M65" s="9"/>
      <c r="N65" s="9"/>
      <c r="O65" s="9"/>
      <c r="P65" s="9"/>
      <c r="Q65" s="9"/>
      <c r="R65" s="9"/>
      <c r="S65" s="87"/>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9"/>
      <c r="BZ65" s="9"/>
      <c r="CA65" s="9"/>
      <c r="CB65" s="9"/>
      <c r="CC65" s="9"/>
      <c r="CD65" s="9"/>
      <c r="CE65" s="9"/>
    </row>
    <row r="66" spans="1:83" ht="12.95" customHeight="1" x14ac:dyDescent="0.2">
      <c r="B66" s="2"/>
      <c r="E66" s="118"/>
      <c r="F66" s="118"/>
      <c r="G66" s="35"/>
      <c r="N66" s="9"/>
      <c r="O66" s="9"/>
      <c r="P66" s="9"/>
      <c r="Q66" s="9"/>
      <c r="R66" s="9"/>
      <c r="S66" s="87"/>
    </row>
    <row r="67" spans="1:83" ht="12.95" customHeight="1" x14ac:dyDescent="0.2">
      <c r="B67" s="2" t="str">
        <f>VLOOKUP(36,Textbausteine_Menu[],Hilfsgrössen!$D$2,FALSE)</f>
        <v>Konzern</v>
      </c>
      <c r="C67" s="2"/>
      <c r="D67" s="2"/>
      <c r="E67" s="118"/>
      <c r="F67" s="118"/>
      <c r="G67" s="35"/>
      <c r="S67" s="82"/>
    </row>
    <row r="68" spans="1:83" ht="12.95" customHeight="1" x14ac:dyDescent="0.2">
      <c r="C68" s="289" t="str">
        <f>VLOOKUP(81,Textbausteine_302[],Hilfsgrössen!$D$2,FALSE)</f>
        <v>Energieeffizienzsteigerung seit 2006</v>
      </c>
      <c r="D68" s="16" t="str">
        <f>VLOOKUP(12,Textbausteine_302[],Hilfsgrössen!$D$2,FALSE)</f>
        <v>%</v>
      </c>
      <c r="E68" s="118">
        <v>1</v>
      </c>
      <c r="F68" s="118" t="s">
        <v>151</v>
      </c>
      <c r="G68" s="35"/>
      <c r="H68" s="9">
        <v>5.2588002770916509</v>
      </c>
      <c r="I68" s="9">
        <v>7.4980953636902088</v>
      </c>
      <c r="J68" s="9">
        <v>10.752343471570532</v>
      </c>
      <c r="K68" s="9">
        <v>18.936471731041141</v>
      </c>
      <c r="L68" s="9">
        <v>21.035332139468849</v>
      </c>
      <c r="M68" s="9">
        <v>23.396948930687923</v>
      </c>
      <c r="N68" s="11">
        <v>25.568649342807056</v>
      </c>
      <c r="O68" s="11">
        <v>29.609811998684098</v>
      </c>
      <c r="P68" s="11">
        <v>26.2</v>
      </c>
      <c r="Q68" s="11">
        <v>34.1</v>
      </c>
      <c r="R68" s="11">
        <v>29.2</v>
      </c>
      <c r="S68" s="87" t="s">
        <v>75</v>
      </c>
    </row>
    <row r="69" spans="1:83" ht="12.95" customHeight="1" x14ac:dyDescent="0.2">
      <c r="C69" s="16" t="str">
        <f>VLOOKUP(82,Textbausteine_302[],Hilfsgrössen!$D$2,FALSE)</f>
        <v>Eingekaufte Herkunftsnachweise für Strom aus erneuerbaren Energien</v>
      </c>
      <c r="D69" s="16" t="str">
        <f>VLOOKUP(11,Textbausteine_302[],Hilfsgrössen!$D$2,FALSE)</f>
        <v>GWh</v>
      </c>
      <c r="E69" s="11">
        <v>2</v>
      </c>
      <c r="F69" s="118" t="s">
        <v>151</v>
      </c>
      <c r="G69" s="35"/>
      <c r="H69" s="9">
        <v>200.00000399999999</v>
      </c>
      <c r="I69" s="9">
        <v>150.00000600000001</v>
      </c>
      <c r="J69" s="9">
        <v>130.00000600000001</v>
      </c>
      <c r="K69" s="9">
        <v>156.00000600000001</v>
      </c>
      <c r="L69" s="9">
        <v>158.00000600000001</v>
      </c>
      <c r="M69" s="9">
        <v>151.18600599999999</v>
      </c>
      <c r="N69" s="11">
        <v>139.81400600000001</v>
      </c>
      <c r="O69" s="11">
        <v>140.00000700000001</v>
      </c>
      <c r="P69" s="11">
        <v>135</v>
      </c>
      <c r="Q69" s="11">
        <v>131.80000000000001</v>
      </c>
      <c r="R69" s="11">
        <v>93</v>
      </c>
      <c r="S69" s="324">
        <v>48</v>
      </c>
    </row>
    <row r="70" spans="1:83" ht="12.95" customHeight="1" x14ac:dyDescent="0.25">
      <c r="C70" s="16" t="str">
        <f>VLOOKUP(83,Textbausteine_302[],Hilfsgrössen!$D$2,FALSE)</f>
        <v>Eingekaufte Herkunftsnachweise für zertifizierten Ökostrom</v>
      </c>
      <c r="D70" s="16" t="str">
        <f>VLOOKUP(11,Textbausteine_302[],Hilfsgrössen!$D$2,FALSE)</f>
        <v>GWh</v>
      </c>
      <c r="E70" s="9" t="s">
        <v>152</v>
      </c>
      <c r="F70" s="118" t="s">
        <v>151</v>
      </c>
      <c r="G70" s="36"/>
      <c r="H70" s="9">
        <v>0.6</v>
      </c>
      <c r="I70" s="9">
        <v>0.6</v>
      </c>
      <c r="J70" s="9">
        <v>1.3</v>
      </c>
      <c r="K70" s="9">
        <v>8.3000000000000007</v>
      </c>
      <c r="L70" s="9">
        <v>8.3149999999999995</v>
      </c>
      <c r="M70" s="9">
        <v>8.4789999999999992</v>
      </c>
      <c r="N70" s="11">
        <v>15.95</v>
      </c>
      <c r="O70" s="11">
        <v>16.147041999999999</v>
      </c>
      <c r="P70" s="11">
        <v>16</v>
      </c>
      <c r="Q70" s="11">
        <v>13.8</v>
      </c>
      <c r="R70" s="11">
        <v>28</v>
      </c>
      <c r="S70" s="87">
        <v>26</v>
      </c>
    </row>
    <row r="71" spans="1:83" ht="12.95" customHeight="1" x14ac:dyDescent="0.2">
      <c r="C71" s="16" t="str">
        <f>VLOOKUP(84,Textbausteine_302[],Hilfsgrössen!$D$2,FALSE)</f>
        <v>Eingekaufte Herkunftsnachweise für zertifiziertes Biogas</v>
      </c>
      <c r="D71" s="16" t="str">
        <f>VLOOKUP(11,Textbausteine_302[],Hilfsgrössen!$D$2,FALSE)</f>
        <v>GWh</v>
      </c>
      <c r="E71" s="9">
        <v>3</v>
      </c>
      <c r="F71" s="118" t="s">
        <v>151</v>
      </c>
      <c r="H71" s="9">
        <v>0</v>
      </c>
      <c r="I71" s="9">
        <v>5.13</v>
      </c>
      <c r="J71" s="9">
        <v>5.5717499999999998</v>
      </c>
      <c r="K71" s="9">
        <v>4.0897500000000004</v>
      </c>
      <c r="L71" s="9">
        <v>5.5266890000000002</v>
      </c>
      <c r="M71" s="9">
        <v>4.8260779999999999</v>
      </c>
      <c r="N71" s="11">
        <v>3.3096169999999998</v>
      </c>
      <c r="O71" s="11">
        <v>2.8334139999999999</v>
      </c>
      <c r="P71" s="11">
        <v>2.2999999999999998</v>
      </c>
      <c r="Q71" s="11">
        <v>1.83</v>
      </c>
      <c r="R71" s="11">
        <v>1.93</v>
      </c>
      <c r="S71" s="82">
        <v>0.04</v>
      </c>
    </row>
    <row r="73" spans="1:83" ht="12.95" customHeight="1" x14ac:dyDescent="0.25">
      <c r="B73" s="329" t="str">
        <f>VLOOKUP(141,Textbausteine_302[],Hilfsgrössen!$D$2,FALSE)</f>
        <v>1) Die konzernweite Energieeffizienzsteigerung wird ab dem 2021 nicht mehr gemessen.</v>
      </c>
      <c r="E73" s="28"/>
      <c r="F73" s="28"/>
    </row>
    <row r="74" spans="1:83" ht="12.95" customHeight="1" x14ac:dyDescent="0.25">
      <c r="B74" s="302" t="str">
        <f>VLOOKUP(142,Textbausteine_302[],Hilfsgrössen!$D$2,FALSE)</f>
        <v>2) Die Post stellt sicher, dass ihr gesamter Strombedarf innerhalb der Post durch Energien aus erneuerbaren Quellen aus dem Land, wo der Stromverbrauch anfällt, gedeckt ist. Wo sie keinen erneuerbaren Strom aus der Grundversorgung beschafft, kauft sie Herkunftsnachweise ein.</v>
      </c>
      <c r="E74" s="28"/>
      <c r="F74" s="28"/>
      <c r="G74" s="33"/>
    </row>
    <row r="75" spans="1:83" ht="12.95" customHeight="1" x14ac:dyDescent="0.25">
      <c r="B75" s="302" t="str">
        <f>VLOOKUP(143,Textbausteine_302[],Hilfsgrössen!$D$2,FALSE)</f>
        <v>3) Herkunftsnachweise des CNG-Verbrauchs im Geschäftsreiseverkehr innerhalb der Post in der Schweiz.</v>
      </c>
      <c r="E75" s="11"/>
      <c r="N75" s="9"/>
      <c r="O75" s="9"/>
      <c r="P75" s="9"/>
      <c r="Q75" s="9"/>
      <c r="R75" s="9"/>
      <c r="S75" s="9"/>
    </row>
    <row r="76" spans="1:83" ht="12.95" customHeight="1" x14ac:dyDescent="0.25">
      <c r="B76" s="302" t="str">
        <f>VLOOKUP(144,Textbausteine_302[],Hilfsgrössen!$D$2,FALSE)</f>
        <v>4) 20% des Stromverbrauchs innerhalb der Post in der Schweiz stammt aus «naturemade star»-zertifizierter Ökostrom.</v>
      </c>
      <c r="E76" s="11"/>
      <c r="N76" s="9"/>
      <c r="O76" s="9"/>
      <c r="P76" s="9"/>
      <c r="Q76" s="9"/>
      <c r="R76" s="9"/>
      <c r="S76" s="9"/>
    </row>
    <row r="77" spans="1:83" ht="12.95" customHeight="1" x14ac:dyDescent="0.2">
      <c r="E77" s="11"/>
      <c r="N77" s="9"/>
      <c r="O77" s="9"/>
      <c r="P77" s="9"/>
      <c r="Q77" s="9"/>
      <c r="R77" s="9"/>
      <c r="S77" s="9"/>
    </row>
    <row r="78" spans="1:83" ht="12.95" customHeight="1" x14ac:dyDescent="0.2">
      <c r="B78" s="2" t="str">
        <f>VLOOKUP(45,Textbausteine_Menu[],Hilfsgrössen!$D$2,FALSE)</f>
        <v>Logistik-Services</v>
      </c>
      <c r="C78" s="121"/>
      <c r="E78" s="11"/>
      <c r="N78" s="9"/>
      <c r="O78" s="9"/>
      <c r="P78" s="9"/>
      <c r="Q78" s="9"/>
      <c r="R78" s="9"/>
      <c r="S78" s="9"/>
    </row>
    <row r="79" spans="1:83" ht="12.95" customHeight="1" x14ac:dyDescent="0.2">
      <c r="B79" s="2"/>
      <c r="C79" s="121"/>
      <c r="E79" s="11"/>
      <c r="N79" s="9"/>
      <c r="O79" s="9"/>
      <c r="P79" s="9"/>
      <c r="Q79" s="9"/>
      <c r="R79" s="9"/>
      <c r="S79" s="9"/>
    </row>
    <row r="80" spans="1:83" ht="12.95" customHeight="1" x14ac:dyDescent="0.2">
      <c r="B80" s="2"/>
      <c r="C80" s="4" t="str">
        <f>VLOOKUP(148,Textbausteine_302[],Hilfsgrössen!$D$2,FALSE)</f>
        <v>Energiemix für den Fahrzeugantrieb</v>
      </c>
      <c r="E80" s="11"/>
      <c r="N80" s="9"/>
      <c r="O80" s="9"/>
      <c r="P80" s="9"/>
      <c r="Q80" s="9"/>
      <c r="R80" s="9"/>
      <c r="S80" s="9"/>
    </row>
    <row r="81" spans="2:19" ht="12.95" customHeight="1" x14ac:dyDescent="0.2">
      <c r="C81" s="124" t="str">
        <f>VLOOKUP(34,Textbausteine_302[],Hilfsgrössen!$D$2,FALSE)</f>
        <v>Diesel (innerhalb der Post)</v>
      </c>
      <c r="D81" s="16" t="str">
        <f>VLOOKUP(12,Textbausteine_302[],Hilfsgrössen!$D$2,FALSE)</f>
        <v>%</v>
      </c>
      <c r="E81" s="11">
        <v>1</v>
      </c>
      <c r="F81" s="9" t="s">
        <v>148</v>
      </c>
      <c r="H81" s="9" t="s">
        <v>30</v>
      </c>
      <c r="I81" s="9" t="s">
        <v>30</v>
      </c>
      <c r="J81" s="9" t="s">
        <v>30</v>
      </c>
      <c r="K81" s="9" t="s">
        <v>30</v>
      </c>
      <c r="L81" s="9" t="s">
        <v>30</v>
      </c>
      <c r="M81" s="9" t="s">
        <v>30</v>
      </c>
      <c r="N81" s="9" t="s">
        <v>30</v>
      </c>
      <c r="O81" s="9" t="s">
        <v>30</v>
      </c>
      <c r="P81" s="9" t="s">
        <v>30</v>
      </c>
      <c r="Q81" s="9" t="s">
        <v>30</v>
      </c>
      <c r="R81" s="9" t="s">
        <v>30</v>
      </c>
      <c r="S81" s="87" t="s">
        <v>153</v>
      </c>
    </row>
    <row r="82" spans="2:19" ht="12.95" customHeight="1" x14ac:dyDescent="0.2">
      <c r="C82" s="124" t="str">
        <f>VLOOKUP(36,Textbausteine_302[],Hilfsgrössen!$D$2,FALSE)</f>
        <v>Benzin (innerhalb der Post)</v>
      </c>
      <c r="D82" s="16" t="str">
        <f>VLOOKUP(12,Textbausteine_302[],Hilfsgrössen!$D$2,FALSE)</f>
        <v>%</v>
      </c>
      <c r="E82" s="11">
        <v>1</v>
      </c>
      <c r="F82" s="9" t="s">
        <v>148</v>
      </c>
      <c r="H82" s="9" t="s">
        <v>30</v>
      </c>
      <c r="I82" s="9" t="s">
        <v>30</v>
      </c>
      <c r="J82" s="9" t="s">
        <v>30</v>
      </c>
      <c r="K82" s="9" t="s">
        <v>30</v>
      </c>
      <c r="L82" s="9" t="s">
        <v>30</v>
      </c>
      <c r="M82" s="9" t="s">
        <v>30</v>
      </c>
      <c r="N82" s="9" t="s">
        <v>30</v>
      </c>
      <c r="O82" s="9" t="s">
        <v>30</v>
      </c>
      <c r="P82" s="9" t="s">
        <v>30</v>
      </c>
      <c r="Q82" s="9" t="s">
        <v>30</v>
      </c>
      <c r="R82" s="9" t="s">
        <v>30</v>
      </c>
      <c r="S82" s="87" t="s">
        <v>154</v>
      </c>
    </row>
    <row r="83" spans="2:19" ht="12.95" customHeight="1" x14ac:dyDescent="0.2">
      <c r="C83" s="124" t="str">
        <f>VLOOKUP(39,Textbausteine_302[],Hilfsgrössen!$D$2,FALSE)</f>
        <v>Strom verwendet als Treibstoff (innerhalb der Post)</v>
      </c>
      <c r="D83" s="16" t="str">
        <f>VLOOKUP(12,Textbausteine_302[],Hilfsgrössen!$D$2,FALSE)</f>
        <v>%</v>
      </c>
      <c r="E83" s="75" t="s">
        <v>97</v>
      </c>
      <c r="F83" s="9" t="s">
        <v>148</v>
      </c>
      <c r="H83" s="9" t="s">
        <v>30</v>
      </c>
      <c r="I83" s="9" t="s">
        <v>30</v>
      </c>
      <c r="J83" s="9" t="s">
        <v>30</v>
      </c>
      <c r="K83" s="9" t="s">
        <v>30</v>
      </c>
      <c r="L83" s="9" t="s">
        <v>30</v>
      </c>
      <c r="M83" s="9" t="s">
        <v>30</v>
      </c>
      <c r="N83" s="9" t="s">
        <v>30</v>
      </c>
      <c r="O83" s="9" t="s">
        <v>30</v>
      </c>
      <c r="P83" s="9" t="s">
        <v>30</v>
      </c>
      <c r="Q83" s="9" t="s">
        <v>30</v>
      </c>
      <c r="R83" s="9" t="s">
        <v>30</v>
      </c>
      <c r="S83" s="82" t="s">
        <v>3048</v>
      </c>
    </row>
    <row r="84" spans="2:19" ht="12.95" customHeight="1" x14ac:dyDescent="0.2">
      <c r="E84" s="75"/>
      <c r="F84" s="75"/>
      <c r="N84" s="9"/>
      <c r="O84" s="9"/>
      <c r="P84" s="9"/>
      <c r="Q84" s="9"/>
      <c r="R84" s="9"/>
      <c r="S84" s="9"/>
    </row>
    <row r="85" spans="2:19" ht="12.95" customHeight="1" x14ac:dyDescent="0.25">
      <c r="B85" s="329" t="str">
        <f>VLOOKUP(131,Textbausteine_302[],Hilfsgrössen!$D$2,FALSE)</f>
        <v>1) Standards, Methoden und Umrechnungsfaktoren: GHG Protocol, Revised Edition (2004). Die Umrechnungsfaktoren stammen aus der DEFRA (2021) Datenbank, dem GLEC Framework oder dem Mobitool 2.1</v>
      </c>
      <c r="E85" s="75"/>
      <c r="F85" s="75"/>
      <c r="N85" s="9"/>
      <c r="O85" s="9"/>
      <c r="P85" s="9"/>
      <c r="Q85" s="9"/>
      <c r="R85" s="9"/>
      <c r="S85" s="9"/>
    </row>
    <row r="86" spans="2:19" ht="12.95" customHeight="1" x14ac:dyDescent="0.25">
      <c r="B86" s="330" t="str">
        <f>VLOOKUP(132,Textbausteine_302[],Hilfsgrössen!$D$2,FALSE)</f>
        <v>2) «naturemade star»-zertifizierter Ökostrom/Biogas</v>
      </c>
      <c r="N86" s="9"/>
      <c r="O86" s="9"/>
      <c r="P86" s="9"/>
      <c r="Q86" s="9"/>
      <c r="R86" s="9"/>
      <c r="S86" s="9"/>
    </row>
    <row r="87" spans="2:19" ht="12.95" customHeight="1" x14ac:dyDescent="0.2">
      <c r="N87" s="9"/>
      <c r="O87" s="9"/>
      <c r="P87" s="9"/>
      <c r="Q87" s="9"/>
      <c r="R87" s="9"/>
      <c r="S87" s="9"/>
    </row>
    <row r="88" spans="2:19" ht="12.95" customHeight="1" x14ac:dyDescent="0.2">
      <c r="N88" s="75"/>
      <c r="O88" s="75"/>
      <c r="P88" s="75"/>
      <c r="Q88" s="75"/>
      <c r="R88" s="75"/>
      <c r="S88" s="9"/>
    </row>
    <row r="89" spans="2:19" ht="12.95" customHeight="1" x14ac:dyDescent="0.2">
      <c r="N89" s="75"/>
      <c r="O89" s="75"/>
      <c r="P89" s="75"/>
      <c r="Q89" s="75"/>
      <c r="R89" s="75"/>
      <c r="S89" s="75"/>
    </row>
    <row r="93" spans="2:19" ht="12.95" customHeight="1" x14ac:dyDescent="0.2">
      <c r="N93" s="9"/>
      <c r="O93" s="9"/>
      <c r="P93" s="9"/>
      <c r="Q93" s="9"/>
      <c r="R93" s="9"/>
      <c r="S93" s="9"/>
    </row>
    <row r="94" spans="2:19" ht="12.95" customHeight="1" x14ac:dyDescent="0.2">
      <c r="N94" s="9"/>
      <c r="O94" s="9"/>
      <c r="P94" s="9"/>
      <c r="Q94" s="9"/>
      <c r="R94" s="9"/>
      <c r="S94" s="9"/>
    </row>
    <row r="95" spans="2:19" ht="12.95" customHeight="1" x14ac:dyDescent="0.2">
      <c r="N95" s="9"/>
      <c r="O95" s="9"/>
      <c r="P95" s="9"/>
      <c r="Q95" s="9"/>
      <c r="R95" s="9"/>
      <c r="S95" s="9"/>
    </row>
    <row r="96" spans="2:19" ht="12.95" customHeight="1" x14ac:dyDescent="0.2">
      <c r="N96" s="9"/>
      <c r="O96" s="9"/>
      <c r="P96" s="9"/>
      <c r="Q96" s="9"/>
      <c r="R96" s="9"/>
      <c r="S96" s="9"/>
    </row>
    <row r="97" spans="14:19" ht="12.95" customHeight="1" x14ac:dyDescent="0.2">
      <c r="N97" s="9"/>
      <c r="O97" s="9"/>
      <c r="P97" s="9"/>
      <c r="Q97" s="9"/>
      <c r="R97" s="9"/>
      <c r="S97" s="9"/>
    </row>
    <row r="98" spans="14:19" ht="12.95" customHeight="1" x14ac:dyDescent="0.2">
      <c r="N98" s="9"/>
      <c r="O98" s="9"/>
      <c r="P98" s="9"/>
      <c r="Q98" s="9"/>
      <c r="R98" s="9"/>
      <c r="S98" s="9"/>
    </row>
    <row r="99" spans="14:19" ht="12.95" customHeight="1" x14ac:dyDescent="0.2">
      <c r="N99" s="9"/>
      <c r="O99" s="9"/>
      <c r="P99" s="9"/>
      <c r="Q99" s="9"/>
      <c r="R99" s="9"/>
      <c r="S99" s="9"/>
    </row>
    <row r="100" spans="14:19" ht="12.95" customHeight="1" x14ac:dyDescent="0.2">
      <c r="N100" s="9"/>
      <c r="O100" s="9"/>
      <c r="P100" s="9"/>
      <c r="Q100" s="9"/>
      <c r="R100" s="9"/>
      <c r="S100" s="9"/>
    </row>
    <row r="101" spans="14:19" ht="12.95" customHeight="1" x14ac:dyDescent="0.2">
      <c r="N101" s="9"/>
      <c r="O101" s="9"/>
      <c r="P101" s="9"/>
      <c r="Q101" s="9"/>
      <c r="R101" s="9"/>
      <c r="S101" s="9"/>
    </row>
    <row r="102" spans="14:19" ht="12.95" customHeight="1" x14ac:dyDescent="0.2">
      <c r="N102" s="9"/>
      <c r="O102" s="9"/>
      <c r="P102" s="9"/>
      <c r="Q102" s="9"/>
      <c r="R102" s="9"/>
      <c r="S102" s="9"/>
    </row>
    <row r="103" spans="14:19" ht="12.95" customHeight="1" x14ac:dyDescent="0.2">
      <c r="N103" s="9"/>
      <c r="O103" s="9"/>
      <c r="P103" s="9"/>
      <c r="Q103" s="9"/>
      <c r="R103" s="9"/>
      <c r="S103" s="9"/>
    </row>
    <row r="104" spans="14:19" ht="12.95" customHeight="1" x14ac:dyDescent="0.2">
      <c r="N104" s="9"/>
      <c r="O104" s="9"/>
      <c r="P104" s="9"/>
      <c r="Q104" s="9"/>
      <c r="R104" s="9"/>
      <c r="S104" s="9"/>
    </row>
    <row r="105" spans="14:19" ht="12.95" customHeight="1" x14ac:dyDescent="0.2">
      <c r="N105" s="9"/>
      <c r="O105" s="9"/>
      <c r="P105" s="9"/>
      <c r="Q105" s="9"/>
      <c r="R105" s="9"/>
      <c r="S105" s="9"/>
    </row>
    <row r="106" spans="14:19" ht="12.95" customHeight="1" x14ac:dyDescent="0.2">
      <c r="N106" s="9"/>
      <c r="O106" s="9"/>
      <c r="P106" s="9"/>
      <c r="Q106" s="9"/>
      <c r="R106" s="9"/>
      <c r="S106" s="9"/>
    </row>
    <row r="107" spans="14:19" ht="12.95" customHeight="1" x14ac:dyDescent="0.2">
      <c r="N107" s="9"/>
      <c r="O107" s="9"/>
      <c r="P107" s="9"/>
      <c r="Q107" s="9"/>
      <c r="R107" s="9"/>
      <c r="S107" s="9"/>
    </row>
    <row r="108" spans="14:19" ht="12.95" customHeight="1" x14ac:dyDescent="0.2">
      <c r="N108" s="9"/>
      <c r="O108" s="9"/>
      <c r="P108" s="9"/>
      <c r="Q108" s="9"/>
      <c r="R108" s="9"/>
      <c r="S108" s="9"/>
    </row>
    <row r="109" spans="14:19" ht="12.95" customHeight="1" x14ac:dyDescent="0.2">
      <c r="N109" s="9"/>
      <c r="O109" s="9"/>
      <c r="P109" s="9"/>
      <c r="Q109" s="9"/>
      <c r="R109" s="9"/>
      <c r="S109" s="9"/>
    </row>
    <row r="110" spans="14:19" ht="12.95" customHeight="1" x14ac:dyDescent="0.2">
      <c r="N110" s="9"/>
      <c r="O110" s="9"/>
      <c r="P110" s="9"/>
      <c r="Q110" s="9"/>
      <c r="R110" s="9"/>
      <c r="S110" s="9"/>
    </row>
    <row r="114" spans="7:19" ht="12.95" customHeight="1" x14ac:dyDescent="0.2">
      <c r="G114" s="33"/>
    </row>
    <row r="115" spans="7:19" ht="12.95" customHeight="1" x14ac:dyDescent="0.2">
      <c r="G115" s="33"/>
    </row>
    <row r="117" spans="7:19" ht="12.95" customHeight="1" x14ac:dyDescent="0.2">
      <c r="G117" s="33"/>
      <c r="N117" s="75"/>
      <c r="O117" s="75"/>
      <c r="P117" s="75"/>
      <c r="Q117" s="75"/>
      <c r="R117" s="75"/>
      <c r="S117" s="75"/>
    </row>
    <row r="118" spans="7:19" ht="12.95" customHeight="1" x14ac:dyDescent="0.2">
      <c r="N118" s="75"/>
      <c r="O118" s="75"/>
      <c r="P118" s="75"/>
      <c r="Q118" s="75"/>
      <c r="R118" s="75"/>
      <c r="S118" s="75"/>
    </row>
    <row r="122" spans="7:19" ht="12.95" customHeight="1" x14ac:dyDescent="0.2">
      <c r="G122" s="37"/>
      <c r="N122" s="88"/>
      <c r="O122" s="88"/>
      <c r="P122" s="88"/>
      <c r="Q122" s="88"/>
      <c r="R122" s="88"/>
      <c r="S122" s="88"/>
    </row>
    <row r="123" spans="7:19" ht="12.95" customHeight="1" x14ac:dyDescent="0.2">
      <c r="G123" s="37"/>
      <c r="N123" s="88"/>
      <c r="O123" s="88"/>
      <c r="P123" s="88"/>
      <c r="Q123" s="88"/>
      <c r="R123" s="88"/>
      <c r="S123" s="88"/>
    </row>
    <row r="124" spans="7:19" ht="12.95" customHeight="1" x14ac:dyDescent="0.2">
      <c r="G124" s="37"/>
      <c r="N124" s="88"/>
      <c r="O124" s="88"/>
      <c r="P124" s="88"/>
      <c r="Q124" s="88"/>
      <c r="R124" s="88"/>
      <c r="S124" s="88"/>
    </row>
    <row r="125" spans="7:19" ht="12.95" customHeight="1" x14ac:dyDescent="0.2">
      <c r="N125" s="88"/>
      <c r="O125" s="88"/>
      <c r="P125" s="88"/>
      <c r="Q125" s="88"/>
      <c r="R125" s="88"/>
      <c r="S125" s="88"/>
    </row>
    <row r="126" spans="7:19" ht="12.95" customHeight="1" x14ac:dyDescent="0.2">
      <c r="N126" s="88"/>
      <c r="O126" s="88"/>
      <c r="P126" s="88"/>
      <c r="Q126" s="88"/>
      <c r="R126" s="88"/>
      <c r="S126" s="88"/>
    </row>
    <row r="127" spans="7:19" ht="12.95" customHeight="1" x14ac:dyDescent="0.2">
      <c r="N127" s="88"/>
      <c r="O127" s="88"/>
      <c r="P127" s="88"/>
      <c r="Q127" s="88"/>
      <c r="R127" s="88"/>
      <c r="S127" s="88"/>
    </row>
    <row r="128" spans="7:19" ht="12.95" customHeight="1" x14ac:dyDescent="0.2">
      <c r="N128" s="88"/>
      <c r="O128" s="88"/>
      <c r="P128" s="88"/>
      <c r="Q128" s="88"/>
      <c r="R128" s="88"/>
      <c r="S128" s="88"/>
    </row>
    <row r="129" spans="14:19" ht="12.95" customHeight="1" x14ac:dyDescent="0.2">
      <c r="N129" s="88"/>
      <c r="O129" s="88"/>
      <c r="P129" s="88"/>
      <c r="Q129" s="88"/>
      <c r="R129" s="88"/>
      <c r="S129" s="88"/>
    </row>
  </sheetData>
  <sheetProtection algorithmName="SHA-512" hashValue="ZVDXjHSRw03Q5ngmB/MPt8UupSinDIGCX+wVSuWYX7FH7tpz3vyayN6PJ8gFbxMAObGuLnMlCEPZMDW5QcIYnQ==" saltValue="OUjmWbiSx0NMuhzlk44fXg==" spinCount="100000" sheet="1" objects="1" scenarios="1"/>
  <mergeCells count="5">
    <mergeCell ref="B64:C65"/>
    <mergeCell ref="B2:C2"/>
    <mergeCell ref="B3:C3"/>
    <mergeCell ref="B11:C12"/>
    <mergeCell ref="D2:E2"/>
  </mergeCells>
  <conditionalFormatting sqref="C72:D75 B1:D38 B39 D39 B73:B76 B40:D71 B76:D1048576">
    <cfRule type="expression" dxfId="647" priority="208">
      <formula>AND(B1&lt;&gt;"",NOT(_xlfn.ISFORMULA(B1)))</formula>
    </cfRule>
  </conditionalFormatting>
  <conditionalFormatting sqref="H25:P25 S68">
    <cfRule type="expression" dxfId="646" priority="203">
      <formula>AND($D25&lt;&gt;"",H$11&lt;&gt;"",H25="")</formula>
    </cfRule>
  </conditionalFormatting>
  <conditionalFormatting sqref="H25:P25">
    <cfRule type="expression" dxfId="645" priority="204">
      <formula>AND($A25="",ABS(H25)=0)</formula>
    </cfRule>
    <cfRule type="expression" dxfId="644" priority="205">
      <formula>AND($A25="",ABS(H25)&lt;100)</formula>
    </cfRule>
    <cfRule type="expression" dxfId="643" priority="206">
      <formula>AND($A25="",ABS(H25)&lt;10)</formula>
    </cfRule>
    <cfRule type="expression" dxfId="642" priority="207">
      <formula>AND($A25="",ABS(H25)&gt;=100)</formula>
    </cfRule>
  </conditionalFormatting>
  <conditionalFormatting sqref="H26:P28">
    <cfRule type="expression" dxfId="641" priority="192">
      <formula>AND($A1="",ABS(H1)&lt;10000)</formula>
    </cfRule>
  </conditionalFormatting>
  <conditionalFormatting sqref="H42:P43">
    <cfRule type="expression" dxfId="640" priority="191">
      <formula>AND($A1048571="",ABS(H1048571)&lt;1000)</formula>
    </cfRule>
  </conditionalFormatting>
  <conditionalFormatting sqref="H49:P49 H46:R47">
    <cfRule type="expression" dxfId="639" priority="190">
      <formula>AND($A1048562="",ABS(H1048562)&lt;1000)</formula>
    </cfRule>
  </conditionalFormatting>
  <conditionalFormatting sqref="H48:P48">
    <cfRule type="expression" dxfId="638" priority="184">
      <formula>AND($A68="",ABS(H68)&lt;100)</formula>
    </cfRule>
    <cfRule type="expression" dxfId="637" priority="185">
      <formula>AND($A68="",ABS(H68)&gt;=100)</formula>
    </cfRule>
  </conditionalFormatting>
  <conditionalFormatting sqref="H68:P70">
    <cfRule type="expression" dxfId="636" priority="183">
      <formula>AND($A1048562="",ABS(H1048562)&lt;1000)</formula>
    </cfRule>
  </conditionalFormatting>
  <conditionalFormatting sqref="H37:P37 H31:R32 H34:R35">
    <cfRule type="expression" dxfId="635" priority="361">
      <formula>AND($A1048562="",ABS(H1048562)&lt;1000)</formula>
    </cfRule>
  </conditionalFormatting>
  <conditionalFormatting sqref="S68">
    <cfRule type="expression" dxfId="634" priority="126">
      <formula>AND($A68="",ABS(S68)=0)</formula>
    </cfRule>
    <cfRule type="expression" dxfId="633" priority="127">
      <formula>AND($A68="",ABS(S68)&lt;100)</formula>
    </cfRule>
    <cfRule type="expression" dxfId="632" priority="128">
      <formula>AND($A68="",ABS(S68)&lt;10)</formula>
    </cfRule>
    <cfRule type="expression" dxfId="631" priority="129">
      <formula>AND($A68="",ABS(S68)&gt;=100)</formula>
    </cfRule>
  </conditionalFormatting>
  <conditionalFormatting sqref="S17 S21:S23 S19 S26:S27">
    <cfRule type="expression" dxfId="630" priority="120">
      <formula>AND($D17&lt;&gt;"",S$11&lt;&gt;"",S17="")</formula>
    </cfRule>
  </conditionalFormatting>
  <conditionalFormatting sqref="S17 S21:S23 S19 S26:S27">
    <cfRule type="expression" dxfId="629" priority="121">
      <formula>AND($A17="",ABS(S17)=0)</formula>
    </cfRule>
    <cfRule type="expression" dxfId="628" priority="122">
      <formula>AND($A17="",ABS(S17)&lt;100)</formula>
    </cfRule>
    <cfRule type="expression" dxfId="627" priority="123">
      <formula>AND($A17="",ABS(S17)&lt;10)</formula>
    </cfRule>
    <cfRule type="expression" dxfId="626" priority="124">
      <formula>AND($A17="",ABS(S17)&gt;=100)</formula>
    </cfRule>
  </conditionalFormatting>
  <conditionalFormatting sqref="S26:S27">
    <cfRule type="expression" dxfId="625" priority="119">
      <formula>AND($A1="",ABS(S1)&lt;10000)</formula>
    </cfRule>
  </conditionalFormatting>
  <conditionalFormatting sqref="S19">
    <cfRule type="expression" dxfId="624" priority="109">
      <formula>AND($D19&lt;&gt;"",S$11&lt;&gt;"",S19="")</formula>
    </cfRule>
  </conditionalFormatting>
  <conditionalFormatting sqref="S19">
    <cfRule type="expression" dxfId="623" priority="110">
      <formula>AND($A19="",ABS(S19)=0)</formula>
    </cfRule>
    <cfRule type="expression" dxfId="622" priority="111">
      <formula>AND($A19="",ABS(S19)&lt;100)</formula>
    </cfRule>
    <cfRule type="expression" dxfId="621" priority="112">
      <formula>AND($A19="",ABS(S19)&lt;10)</formula>
    </cfRule>
    <cfRule type="expression" dxfId="620" priority="113">
      <formula>AND($A19="",ABS(S19)&gt;=100)</formula>
    </cfRule>
  </conditionalFormatting>
  <conditionalFormatting sqref="S21">
    <cfRule type="expression" dxfId="619" priority="104">
      <formula>AND($D21&lt;&gt;"",S$11&lt;&gt;"",S21="")</formula>
    </cfRule>
  </conditionalFormatting>
  <conditionalFormatting sqref="S21">
    <cfRule type="expression" dxfId="618" priority="105">
      <formula>AND($A21="",ABS(S21)=0)</formula>
    </cfRule>
    <cfRule type="expression" dxfId="617" priority="106">
      <formula>AND($A21="",ABS(S21)&lt;100)</formula>
    </cfRule>
    <cfRule type="expression" dxfId="616" priority="107">
      <formula>AND($A21="",ABS(S21)&lt;10)</formula>
    </cfRule>
    <cfRule type="expression" dxfId="615" priority="108">
      <formula>AND($A21="",ABS(S21)&gt;=100)</formula>
    </cfRule>
  </conditionalFormatting>
  <conditionalFormatting sqref="S16">
    <cfRule type="expression" dxfId="614" priority="99">
      <formula>AND($D16&lt;&gt;"",S$11&lt;&gt;"",S16="")</formula>
    </cfRule>
  </conditionalFormatting>
  <conditionalFormatting sqref="S16">
    <cfRule type="expression" dxfId="613" priority="100">
      <formula>AND($A16="",ABS(S16)=0)</formula>
    </cfRule>
    <cfRule type="expression" dxfId="612" priority="101">
      <formula>AND($A16="",ABS(S16)&lt;100)</formula>
    </cfRule>
    <cfRule type="expression" dxfId="611" priority="102">
      <formula>AND($A16="",ABS(S16)&lt;10)</formula>
    </cfRule>
    <cfRule type="expression" dxfId="610" priority="103">
      <formula>AND($A16="",ABS(S16)&gt;=100)</formula>
    </cfRule>
  </conditionalFormatting>
  <conditionalFormatting sqref="S34:S35 S37:S38 S41:S43">
    <cfRule type="expression" dxfId="609" priority="94">
      <formula>AND($D34&lt;&gt;"",S$11&lt;&gt;"",S34="")</formula>
    </cfRule>
  </conditionalFormatting>
  <conditionalFormatting sqref="S34:S35 S37:S38 S41:S43">
    <cfRule type="expression" dxfId="608" priority="95">
      <formula>AND($A34="",ABS(S34)=0)</formula>
    </cfRule>
    <cfRule type="expression" dxfId="607" priority="96">
      <formula>AND($A34="",ABS(S34)&lt;100)</formula>
    </cfRule>
    <cfRule type="expression" dxfId="606" priority="97">
      <formula>AND($A34="",ABS(S34)&lt;10)</formula>
    </cfRule>
    <cfRule type="expression" dxfId="605" priority="98">
      <formula>AND($A34="",ABS(S34)&gt;=100)</formula>
    </cfRule>
  </conditionalFormatting>
  <conditionalFormatting sqref="S38 S41">
    <cfRule type="expression" dxfId="604" priority="90">
      <formula>AND($A38="",ABS(S38)=0)</formula>
    </cfRule>
    <cfRule type="expression" dxfId="603" priority="91">
      <formula>AND($A38="",ABS(S38)&lt;100)</formula>
    </cfRule>
    <cfRule type="expression" dxfId="602" priority="92">
      <formula>AND($A38="",ABS(S38)&lt;10)</formula>
    </cfRule>
    <cfRule type="expression" dxfId="601" priority="93">
      <formula>AND($A38="",ABS(S38)&gt;=100)</formula>
    </cfRule>
  </conditionalFormatting>
  <conditionalFormatting sqref="S49">
    <cfRule type="expression" dxfId="600" priority="75">
      <formula>AND($D49&lt;&gt;"",S$11&lt;&gt;"",S49="")</formula>
    </cfRule>
  </conditionalFormatting>
  <conditionalFormatting sqref="S49">
    <cfRule type="expression" dxfId="599" priority="76">
      <formula>AND($A49="",ABS(S49)=0)</formula>
    </cfRule>
    <cfRule type="expression" dxfId="598" priority="77">
      <formula>AND($A49="",ABS(S49)&lt;100)</formula>
    </cfRule>
    <cfRule type="expression" dxfId="597" priority="78">
      <formula>AND($A49="",ABS(S49)&lt;10)</formula>
    </cfRule>
    <cfRule type="expression" dxfId="596" priority="79">
      <formula>AND($A49="",ABS(S49)&gt;=100)</formula>
    </cfRule>
  </conditionalFormatting>
  <conditionalFormatting sqref="S52:S55">
    <cfRule type="expression" dxfId="595" priority="66">
      <formula>AND($D52&lt;&gt;"",S$11&lt;&gt;"",S52="")</formula>
    </cfRule>
  </conditionalFormatting>
  <conditionalFormatting sqref="S52:S55">
    <cfRule type="expression" dxfId="594" priority="67">
      <formula>AND($A52="",ABS(S52)=0)</formula>
    </cfRule>
    <cfRule type="expression" dxfId="593" priority="68">
      <formula>AND($A52="",ABS(S52)&lt;100)</formula>
    </cfRule>
    <cfRule type="expression" dxfId="592" priority="69">
      <formula>AND($A52="",ABS(S52)&lt;10)</formula>
    </cfRule>
    <cfRule type="expression" dxfId="591" priority="70">
      <formula>AND($A52="",ABS(S52)&gt;=100)</formula>
    </cfRule>
  </conditionalFormatting>
  <conditionalFormatting sqref="S52 S54">
    <cfRule type="expression" dxfId="590" priority="62">
      <formula>AND($A52="",ABS(S52)=0)</formula>
    </cfRule>
    <cfRule type="expression" dxfId="589" priority="63">
      <formula>AND($A52="",ABS(S52)&lt;100)</formula>
    </cfRule>
    <cfRule type="expression" dxfId="588" priority="64">
      <formula>AND($A52="",ABS(S52)&lt;10)</formula>
    </cfRule>
    <cfRule type="expression" dxfId="587" priority="65">
      <formula>AND($A52="",ABS(S52)&gt;=100)</formula>
    </cfRule>
  </conditionalFormatting>
  <conditionalFormatting sqref="S70">
    <cfRule type="expression" dxfId="586" priority="61">
      <formula>AND($D70&lt;&gt;"",S$11&lt;&gt;"",S70="")</formula>
    </cfRule>
  </conditionalFormatting>
  <conditionalFormatting sqref="S70">
    <cfRule type="expression" dxfId="585" priority="57">
      <formula>AND($A70="",ABS(S70)=0)</formula>
    </cfRule>
    <cfRule type="expression" dxfId="584" priority="58">
      <formula>AND($A70="",ABS(S70)&lt;100)</formula>
    </cfRule>
    <cfRule type="expression" dxfId="583" priority="59">
      <formula>AND($A70="",ABS(S70)&lt;10)</formula>
    </cfRule>
    <cfRule type="expression" dxfId="582" priority="60">
      <formula>AND($A70="",ABS(S70)&gt;=100)</formula>
    </cfRule>
  </conditionalFormatting>
  <conditionalFormatting sqref="S69">
    <cfRule type="expression" dxfId="581" priority="56">
      <formula>AND($D69&lt;&gt;"",S$11&lt;&gt;"",S69="")</formula>
    </cfRule>
  </conditionalFormatting>
  <conditionalFormatting sqref="S69">
    <cfRule type="expression" dxfId="580" priority="52">
      <formula>AND($A69="",ABS(S69)=0)</formula>
    </cfRule>
    <cfRule type="expression" dxfId="579" priority="53">
      <formula>AND($A69="",ABS(S69)&lt;100)</formula>
    </cfRule>
    <cfRule type="expression" dxfId="578" priority="54">
      <formula>AND($A69="",ABS(S69)&lt;10)</formula>
    </cfRule>
    <cfRule type="expression" dxfId="577" priority="55">
      <formula>AND($A69="",ABS(S69)&gt;=100)</formula>
    </cfRule>
  </conditionalFormatting>
  <conditionalFormatting sqref="Q25">
    <cfRule type="expression" dxfId="576" priority="47">
      <formula>AND($D25&lt;&gt;"",Q$11&lt;&gt;"",Q25="")</formula>
    </cfRule>
  </conditionalFormatting>
  <conditionalFormatting sqref="Q25">
    <cfRule type="expression" dxfId="575" priority="48">
      <formula>AND($A25="",ABS(Q25)=0)</formula>
    </cfRule>
    <cfRule type="expression" dxfId="574" priority="49">
      <formula>AND($A25="",ABS(Q25)&lt;100)</formula>
    </cfRule>
    <cfRule type="expression" dxfId="573" priority="50">
      <formula>AND($A25="",ABS(Q25)&lt;10)</formula>
    </cfRule>
    <cfRule type="expression" dxfId="572" priority="51">
      <formula>AND($A25="",ABS(Q25)&gt;=100)</formula>
    </cfRule>
  </conditionalFormatting>
  <conditionalFormatting sqref="Q26:Q28">
    <cfRule type="expression" dxfId="571" priority="46">
      <formula>AND($A1="",ABS(Q1)&lt;10000)</formula>
    </cfRule>
  </conditionalFormatting>
  <conditionalFormatting sqref="R25">
    <cfRule type="expression" dxfId="570" priority="41">
      <formula>AND($D25&lt;&gt;"",R$11&lt;&gt;"",R25="")</formula>
    </cfRule>
  </conditionalFormatting>
  <conditionalFormatting sqref="R25">
    <cfRule type="expression" dxfId="569" priority="42">
      <formula>AND($A25="",ABS(R25)=0)</formula>
    </cfRule>
    <cfRule type="expression" dxfId="568" priority="43">
      <formula>AND($A25="",ABS(R25)&lt;100)</formula>
    </cfRule>
    <cfRule type="expression" dxfId="567" priority="44">
      <formula>AND($A25="",ABS(R25)&lt;10)</formula>
    </cfRule>
    <cfRule type="expression" dxfId="566" priority="45">
      <formula>AND($A25="",ABS(R25)&gt;=100)</formula>
    </cfRule>
  </conditionalFormatting>
  <conditionalFormatting sqref="R26:R28">
    <cfRule type="expression" dxfId="565" priority="40">
      <formula>AND($A1="",ABS(R1)&lt;10000)</formula>
    </cfRule>
  </conditionalFormatting>
  <conditionalFormatting sqref="Q42:Q43">
    <cfRule type="expression" dxfId="564" priority="38">
      <formula>AND($A1048571="",ABS(Q1048571)&lt;1000)</formula>
    </cfRule>
  </conditionalFormatting>
  <conditionalFormatting sqref="Q37">
    <cfRule type="expression" dxfId="563" priority="39">
      <formula>AND($A1048568="",ABS(Q1048568)&lt;1000)</formula>
    </cfRule>
  </conditionalFormatting>
  <conditionalFormatting sqref="R42:R43">
    <cfRule type="expression" dxfId="562" priority="36">
      <formula>AND($A1048571="",ABS(R1048571)&lt;1000)</formula>
    </cfRule>
  </conditionalFormatting>
  <conditionalFormatting sqref="R37">
    <cfRule type="expression" dxfId="561" priority="37">
      <formula>AND($A1048568="",ABS(R1048568)&lt;1000)</formula>
    </cfRule>
  </conditionalFormatting>
  <conditionalFormatting sqref="Q49">
    <cfRule type="expression" dxfId="560" priority="35">
      <formula>AND($A1048565="",ABS(Q1048565)&lt;1000)</formula>
    </cfRule>
  </conditionalFormatting>
  <conditionalFormatting sqref="Q48">
    <cfRule type="expression" dxfId="559" priority="33">
      <formula>AND($A68="",ABS(Q68)&lt;100)</formula>
    </cfRule>
    <cfRule type="expression" dxfId="558" priority="34">
      <formula>AND($A68="",ABS(Q68)&gt;=100)</formula>
    </cfRule>
  </conditionalFormatting>
  <conditionalFormatting sqref="R49">
    <cfRule type="expression" dxfId="557" priority="32">
      <formula>AND($A1048565="",ABS(R1048565)&lt;1000)</formula>
    </cfRule>
  </conditionalFormatting>
  <conditionalFormatting sqref="R48">
    <cfRule type="expression" dxfId="556" priority="30">
      <formula>AND($A68="",ABS(R68)&lt;100)</formula>
    </cfRule>
    <cfRule type="expression" dxfId="555" priority="31">
      <formula>AND($A68="",ABS(R68)&gt;=100)</formula>
    </cfRule>
  </conditionalFormatting>
  <conditionalFormatting sqref="Q68:R70">
    <cfRule type="expression" dxfId="554" priority="29">
      <formula>AND($A1048562="",ABS(Q1048562)&lt;1000)</formula>
    </cfRule>
  </conditionalFormatting>
  <conditionalFormatting sqref="S25">
    <cfRule type="expression" dxfId="553" priority="24">
      <formula>AND($D25&lt;&gt;"",S$11&lt;&gt;"",S25="")</formula>
    </cfRule>
  </conditionalFormatting>
  <conditionalFormatting sqref="S25">
    <cfRule type="expression" dxfId="552" priority="25">
      <formula>AND($A25="",ABS(S25)=0)</formula>
    </cfRule>
    <cfRule type="expression" dxfId="551" priority="26">
      <formula>AND($A25="",ABS(S25)&lt;100)</formula>
    </cfRule>
    <cfRule type="expression" dxfId="550" priority="27">
      <formula>AND($A25="",ABS(S25)&lt;10)</formula>
    </cfRule>
    <cfRule type="expression" dxfId="549" priority="28">
      <formula>AND($A25="",ABS(S25)&gt;=100)</formula>
    </cfRule>
  </conditionalFormatting>
  <conditionalFormatting sqref="S28">
    <cfRule type="expression" dxfId="548" priority="23">
      <formula>AND($A3="",ABS(S3)&lt;10000)</formula>
    </cfRule>
  </conditionalFormatting>
  <conditionalFormatting sqref="S31">
    <cfRule type="expression" dxfId="547" priority="22">
      <formula>AND($A1048562="",ABS(S1048562)&lt;1000)</formula>
    </cfRule>
  </conditionalFormatting>
  <conditionalFormatting sqref="S32">
    <cfRule type="expression" dxfId="546" priority="21">
      <formula>AND($A1048563="",ABS(S1048563)&lt;1000)</formula>
    </cfRule>
  </conditionalFormatting>
  <conditionalFormatting sqref="S45:S46">
    <cfRule type="expression" dxfId="545" priority="20">
      <formula>AND($A1048561="",ABS(S1048561)&lt;1000)</formula>
    </cfRule>
  </conditionalFormatting>
  <conditionalFormatting sqref="S47">
    <cfRule type="expression" dxfId="544" priority="18">
      <formula>AND($A67="",ABS(S67)&lt;100)</formula>
    </cfRule>
    <cfRule type="expression" dxfId="543" priority="19">
      <formula>AND($A67="",ABS(S67)&gt;=100)</formula>
    </cfRule>
  </conditionalFormatting>
  <conditionalFormatting sqref="S48">
    <cfRule type="expression" dxfId="542" priority="16">
      <formula>AND($A68="",ABS(S68)&lt;100)</formula>
    </cfRule>
    <cfRule type="expression" dxfId="541" priority="17">
      <formula>AND($A68="",ABS(S68)&gt;=100)</formula>
    </cfRule>
  </conditionalFormatting>
  <dataValidations count="2">
    <dataValidation type="list" allowBlank="1" showInputMessage="1" showErrorMessage="1" sqref="G2" xr:uid="{00000000-0002-0000-0500-000000000000}">
      <formula1>Sprache</formula1>
    </dataValidation>
    <dataValidation allowBlank="1" showInputMessage="1" showErrorMessage="1" sqref="F2" xr:uid="{156DB13E-EC7B-4C7D-972B-0E16B4493D9C}"/>
  </dataValidations>
  <hyperlinks>
    <hyperlink ref="C7" location="GRI_302_1" display="GRI_302_1" xr:uid="{00000000-0004-0000-0500-000000000000}"/>
    <hyperlink ref="C8" location="GRI_302_2" display="GRI_302_2" xr:uid="{00000000-0004-0000-0500-000001000000}"/>
    <hyperlink ref="A11" location="GRI_302" display="Ó" xr:uid="{00000000-0004-0000-0500-000002000000}"/>
    <hyperlink ref="A64" location="GRI_302" display="Ó" xr:uid="{00000000-0004-0000-0500-000003000000}"/>
    <hyperlink ref="D2" location="Home" display="Home" xr:uid="{00000000-0004-0000-0500-000004000000}"/>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11">
    <tabColor rgb="FF006D68"/>
  </sheetPr>
  <dimension ref="A2:CE128"/>
  <sheetViews>
    <sheetView showGridLines="0" showRowColHeaders="0" zoomScaleNormal="100" workbookViewId="0">
      <pane xSplit="7" topLeftCell="H1" activePane="topRight" state="frozen"/>
      <selection activeCell="B73" sqref="B73"/>
      <selection pane="topRight" activeCell="B2" sqref="B2:C2"/>
    </sheetView>
  </sheetViews>
  <sheetFormatPr baseColWidth="10" defaultColWidth="10.85546875" defaultRowHeight="12.95" customHeight="1" x14ac:dyDescent="0.2"/>
  <cols>
    <col min="1" max="1" width="2.42578125" style="47" customWidth="1"/>
    <col min="2" max="2" width="2.42578125" style="1" customWidth="1"/>
    <col min="3" max="3" width="55.5703125" style="1" customWidth="1"/>
    <col min="4" max="4" width="18.28515625" style="1" customWidth="1"/>
    <col min="5" max="5" width="9.42578125" style="11" customWidth="1"/>
    <col min="6" max="6" width="14.140625" style="9" customWidth="1"/>
    <col min="7" max="7" width="2.42578125" style="34" customWidth="1"/>
    <col min="8" max="13" width="11.7109375" style="9" customWidth="1"/>
    <col min="14" max="19" width="11.7109375" style="11" customWidth="1"/>
    <col min="20" max="83" width="11.7109375" style="9" customWidth="1"/>
    <col min="84" max="16384" width="10.85546875" style="1"/>
  </cols>
  <sheetData>
    <row r="2" spans="1:83" s="97" customFormat="1" ht="26.1" customHeight="1" x14ac:dyDescent="0.2">
      <c r="A2" s="45"/>
      <c r="B2" s="406" t="str">
        <f>UPPER(RIGHT(Inhaltsverzeichnis!$C$22,LEN(Inhaltsverzeichnis!$C$22)-FIND(" – ",Inhaltsverzeichnis!$C$22,1)-2))</f>
        <v>EMISSIONEN</v>
      </c>
      <c r="C2" s="406"/>
      <c r="D2" s="402" t="str">
        <f>VLOOKUP(35,Textbausteine_Menu[],Hilfsgrössen!$D$2,FALSE)</f>
        <v>zurück zum Inhaltsverzeichnis</v>
      </c>
      <c r="E2" s="403"/>
      <c r="F2" s="91" t="s">
        <v>0</v>
      </c>
      <c r="G2" s="104"/>
      <c r="H2" s="27"/>
      <c r="I2" s="27"/>
      <c r="J2" s="27"/>
      <c r="K2" s="27"/>
      <c r="L2" s="27"/>
      <c r="M2" s="27"/>
      <c r="N2" s="71"/>
      <c r="O2" s="71"/>
      <c r="P2" s="71"/>
      <c r="Q2" s="71"/>
      <c r="R2" s="71"/>
      <c r="S2" s="71"/>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row>
    <row r="3" spans="1:83" s="98" customFormat="1" ht="26.1" customHeight="1" x14ac:dyDescent="0.2">
      <c r="A3" s="46"/>
      <c r="B3" s="407" t="str">
        <f>UPPER("GRI "&amp;LEFT(Inhaltsverzeichnis!$C$22,3))</f>
        <v>GRI 305</v>
      </c>
      <c r="C3" s="407"/>
      <c r="E3" s="71"/>
      <c r="F3" s="27"/>
      <c r="G3" s="32"/>
      <c r="H3" s="27"/>
      <c r="I3" s="27"/>
      <c r="J3" s="27"/>
      <c r="K3" s="27"/>
      <c r="L3" s="27"/>
      <c r="M3" s="27"/>
      <c r="N3" s="71"/>
      <c r="O3" s="71"/>
      <c r="P3" s="71"/>
      <c r="Q3" s="71"/>
      <c r="R3" s="71"/>
      <c r="S3" s="71"/>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row>
    <row r="6" spans="1:83" s="6" customFormat="1" ht="12.95" customHeight="1" x14ac:dyDescent="0.2">
      <c r="A6" s="38"/>
      <c r="B6" s="6" t="str">
        <f>VLOOKUP(31,Textbausteine_Menu[],Hilfsgrössen!$D$2,FALSE)</f>
        <v>Offenlegungen</v>
      </c>
      <c r="E6" s="7"/>
      <c r="F6" s="28"/>
      <c r="G6" s="33"/>
      <c r="H6" s="9"/>
      <c r="I6" s="9"/>
      <c r="J6" s="9"/>
      <c r="K6" s="9"/>
      <c r="L6" s="9"/>
      <c r="M6" s="9"/>
      <c r="N6" s="11"/>
      <c r="O6" s="11"/>
      <c r="P6" s="11"/>
      <c r="Q6" s="11"/>
      <c r="R6" s="11"/>
      <c r="S6" s="11"/>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row>
    <row r="7" spans="1:83" ht="12.95" customHeight="1" x14ac:dyDescent="0.2">
      <c r="B7" s="2"/>
      <c r="C7" s="5" t="str">
        <f>VLOOKUP(1,Textbausteine_305[],Hilfsgrössen!$D$2,FALSE)</f>
        <v>Treibhausgasemissionen</v>
      </c>
      <c r="D7" s="4"/>
    </row>
    <row r="8" spans="1:83" ht="12.95" customHeight="1" x14ac:dyDescent="0.2">
      <c r="B8" s="2"/>
      <c r="C8" s="5" t="str">
        <f>VLOOKUP(2,Textbausteine_305[],Hilfsgrössen!$D$2,FALSE)</f>
        <v>Treibhausgasintensitäten</v>
      </c>
      <c r="D8" s="4"/>
    </row>
    <row r="9" spans="1:83" ht="12.95" customHeight="1" x14ac:dyDescent="0.2">
      <c r="B9" s="2"/>
      <c r="C9" s="5" t="str">
        <f>VLOOKUP(3,Textbausteine_305[],Hilfsgrössen!$D$2,FALSE)</f>
        <v>Kompensierte Treibhausgasemissionen</v>
      </c>
      <c r="D9" s="4"/>
    </row>
    <row r="10" spans="1:83" ht="12.95" customHeight="1" x14ac:dyDescent="0.2">
      <c r="B10" s="2"/>
      <c r="C10" s="5" t="str">
        <f>VLOOKUP(4,Textbausteine_305[],Hilfsgrössen!$D$2,FALSE)</f>
        <v>Weitere Treibhausgaskennzahlen</v>
      </c>
      <c r="D10" s="4"/>
      <c r="E10" s="7"/>
      <c r="F10" s="28"/>
      <c r="H10" s="11"/>
      <c r="I10" s="11"/>
      <c r="J10" s="11"/>
      <c r="K10" s="11"/>
      <c r="L10" s="11"/>
      <c r="M10" s="11"/>
      <c r="T10" s="7"/>
      <c r="U10" s="7"/>
      <c r="V10" s="7"/>
      <c r="W10" s="7"/>
      <c r="X10" s="7"/>
      <c r="Y10" s="7"/>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row>
    <row r="11" spans="1:83" ht="12.95" customHeight="1" x14ac:dyDescent="0.2">
      <c r="B11" s="2"/>
      <c r="C11" s="93" t="str">
        <f>VLOOKUP(5,Textbausteine_305[],Hilfsgrössen!$D$2,FALSE)</f>
        <v>Luftschadstoffemissionen</v>
      </c>
      <c r="D11" s="4"/>
      <c r="E11" s="7"/>
      <c r="F11" s="28"/>
      <c r="H11" s="72"/>
      <c r="I11" s="72"/>
      <c r="J11" s="72"/>
      <c r="K11" s="72"/>
      <c r="L11" s="72"/>
      <c r="M11" s="72"/>
      <c r="N11" s="74"/>
      <c r="O11" s="74"/>
      <c r="P11" s="74"/>
      <c r="Q11" s="74"/>
      <c r="R11" s="74"/>
      <c r="S11" s="74"/>
      <c r="T11" s="80"/>
      <c r="U11" s="74"/>
      <c r="V11" s="74"/>
      <c r="W11" s="74"/>
      <c r="X11" s="74"/>
      <c r="Y11" s="74"/>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row>
    <row r="12" spans="1:83" ht="12.95" customHeight="1" x14ac:dyDescent="0.2">
      <c r="B12" s="2"/>
      <c r="E12" s="381"/>
      <c r="G12" s="33"/>
    </row>
    <row r="13" spans="1:83" ht="12.95" customHeight="1" x14ac:dyDescent="0.2">
      <c r="B13" s="2"/>
      <c r="G13" s="33"/>
      <c r="H13" s="11"/>
      <c r="I13" s="11"/>
      <c r="L13" s="85"/>
      <c r="M13" s="85"/>
      <c r="T13" s="12"/>
      <c r="U13" s="15"/>
      <c r="V13" s="15"/>
      <c r="W13" s="15"/>
      <c r="X13" s="15"/>
      <c r="Y13" s="15"/>
    </row>
    <row r="14" spans="1:83" s="6" customFormat="1" ht="12.95" customHeight="1" x14ac:dyDescent="0.2">
      <c r="A14" s="115" t="s">
        <v>27</v>
      </c>
      <c r="B14" s="401" t="str">
        <f>$C$7</f>
        <v>Treibhausgasemissionen</v>
      </c>
      <c r="C14" s="401"/>
      <c r="D14" s="6" t="str">
        <f>VLOOKUP(32,Textbausteine_Menu[],Hilfsgrössen!$D$2,FALSE)</f>
        <v>Einheit</v>
      </c>
      <c r="E14" s="7" t="str">
        <f>VLOOKUP(33,Textbausteine_Menu[],Hilfsgrössen!$D$2,FALSE)</f>
        <v>Fussnoten</v>
      </c>
      <c r="F14" s="28" t="str">
        <f>VLOOKUP(34,Textbausteine_Menu[],Hilfsgrössen!$D$2,FALSE)</f>
        <v>GRI</v>
      </c>
      <c r="G14" s="34"/>
      <c r="H14" s="7">
        <v>2010</v>
      </c>
      <c r="I14" s="7">
        <v>2011</v>
      </c>
      <c r="J14" s="28">
        <v>2012</v>
      </c>
      <c r="K14" s="28">
        <v>2013</v>
      </c>
      <c r="L14" s="89">
        <v>2014</v>
      </c>
      <c r="M14" s="89">
        <v>2015</v>
      </c>
      <c r="N14" s="7">
        <v>2016</v>
      </c>
      <c r="O14" s="7">
        <v>2017</v>
      </c>
      <c r="P14" s="7">
        <v>2018</v>
      </c>
      <c r="Q14" s="7" t="s">
        <v>155</v>
      </c>
      <c r="R14" s="7" t="s">
        <v>156</v>
      </c>
      <c r="S14" s="90">
        <v>2021</v>
      </c>
      <c r="T14" s="77"/>
      <c r="U14" s="76"/>
      <c r="V14" s="76"/>
      <c r="W14" s="76"/>
      <c r="X14" s="76"/>
      <c r="Y14" s="76"/>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row>
    <row r="15" spans="1:83" s="6" customFormat="1" ht="12.95" customHeight="1" x14ac:dyDescent="0.2">
      <c r="A15" s="38"/>
      <c r="B15" s="401"/>
      <c r="C15" s="401"/>
      <c r="E15" s="11"/>
      <c r="F15" s="9"/>
      <c r="G15" s="34"/>
      <c r="H15" s="11"/>
      <c r="I15" s="11"/>
      <c r="J15" s="9"/>
      <c r="K15" s="9"/>
      <c r="L15" s="85"/>
      <c r="M15" s="85"/>
      <c r="N15" s="75"/>
      <c r="O15" s="75"/>
      <c r="P15" s="75"/>
      <c r="Q15" s="75"/>
      <c r="R15" s="75"/>
      <c r="S15" s="83"/>
      <c r="T15" s="12"/>
      <c r="U15" s="12"/>
      <c r="V15" s="12"/>
      <c r="W15" s="12"/>
      <c r="X15" s="12"/>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row>
    <row r="16" spans="1:83" ht="12.95" customHeight="1" x14ac:dyDescent="0.2">
      <c r="B16" s="2"/>
      <c r="H16" s="11"/>
      <c r="I16" s="11"/>
      <c r="L16" s="85"/>
      <c r="M16" s="85"/>
      <c r="N16" s="75"/>
      <c r="O16" s="75"/>
      <c r="P16" s="75"/>
      <c r="Q16" s="75"/>
      <c r="R16" s="75"/>
      <c r="S16" s="83"/>
      <c r="T16" s="12"/>
      <c r="U16" s="15"/>
      <c r="V16" s="15"/>
      <c r="W16" s="15"/>
      <c r="X16" s="15"/>
      <c r="Y16" s="15"/>
    </row>
    <row r="17" spans="2:25" ht="12.95" customHeight="1" x14ac:dyDescent="0.2">
      <c r="B17" s="2" t="str">
        <f>VLOOKUP(36,Textbausteine_Menu[],Hilfsgrössen!$D$2,FALSE)</f>
        <v>Konzern</v>
      </c>
      <c r="C17" s="2"/>
      <c r="H17" s="11"/>
      <c r="I17" s="11"/>
      <c r="J17" s="86"/>
      <c r="L17" s="85"/>
      <c r="M17" s="85"/>
      <c r="S17" s="82"/>
      <c r="T17" s="12"/>
      <c r="U17" s="15"/>
      <c r="V17" s="15"/>
      <c r="W17" s="15"/>
      <c r="X17" s="15"/>
    </row>
    <row r="18" spans="2:25" ht="12.95" customHeight="1" x14ac:dyDescent="0.2">
      <c r="C18" s="2" t="str">
        <f>VLOOKUP(31,Textbausteine_305[],Hilfsgrössen!$D$2,FALSE)</f>
        <v>Nach Prozessen</v>
      </c>
      <c r="H18" s="11"/>
      <c r="I18" s="11"/>
      <c r="L18" s="85"/>
      <c r="M18" s="85"/>
      <c r="N18" s="9"/>
      <c r="O18" s="9"/>
      <c r="P18" s="9"/>
      <c r="Q18" s="9"/>
      <c r="R18" s="9"/>
      <c r="S18" s="87"/>
      <c r="T18" s="12"/>
      <c r="U18" s="15"/>
      <c r="V18" s="15"/>
      <c r="W18" s="15"/>
      <c r="X18" s="15"/>
      <c r="Y18" s="15"/>
    </row>
    <row r="19" spans="2:25" ht="12.95" customHeight="1" x14ac:dyDescent="0.2">
      <c r="C19" s="17" t="str">
        <f>VLOOKUP(32,Textbausteine_305[],Hilfsgrössen!$D$2,FALSE)</f>
        <v>Leistungserbringung</v>
      </c>
      <c r="D19" s="1" t="str">
        <f>VLOOKUP(11,Textbausteine_305[],Hilfsgrössen!$D$2,FALSE)</f>
        <v>t CO2-Äquivalent</v>
      </c>
      <c r="E19" s="11">
        <v>2</v>
      </c>
      <c r="H19" s="11">
        <v>478253</v>
      </c>
      <c r="I19" s="11">
        <v>463248</v>
      </c>
      <c r="J19" s="9">
        <v>478020</v>
      </c>
      <c r="K19" s="9">
        <v>449174</v>
      </c>
      <c r="L19" s="9">
        <v>442202</v>
      </c>
      <c r="M19" s="85">
        <v>440728</v>
      </c>
      <c r="N19" s="9">
        <v>446151.36167582998</v>
      </c>
      <c r="O19" s="9">
        <v>436549.74852076999</v>
      </c>
      <c r="P19" s="9">
        <v>439954.81451882998</v>
      </c>
      <c r="Q19" s="207">
        <f>Q20+Q24</f>
        <v>439145.52999999997</v>
      </c>
      <c r="R19" s="207">
        <f>R20+R24</f>
        <v>428367.35000000003</v>
      </c>
      <c r="S19" s="325">
        <f>S20+S24</f>
        <v>456664.48</v>
      </c>
      <c r="T19" s="11"/>
      <c r="Y19" s="15"/>
    </row>
    <row r="20" spans="2:25" ht="12.95" customHeight="1" x14ac:dyDescent="0.2">
      <c r="C20" s="122" t="str">
        <f>VLOOKUP(33,Textbausteine_305[],Hilfsgrössen!$D$2,FALSE)</f>
        <v>Gebäude</v>
      </c>
      <c r="D20" s="1" t="str">
        <f>VLOOKUP(11,Textbausteine_305[],Hilfsgrössen!$D$2,FALSE)</f>
        <v>t CO2-Äquivalent</v>
      </c>
      <c r="E20" s="11">
        <v>2</v>
      </c>
      <c r="H20" s="9">
        <v>116701</v>
      </c>
      <c r="I20" s="9">
        <v>99636</v>
      </c>
      <c r="J20" s="9">
        <v>98712</v>
      </c>
      <c r="K20" s="9">
        <v>88695</v>
      </c>
      <c r="L20" s="9">
        <v>84265</v>
      </c>
      <c r="M20" s="9">
        <v>80863</v>
      </c>
      <c r="N20" s="9">
        <v>75302.539396716005</v>
      </c>
      <c r="O20" s="9">
        <f t="shared" ref="O20" si="0">SUM(O21:O23)</f>
        <v>74730</v>
      </c>
      <c r="P20" s="9">
        <v>74354.932472487999</v>
      </c>
      <c r="Q20" s="207">
        <f>SUM(Q21:Q23)</f>
        <v>40349.230000000003</v>
      </c>
      <c r="R20" s="207">
        <f>SUM(R21:R23)</f>
        <v>39983.64</v>
      </c>
      <c r="S20" s="325">
        <f>SUM(S21:S23)</f>
        <v>39639.25</v>
      </c>
    </row>
    <row r="21" spans="2:25" ht="12.95" customHeight="1" x14ac:dyDescent="0.2">
      <c r="C21" s="124" t="str">
        <f>VLOOKUP(34,Textbausteine_305[],Hilfsgrössen!$D$2,FALSE)</f>
        <v>Wärme</v>
      </c>
      <c r="D21" s="1" t="str">
        <f>VLOOKUP(11,Textbausteine_305[],Hilfsgrössen!$D$2,FALSE)</f>
        <v>t CO2-Äquivalent</v>
      </c>
      <c r="E21" s="11">
        <v>2</v>
      </c>
      <c r="H21" s="9">
        <v>54661</v>
      </c>
      <c r="I21" s="9">
        <v>46183</v>
      </c>
      <c r="J21" s="9">
        <v>44539</v>
      </c>
      <c r="K21" s="9">
        <v>39441</v>
      </c>
      <c r="L21" s="9">
        <v>33088</v>
      </c>
      <c r="M21" s="9">
        <v>31853</v>
      </c>
      <c r="N21" s="9">
        <v>30967.381685439999</v>
      </c>
      <c r="O21" s="9">
        <v>30661</v>
      </c>
      <c r="P21" s="9">
        <v>33938.287700442997</v>
      </c>
      <c r="Q21" s="207">
        <v>32688.83</v>
      </c>
      <c r="R21" s="207">
        <v>32035.7</v>
      </c>
      <c r="S21" s="325">
        <v>31284.04</v>
      </c>
    </row>
    <row r="22" spans="2:25" ht="12.95" customHeight="1" x14ac:dyDescent="0.2">
      <c r="C22" s="124" t="str">
        <f>VLOOKUP(35,Textbausteine_305[],Hilfsgrössen!$D$2,FALSE)</f>
        <v>Strom</v>
      </c>
      <c r="D22" s="1" t="str">
        <f>VLOOKUP(11,Textbausteine_305[],Hilfsgrössen!$D$2,FALSE)</f>
        <v>t CO2-Äquivalent</v>
      </c>
      <c r="E22" s="11">
        <v>1</v>
      </c>
      <c r="H22" s="9">
        <v>40209</v>
      </c>
      <c r="I22" s="9">
        <v>31902</v>
      </c>
      <c r="J22" s="9">
        <v>32001</v>
      </c>
      <c r="K22" s="9">
        <v>30455</v>
      </c>
      <c r="L22" s="9">
        <v>32853</v>
      </c>
      <c r="M22" s="9">
        <v>31189</v>
      </c>
      <c r="N22" s="9">
        <v>28441.728036182001</v>
      </c>
      <c r="O22" s="9">
        <v>28430</v>
      </c>
      <c r="P22" s="9">
        <v>26768.113074828001</v>
      </c>
      <c r="Q22" s="207">
        <v>3204.76</v>
      </c>
      <c r="R22" s="207">
        <v>3349.67</v>
      </c>
      <c r="S22" s="325">
        <v>3107.85</v>
      </c>
    </row>
    <row r="23" spans="2:25" ht="12.95" customHeight="1" x14ac:dyDescent="0.2">
      <c r="C23" s="124" t="str">
        <f>VLOOKUP(36,Textbausteine_305[],Hilfsgrössen!$D$2,FALSE)</f>
        <v>Kältemittel, Ressourcen und Abfälle</v>
      </c>
      <c r="D23" s="1" t="str">
        <f>VLOOKUP(11,Textbausteine_305[],Hilfsgrössen!$D$2,FALSE)</f>
        <v>t CO2-Äquivalent</v>
      </c>
      <c r="E23" s="11">
        <v>2</v>
      </c>
      <c r="H23" s="9">
        <v>21831</v>
      </c>
      <c r="I23" s="9">
        <v>21551</v>
      </c>
      <c r="J23" s="9">
        <v>22172</v>
      </c>
      <c r="K23" s="9">
        <v>18799</v>
      </c>
      <c r="L23" s="9">
        <v>18324</v>
      </c>
      <c r="M23" s="9">
        <v>17821</v>
      </c>
      <c r="N23" s="9">
        <v>15893.429675093999</v>
      </c>
      <c r="O23" s="9">
        <v>15639</v>
      </c>
      <c r="P23" s="9">
        <v>13648.531697216</v>
      </c>
      <c r="Q23" s="207">
        <v>4455.6400000000003</v>
      </c>
      <c r="R23" s="207">
        <v>4598.2699999999995</v>
      </c>
      <c r="S23" s="325">
        <v>5247.3600000000006</v>
      </c>
    </row>
    <row r="24" spans="2:25" ht="12.95" customHeight="1" x14ac:dyDescent="0.2">
      <c r="C24" s="122" t="str">
        <f>VLOOKUP(37,Textbausteine_305[],Hilfsgrössen!$D$2,FALSE)</f>
        <v>Mobilität</v>
      </c>
      <c r="D24" s="1" t="str">
        <f>VLOOKUP(11,Textbausteine_305[],Hilfsgrössen!$D$2,FALSE)</f>
        <v>t CO2-Äquivalent</v>
      </c>
      <c r="E24" s="11">
        <v>2</v>
      </c>
      <c r="H24" s="9">
        <v>361552</v>
      </c>
      <c r="I24" s="9">
        <v>363611</v>
      </c>
      <c r="J24" s="9">
        <v>379309</v>
      </c>
      <c r="K24" s="9">
        <v>360479.050086</v>
      </c>
      <c r="L24" s="9">
        <v>357936.04966800002</v>
      </c>
      <c r="M24" s="9">
        <v>359864.04543599999</v>
      </c>
      <c r="N24" s="9">
        <v>370848.82227910816</v>
      </c>
      <c r="O24" s="9">
        <f t="shared" ref="O24" si="1">SUM(O25,O26,O32,O33)</f>
        <v>361818.88903891662</v>
      </c>
      <c r="P24" s="9">
        <v>365599.88204633998</v>
      </c>
      <c r="Q24" s="9">
        <f>Q34+Q33+Q32+Q26+Q25</f>
        <v>398796.3</v>
      </c>
      <c r="R24" s="9">
        <f>R34+R33+R32+R26+R25</f>
        <v>388383.71</v>
      </c>
      <c r="S24" s="325">
        <f>S34+S33+S32+S26+S25</f>
        <v>417025.23</v>
      </c>
    </row>
    <row r="25" spans="2:25" ht="12.95" customHeight="1" x14ac:dyDescent="0.2">
      <c r="C25" s="132" t="str">
        <f>VLOOKUP(38,Textbausteine_305[],Hilfsgrössen!$D$2,FALSE)</f>
        <v>Personentransport</v>
      </c>
      <c r="D25" s="1" t="str">
        <f>VLOOKUP(11,Textbausteine_305[],Hilfsgrössen!$D$2,FALSE)</f>
        <v>t CO2-Äquivalent</v>
      </c>
      <c r="E25" s="11">
        <v>2</v>
      </c>
      <c r="H25" s="9">
        <v>145129</v>
      </c>
      <c r="I25" s="9">
        <v>150581</v>
      </c>
      <c r="J25" s="9">
        <v>157333</v>
      </c>
      <c r="K25" s="9">
        <v>166232</v>
      </c>
      <c r="L25" s="9">
        <v>167441</v>
      </c>
      <c r="M25" s="9">
        <v>169933</v>
      </c>
      <c r="N25" s="9">
        <v>179348.87068190001</v>
      </c>
      <c r="O25" s="9">
        <v>177817.08560113999</v>
      </c>
      <c r="P25" s="9">
        <v>180687.69761884</v>
      </c>
      <c r="Q25" s="9">
        <v>164446.60999999999</v>
      </c>
      <c r="R25" s="9">
        <v>156713.76999999999</v>
      </c>
      <c r="S25" s="87">
        <v>169912.22</v>
      </c>
    </row>
    <row r="26" spans="2:25" ht="12.95" customHeight="1" x14ac:dyDescent="0.2">
      <c r="C26" s="132" t="str">
        <f>VLOOKUP(39,Textbausteine_305[],Hilfsgrössen!$D$2,FALSE)</f>
        <v>Gütertransport</v>
      </c>
      <c r="D26" s="1" t="str">
        <f>VLOOKUP(11,Textbausteine_305[],Hilfsgrössen!$D$2,FALSE)</f>
        <v>t CO2-Äquivalent</v>
      </c>
      <c r="E26" s="11">
        <v>2</v>
      </c>
      <c r="H26" s="9">
        <v>158386</v>
      </c>
      <c r="I26" s="9">
        <v>155349</v>
      </c>
      <c r="J26" s="9">
        <v>163650</v>
      </c>
      <c r="K26" s="9">
        <v>134655.050086</v>
      </c>
      <c r="L26" s="9">
        <v>128576.04966800001</v>
      </c>
      <c r="M26" s="9">
        <v>128391.045436</v>
      </c>
      <c r="N26" s="9">
        <v>132810.19582265869</v>
      </c>
      <c r="O26" s="9">
        <f t="shared" ref="O26" si="2">SUM(O27:O31)</f>
        <v>126530.2519180572</v>
      </c>
      <c r="P26" s="9">
        <v>128250.95168711001</v>
      </c>
      <c r="Q26" s="9">
        <f>SUM(Q27:Q31)</f>
        <v>158982.37</v>
      </c>
      <c r="R26" s="9">
        <f>SUM(R27:R31)</f>
        <v>165000.09000000003</v>
      </c>
      <c r="S26" s="87">
        <f>SUM(S27:S31)</f>
        <v>178498.7</v>
      </c>
    </row>
    <row r="27" spans="2:25" ht="12.95" customHeight="1" x14ac:dyDescent="0.2">
      <c r="C27" s="135" t="str">
        <f>VLOOKUP(40,Textbausteine_305[],Hilfsgrössen!$D$2,FALSE)</f>
        <v>Werksgelände</v>
      </c>
      <c r="D27" s="1" t="str">
        <f>VLOOKUP(11,Textbausteine_305[],Hilfsgrössen!$D$2,FALSE)</f>
        <v>t CO2-Äquivalent</v>
      </c>
      <c r="E27" s="11">
        <v>2</v>
      </c>
      <c r="H27" s="9">
        <v>623</v>
      </c>
      <c r="I27" s="9">
        <v>658</v>
      </c>
      <c r="J27" s="9">
        <v>665</v>
      </c>
      <c r="K27" s="9">
        <v>591</v>
      </c>
      <c r="L27" s="9">
        <v>673</v>
      </c>
      <c r="M27" s="9">
        <v>572</v>
      </c>
      <c r="N27" s="9">
        <v>589.93020036760004</v>
      </c>
      <c r="O27" s="9">
        <v>1041.5849523159</v>
      </c>
      <c r="P27" s="9">
        <v>820.06261596723004</v>
      </c>
      <c r="Q27" s="9">
        <v>1075.26</v>
      </c>
      <c r="R27" s="9">
        <v>1167.7</v>
      </c>
      <c r="S27" s="87">
        <v>1323.98</v>
      </c>
    </row>
    <row r="28" spans="2:25" ht="12.95" customHeight="1" x14ac:dyDescent="0.2">
      <c r="C28" s="135" t="str">
        <f>VLOOKUP(41,Textbausteine_305[],Hilfsgrössen!$D$2,FALSE)</f>
        <v>Strasse</v>
      </c>
      <c r="D28" s="1" t="str">
        <f>VLOOKUP(11,Textbausteine_305[],Hilfsgrössen!$D$2,FALSE)</f>
        <v>t CO2-Äquivalent</v>
      </c>
      <c r="E28" s="11">
        <v>2</v>
      </c>
      <c r="H28" s="9">
        <v>100078</v>
      </c>
      <c r="I28" s="9">
        <v>94364</v>
      </c>
      <c r="J28" s="9">
        <v>94257</v>
      </c>
      <c r="K28" s="9">
        <v>94686</v>
      </c>
      <c r="L28" s="9">
        <v>89603</v>
      </c>
      <c r="M28" s="9">
        <v>88652</v>
      </c>
      <c r="N28" s="9">
        <v>89117.372014599998</v>
      </c>
      <c r="O28" s="9">
        <v>88326.869325242995</v>
      </c>
      <c r="P28" s="9">
        <v>91709.252918305996</v>
      </c>
      <c r="Q28" s="9">
        <v>128807.94</v>
      </c>
      <c r="R28" s="9">
        <v>135777.85</v>
      </c>
      <c r="S28" s="87">
        <v>145316.75</v>
      </c>
    </row>
    <row r="29" spans="2:25" ht="12.95" customHeight="1" x14ac:dyDescent="0.2">
      <c r="C29" s="135" t="str">
        <f>VLOOKUP(42,Textbausteine_305[],Hilfsgrössen!$D$2,FALSE)</f>
        <v>Schiene</v>
      </c>
      <c r="D29" s="1" t="str">
        <f>VLOOKUP(11,Textbausteine_305[],Hilfsgrössen!$D$2,FALSE)</f>
        <v>t CO2-Äquivalent</v>
      </c>
      <c r="E29" s="11">
        <v>2</v>
      </c>
      <c r="F29" s="11"/>
      <c r="H29" s="9">
        <v>1395</v>
      </c>
      <c r="I29" s="9">
        <v>1389</v>
      </c>
      <c r="J29" s="9">
        <v>1336</v>
      </c>
      <c r="K29" s="9">
        <v>1468</v>
      </c>
      <c r="L29" s="9">
        <v>1572</v>
      </c>
      <c r="M29" s="9">
        <v>1668</v>
      </c>
      <c r="N29" s="9">
        <v>1718.3006751521</v>
      </c>
      <c r="O29" s="9">
        <v>1487.9082858683</v>
      </c>
      <c r="P29" s="9">
        <v>1484.2324832917</v>
      </c>
      <c r="Q29" s="9">
        <v>1137.6199999999999</v>
      </c>
      <c r="R29" s="9">
        <v>1131.0999999999999</v>
      </c>
      <c r="S29" s="87">
        <v>1110.19</v>
      </c>
    </row>
    <row r="30" spans="2:25" ht="12.95" customHeight="1" x14ac:dyDescent="0.2">
      <c r="C30" s="135" t="str">
        <f>VLOOKUP(43,Textbausteine_305[],Hilfsgrössen!$D$2,FALSE)</f>
        <v>Luft</v>
      </c>
      <c r="D30" s="1" t="str">
        <f>VLOOKUP(11,Textbausteine_305[],Hilfsgrössen!$D$2,FALSE)</f>
        <v>t CO2-Äquivalent</v>
      </c>
      <c r="E30" s="11">
        <v>2</v>
      </c>
      <c r="H30" s="9">
        <v>56290</v>
      </c>
      <c r="I30" s="9">
        <v>58938</v>
      </c>
      <c r="J30" s="9">
        <v>67392</v>
      </c>
      <c r="K30" s="9">
        <v>37910</v>
      </c>
      <c r="L30" s="9">
        <v>36728</v>
      </c>
      <c r="M30" s="9">
        <v>37499</v>
      </c>
      <c r="N30" s="9">
        <v>41384.555395039002</v>
      </c>
      <c r="O30" s="9">
        <v>35673.857104230003</v>
      </c>
      <c r="P30" s="9">
        <v>34237.374922645002</v>
      </c>
      <c r="Q30" s="9">
        <v>27248.06</v>
      </c>
      <c r="R30" s="9">
        <v>26138.6</v>
      </c>
      <c r="S30" s="87">
        <v>29836.19</v>
      </c>
    </row>
    <row r="31" spans="2:25" ht="12.95" customHeight="1" x14ac:dyDescent="0.2">
      <c r="C31" s="135" t="str">
        <f>VLOOKUP(44,Textbausteine_305[],Hilfsgrössen!$D$2,FALSE)</f>
        <v>Wasser</v>
      </c>
      <c r="D31" s="1" t="str">
        <f>VLOOKUP(11,Textbausteine_305[],Hilfsgrössen!$D$2,FALSE)</f>
        <v>t CO2-Äquivalent</v>
      </c>
      <c r="E31" s="11">
        <v>2</v>
      </c>
      <c r="G31" s="303"/>
      <c r="H31" s="9">
        <v>0</v>
      </c>
      <c r="I31" s="9">
        <v>0</v>
      </c>
      <c r="J31" s="9">
        <v>0</v>
      </c>
      <c r="K31" s="9">
        <v>5.0085999999999999E-2</v>
      </c>
      <c r="L31" s="9">
        <v>4.9667999999999997E-2</v>
      </c>
      <c r="M31" s="9">
        <v>4.5435999999999997E-2</v>
      </c>
      <c r="N31" s="9">
        <v>3.7537500000001001E-2</v>
      </c>
      <c r="O31" s="9">
        <v>3.2250400000000998E-2</v>
      </c>
      <c r="P31" s="9">
        <v>2.8746899999999999E-2</v>
      </c>
      <c r="Q31" s="9">
        <v>713.49</v>
      </c>
      <c r="R31" s="9">
        <v>784.84</v>
      </c>
      <c r="S31" s="87">
        <v>911.59</v>
      </c>
    </row>
    <row r="32" spans="2:25" ht="12.95" customHeight="1" x14ac:dyDescent="0.2">
      <c r="C32" s="132" t="str">
        <f>VLOOKUP(45,Textbausteine_305[],Hilfsgrössen!$D$2,FALSE)</f>
        <v>Geschäftsreiseverkehr</v>
      </c>
      <c r="D32" s="1" t="str">
        <f>VLOOKUP(11,Textbausteine_305[],Hilfsgrössen!$D$2,FALSE)</f>
        <v>t CO2-Äquivalent</v>
      </c>
      <c r="E32" s="11">
        <v>2</v>
      </c>
      <c r="H32" s="9">
        <v>5488</v>
      </c>
      <c r="I32" s="9">
        <v>5925</v>
      </c>
      <c r="J32" s="9">
        <v>6525</v>
      </c>
      <c r="K32" s="9">
        <v>5933</v>
      </c>
      <c r="L32" s="9">
        <v>6117</v>
      </c>
      <c r="M32" s="9">
        <v>6066</v>
      </c>
      <c r="N32" s="9">
        <v>5846.1645165734999</v>
      </c>
      <c r="O32" s="9">
        <v>5918.2438045294002</v>
      </c>
      <c r="P32" s="9">
        <v>6331.4974314842002</v>
      </c>
      <c r="Q32" s="9">
        <v>5322.44</v>
      </c>
      <c r="R32" s="9">
        <v>3745.07</v>
      </c>
      <c r="S32" s="87">
        <v>3173.15</v>
      </c>
    </row>
    <row r="33" spans="3:19" ht="12.95" customHeight="1" x14ac:dyDescent="0.2">
      <c r="C33" s="132" t="str">
        <f>VLOOKUP(46,Textbausteine_305[],Hilfsgrössen!$D$2,FALSE)</f>
        <v>Arbeitspendlerverkehr</v>
      </c>
      <c r="D33" s="1" t="str">
        <f>VLOOKUP(11,Textbausteine_305[],Hilfsgrössen!$D$2,FALSE)</f>
        <v>t CO2-Äquivalent</v>
      </c>
      <c r="E33" s="11">
        <v>2</v>
      </c>
      <c r="F33" s="11"/>
      <c r="H33" s="9">
        <v>52549</v>
      </c>
      <c r="I33" s="9">
        <v>51756</v>
      </c>
      <c r="J33" s="9">
        <v>51801</v>
      </c>
      <c r="K33" s="9">
        <v>53659</v>
      </c>
      <c r="L33" s="9">
        <v>55802</v>
      </c>
      <c r="M33" s="9">
        <v>55474</v>
      </c>
      <c r="N33" s="9">
        <v>52843.591257975997</v>
      </c>
      <c r="O33" s="9">
        <v>51553.30771519</v>
      </c>
      <c r="P33" s="9">
        <v>50329.735308902003</v>
      </c>
      <c r="Q33" s="9">
        <v>45191.55</v>
      </c>
      <c r="R33" s="9">
        <v>38295.949999999997</v>
      </c>
      <c r="S33" s="87">
        <v>35600.79</v>
      </c>
    </row>
    <row r="34" spans="3:19" ht="12.95" customHeight="1" x14ac:dyDescent="0.2">
      <c r="C34" s="342" t="s">
        <v>157</v>
      </c>
      <c r="D34" s="1" t="str">
        <f>VLOOKUP(11,Textbausteine_305[],Hilfsgrössen!$D$2,FALSE)</f>
        <v>t CO2-Äquivalent</v>
      </c>
      <c r="E34" s="11" t="s">
        <v>34</v>
      </c>
      <c r="F34" s="11"/>
      <c r="H34" s="9" t="s">
        <v>75</v>
      </c>
      <c r="I34" s="9" t="s">
        <v>75</v>
      </c>
      <c r="J34" s="9" t="s">
        <v>75</v>
      </c>
      <c r="K34" s="9" t="s">
        <v>75</v>
      </c>
      <c r="L34" s="9" t="s">
        <v>75</v>
      </c>
      <c r="M34" s="9" t="s">
        <v>75</v>
      </c>
      <c r="N34" s="9" t="s">
        <v>75</v>
      </c>
      <c r="O34" s="9" t="s">
        <v>75</v>
      </c>
      <c r="P34" s="9" t="s">
        <v>75</v>
      </c>
      <c r="Q34" s="9">
        <v>24853.33</v>
      </c>
      <c r="R34" s="9">
        <v>24628.83</v>
      </c>
      <c r="S34" s="87">
        <v>29840.37</v>
      </c>
    </row>
    <row r="35" spans="3:19" ht="12.95" customHeight="1" x14ac:dyDescent="0.2">
      <c r="C35" s="26"/>
      <c r="F35" s="11"/>
      <c r="N35" s="9"/>
      <c r="O35" s="9"/>
      <c r="P35" s="9"/>
      <c r="Q35" s="9"/>
      <c r="R35" s="9"/>
      <c r="S35" s="87"/>
    </row>
    <row r="36" spans="3:19" ht="12.95" customHeight="1" x14ac:dyDescent="0.2">
      <c r="C36" s="121" t="str">
        <f>VLOOKUP(47,Textbausteine_305[],Hilfsgrössen!$D$2,FALSE)</f>
        <v>Nach Scopes und Energieträger</v>
      </c>
      <c r="G36" s="303"/>
      <c r="N36" s="9"/>
      <c r="O36" s="9"/>
      <c r="P36" s="9"/>
      <c r="Q36" s="9"/>
      <c r="R36" s="9"/>
      <c r="S36" s="87"/>
    </row>
    <row r="37" spans="3:19" ht="12.95" customHeight="1" x14ac:dyDescent="0.2">
      <c r="C37" s="17" t="str">
        <f>VLOOKUP(48,Textbausteine_305[],Hilfsgrössen!$D$2,FALSE)</f>
        <v>Treibhausgasemissonen (Scope 1−3)</v>
      </c>
      <c r="D37" s="1" t="str">
        <f>VLOOKUP(11,Textbausteine_305[],Hilfsgrössen!$D$2,FALSE)</f>
        <v>t CO2-Äquivalent</v>
      </c>
      <c r="E37" s="11">
        <v>2</v>
      </c>
      <c r="G37" s="303"/>
      <c r="H37" s="9">
        <v>478253</v>
      </c>
      <c r="I37" s="9">
        <v>463248</v>
      </c>
      <c r="J37" s="9">
        <v>478020</v>
      </c>
      <c r="K37" s="9">
        <v>449174</v>
      </c>
      <c r="L37" s="9">
        <v>442202</v>
      </c>
      <c r="M37" s="9">
        <v>440728</v>
      </c>
      <c r="N37" s="9">
        <v>446151.36167582998</v>
      </c>
      <c r="O37" s="9">
        <v>436549.74852076999</v>
      </c>
      <c r="P37" s="9">
        <v>439954.81451875</v>
      </c>
      <c r="Q37" s="307">
        <f>Q38+Q50+Q55</f>
        <v>439145.56999999995</v>
      </c>
      <c r="R37" s="307">
        <f t="shared" ref="R37" si="3">R38+R50+R55</f>
        <v>428367.35999999999</v>
      </c>
      <c r="S37" s="87">
        <f t="shared" ref="S37" si="4">S38+S50+S55</f>
        <v>456664.45999999996</v>
      </c>
    </row>
    <row r="38" spans="3:19" ht="12.95" customHeight="1" x14ac:dyDescent="0.2">
      <c r="C38" s="122" t="str">
        <f>VLOOKUP(49,Textbausteine_305[],Hilfsgrössen!$D$2,FALSE)</f>
        <v>Direkte Treibhausgasemissionen (Scope 1)</v>
      </c>
      <c r="D38" s="1" t="str">
        <f>VLOOKUP(11,Textbausteine_305[],Hilfsgrössen!$D$2,FALSE)</f>
        <v>t CO2-Äquivalent</v>
      </c>
      <c r="E38" s="11">
        <v>2</v>
      </c>
      <c r="F38" s="11" t="s">
        <v>158</v>
      </c>
      <c r="H38" s="9">
        <f>SUM(H39,H43,H48)</f>
        <v>185849</v>
      </c>
      <c r="I38" s="9">
        <f t="shared" ref="I38:N38" si="5">SUM(I39,I43,I48)</f>
        <v>185453</v>
      </c>
      <c r="J38" s="9">
        <f t="shared" si="5"/>
        <v>192155</v>
      </c>
      <c r="K38" s="9">
        <f t="shared" si="5"/>
        <v>193196</v>
      </c>
      <c r="L38" s="9">
        <f t="shared" si="5"/>
        <v>189053</v>
      </c>
      <c r="M38" s="9">
        <f t="shared" si="5"/>
        <v>187641</v>
      </c>
      <c r="N38" s="9">
        <f t="shared" si="5"/>
        <v>192641.19787531687</v>
      </c>
      <c r="O38" s="9">
        <f t="shared" ref="O38" si="6">SUM(O39,O43,O48)</f>
        <v>188244.99781373318</v>
      </c>
      <c r="P38" s="9">
        <v>192395.71118894001</v>
      </c>
      <c r="Q38" s="307">
        <v>188832.76</v>
      </c>
      <c r="R38" s="307">
        <v>183435.6</v>
      </c>
      <c r="S38" s="87">
        <v>198061.52</v>
      </c>
    </row>
    <row r="39" spans="3:19" ht="12.95" customHeight="1" x14ac:dyDescent="0.2">
      <c r="C39" s="124" t="str">
        <f>VLOOKUP(50,Textbausteine_305[],Hilfsgrössen!$D$2,FALSE)</f>
        <v>Verbrennung von Brennstoffen in stationären Quellen</v>
      </c>
      <c r="D39" s="1" t="str">
        <f>VLOOKUP(11,Textbausteine_305[],Hilfsgrössen!$D$2,FALSE)</f>
        <v>t CO2-Äquivalent</v>
      </c>
      <c r="E39" s="11">
        <v>2</v>
      </c>
      <c r="F39" s="11" t="s">
        <v>158</v>
      </c>
      <c r="H39" s="9">
        <f>SUM(H40:H41)</f>
        <v>20126</v>
      </c>
      <c r="I39" s="9">
        <f t="shared" ref="I39:N39" si="7">SUM(I40:I41)</f>
        <v>17464</v>
      </c>
      <c r="J39" s="9">
        <f t="shared" si="7"/>
        <v>19103</v>
      </c>
      <c r="K39" s="9">
        <f t="shared" si="7"/>
        <v>15440</v>
      </c>
      <c r="L39" s="9">
        <f t="shared" si="7"/>
        <v>12813</v>
      </c>
      <c r="M39" s="9">
        <f t="shared" si="7"/>
        <v>11798</v>
      </c>
      <c r="N39" s="9">
        <f t="shared" si="7"/>
        <v>11006.4913754591</v>
      </c>
      <c r="O39" s="9">
        <f t="shared" ref="O39" si="8">SUM(O40:O41)</f>
        <v>10301.424542107599</v>
      </c>
      <c r="P39" s="9">
        <v>12156.375777379</v>
      </c>
      <c r="Q39" s="307">
        <f>Q40+Q41+Q42</f>
        <v>12353.21</v>
      </c>
      <c r="R39" s="307">
        <f>R40+R41+R42</f>
        <v>12086.41</v>
      </c>
      <c r="S39" s="87">
        <f>S40+S41+S42</f>
        <v>12804.32</v>
      </c>
    </row>
    <row r="40" spans="3:19" ht="12.95" customHeight="1" x14ac:dyDescent="0.2">
      <c r="C40" s="123" t="str">
        <f>VLOOKUP(51,Textbausteine_305[],Hilfsgrössen!$D$2,FALSE)</f>
        <v>Heizöl</v>
      </c>
      <c r="D40" s="1" t="str">
        <f>VLOOKUP(11,Textbausteine_305[],Hilfsgrössen!$D$2,FALSE)</f>
        <v>t CO2-Äquivalent</v>
      </c>
      <c r="E40" s="11">
        <v>2</v>
      </c>
      <c r="F40" s="11" t="s">
        <v>158</v>
      </c>
      <c r="G40" s="303"/>
      <c r="H40" s="9">
        <v>16214</v>
      </c>
      <c r="I40" s="9">
        <v>13558</v>
      </c>
      <c r="J40" s="9">
        <v>13894</v>
      </c>
      <c r="K40" s="9">
        <v>11623</v>
      </c>
      <c r="L40" s="9">
        <v>8904</v>
      </c>
      <c r="M40" s="9">
        <v>8177</v>
      </c>
      <c r="N40" s="9">
        <v>7550.8390116191003</v>
      </c>
      <c r="O40" s="9">
        <v>7442.7899666116</v>
      </c>
      <c r="P40" s="9">
        <v>6781.3074173688001</v>
      </c>
      <c r="Q40" s="307">
        <v>7097.38</v>
      </c>
      <c r="R40" s="307">
        <v>6427.23</v>
      </c>
      <c r="S40" s="87">
        <v>6610.31</v>
      </c>
    </row>
    <row r="41" spans="3:19" ht="12.95" customHeight="1" x14ac:dyDescent="0.2">
      <c r="C41" s="123" t="str">
        <f>VLOOKUP(52,Textbausteine_305[],Hilfsgrössen!$D$2,FALSE)</f>
        <v>Erdgas</v>
      </c>
      <c r="D41" s="1" t="str">
        <f>VLOOKUP(11,Textbausteine_305[],Hilfsgrössen!$D$2,FALSE)</f>
        <v>t CO2-Äquivalent</v>
      </c>
      <c r="E41" s="11">
        <v>2</v>
      </c>
      <c r="F41" s="11" t="s">
        <v>158</v>
      </c>
      <c r="G41" s="303"/>
      <c r="H41" s="9">
        <v>3912</v>
      </c>
      <c r="I41" s="9">
        <v>3906</v>
      </c>
      <c r="J41" s="9">
        <v>5209</v>
      </c>
      <c r="K41" s="9">
        <v>3817</v>
      </c>
      <c r="L41" s="9">
        <v>3909</v>
      </c>
      <c r="M41" s="9">
        <v>3621</v>
      </c>
      <c r="N41" s="9">
        <v>3455.6523638399999</v>
      </c>
      <c r="O41" s="9">
        <v>2858.6345754959998</v>
      </c>
      <c r="P41" s="9">
        <v>5373.9050289119004</v>
      </c>
      <c r="Q41" s="307">
        <v>5245.1</v>
      </c>
      <c r="R41" s="307">
        <v>5647.77</v>
      </c>
      <c r="S41" s="87">
        <v>6180.7</v>
      </c>
    </row>
    <row r="42" spans="3:19" ht="12.95" customHeight="1" x14ac:dyDescent="0.2">
      <c r="C42" s="123" t="str">
        <f>VLOOKUP(53,Textbausteine_305[],Hilfsgrössen!$D$2,FALSE)</f>
        <v>Holz</v>
      </c>
      <c r="D42" s="1" t="str">
        <f>VLOOKUP(11,Textbausteine_305[],Hilfsgrössen!$D$2,FALSE)</f>
        <v>t CO2-Äquivalent</v>
      </c>
      <c r="E42" s="11">
        <v>2</v>
      </c>
      <c r="F42" s="11" t="s">
        <v>158</v>
      </c>
      <c r="G42" s="303"/>
      <c r="H42" s="9" t="s">
        <v>30</v>
      </c>
      <c r="I42" s="9" t="s">
        <v>30</v>
      </c>
      <c r="J42" s="9" t="s">
        <v>30</v>
      </c>
      <c r="K42" s="9" t="s">
        <v>30</v>
      </c>
      <c r="L42" s="9" t="s">
        <v>30</v>
      </c>
      <c r="M42" s="9" t="s">
        <v>30</v>
      </c>
      <c r="N42" s="9" t="s">
        <v>30</v>
      </c>
      <c r="O42" s="9" t="s">
        <v>30</v>
      </c>
      <c r="P42" s="9">
        <v>1.16333109816</v>
      </c>
      <c r="Q42" s="307">
        <v>10.73</v>
      </c>
      <c r="R42" s="307">
        <v>11.41</v>
      </c>
      <c r="S42" s="87">
        <v>13.31</v>
      </c>
    </row>
    <row r="43" spans="3:19" ht="12.95" customHeight="1" x14ac:dyDescent="0.2">
      <c r="C43" s="124" t="str">
        <f>VLOOKUP(54,Textbausteine_305[],Hilfsgrössen!$D$2,FALSE)</f>
        <v>Verbrennung von Treibstoffen in mobilen Quellen</v>
      </c>
      <c r="D43" s="1" t="str">
        <f>VLOOKUP(11,Textbausteine_305[],Hilfsgrössen!$D$2,FALSE)</f>
        <v>t CO2-Äquivalent</v>
      </c>
      <c r="E43" s="11">
        <v>2</v>
      </c>
      <c r="F43" s="11" t="s">
        <v>158</v>
      </c>
      <c r="H43" s="9">
        <f>SUM(H44:H47)</f>
        <v>163272</v>
      </c>
      <c r="I43" s="9">
        <f t="shared" ref="I43:N43" si="9">SUM(I44:I47)</f>
        <v>165441</v>
      </c>
      <c r="J43" s="9">
        <f t="shared" si="9"/>
        <v>169622</v>
      </c>
      <c r="K43" s="9">
        <f t="shared" si="9"/>
        <v>174272</v>
      </c>
      <c r="L43" s="9">
        <f t="shared" si="9"/>
        <v>173201</v>
      </c>
      <c r="M43" s="9">
        <f t="shared" si="9"/>
        <v>172948</v>
      </c>
      <c r="N43" s="9">
        <f t="shared" si="9"/>
        <v>178396.75396665776</v>
      </c>
      <c r="O43" s="9">
        <f t="shared" ref="O43" si="10">SUM(O44:O47)</f>
        <v>175293.1393274256</v>
      </c>
      <c r="P43" s="9">
        <v>177232.56403437001</v>
      </c>
      <c r="Q43" s="307">
        <f>Q44+Q45+Q46</f>
        <v>171914.71999999997</v>
      </c>
      <c r="R43" s="307">
        <f t="shared" ref="R43" si="11">R44+R45+R46</f>
        <v>166733.84000000003</v>
      </c>
      <c r="S43" s="87">
        <f t="shared" ref="S43" si="12">S44+S45+S46</f>
        <v>180826.31</v>
      </c>
    </row>
    <row r="44" spans="3:19" ht="12.95" customHeight="1" x14ac:dyDescent="0.2">
      <c r="C44" s="123" t="str">
        <f>VLOOKUP(55,Textbausteine_305[],Hilfsgrössen!$D$2,FALSE)</f>
        <v>Diesel</v>
      </c>
      <c r="D44" s="1" t="str">
        <f>VLOOKUP(11,Textbausteine_305[],Hilfsgrössen!$D$2,FALSE)</f>
        <v>t CO2-Äquivalent</v>
      </c>
      <c r="E44" s="11">
        <v>2</v>
      </c>
      <c r="F44" s="11" t="s">
        <v>158</v>
      </c>
      <c r="H44" s="9">
        <v>146619</v>
      </c>
      <c r="I44" s="9">
        <v>150819</v>
      </c>
      <c r="J44" s="9">
        <v>156985</v>
      </c>
      <c r="K44" s="9">
        <v>163944</v>
      </c>
      <c r="L44" s="9">
        <v>163663</v>
      </c>
      <c r="M44" s="9">
        <v>164237</v>
      </c>
      <c r="N44" s="9">
        <v>170963.39839305999</v>
      </c>
      <c r="O44" s="9">
        <v>168687.06480912</v>
      </c>
      <c r="P44" s="9">
        <v>171033.24489186</v>
      </c>
      <c r="Q44" s="307">
        <v>165645.51999999999</v>
      </c>
      <c r="R44" s="307">
        <v>160717.13</v>
      </c>
      <c r="S44" s="87">
        <v>174532.21</v>
      </c>
    </row>
    <row r="45" spans="3:19" ht="12.95" customHeight="1" x14ac:dyDescent="0.2">
      <c r="C45" s="123" t="str">
        <f>VLOOKUP(56,Textbausteine_305[],Hilfsgrössen!$D$2,FALSE)</f>
        <v>Benzin</v>
      </c>
      <c r="D45" s="1" t="str">
        <f>VLOOKUP(11,Textbausteine_305[],Hilfsgrössen!$D$2,FALSE)</f>
        <v>t CO2-Äquivalent</v>
      </c>
      <c r="E45" s="11">
        <v>2</v>
      </c>
      <c r="F45" s="11" t="s">
        <v>158</v>
      </c>
      <c r="H45" s="9">
        <v>13268</v>
      </c>
      <c r="I45" s="9">
        <v>11980</v>
      </c>
      <c r="J45" s="9">
        <v>11619</v>
      </c>
      <c r="K45" s="9">
        <v>9409</v>
      </c>
      <c r="L45" s="9">
        <v>8699</v>
      </c>
      <c r="M45" s="9">
        <v>7928</v>
      </c>
      <c r="N45" s="9">
        <v>7091.1867565030998</v>
      </c>
      <c r="O45" s="9">
        <v>6461.1271408374996</v>
      </c>
      <c r="P45" s="9">
        <v>6016.7192285075998</v>
      </c>
      <c r="Q45" s="307">
        <v>6148.4</v>
      </c>
      <c r="R45" s="307">
        <v>6004.48</v>
      </c>
      <c r="S45" s="87">
        <v>6287.38</v>
      </c>
    </row>
    <row r="46" spans="3:19" ht="12.95" customHeight="1" x14ac:dyDescent="0.2">
      <c r="C46" s="123" t="str">
        <f>VLOOKUP(57,Textbausteine_305[],Hilfsgrössen!$D$2,FALSE)</f>
        <v>Erdgas</v>
      </c>
      <c r="D46" s="1" t="str">
        <f>VLOOKUP(11,Textbausteine_305[],Hilfsgrössen!$D$2,FALSE)</f>
        <v>t CO2-Äquivalent</v>
      </c>
      <c r="E46" s="11">
        <v>2</v>
      </c>
      <c r="F46" s="11" t="s">
        <v>158</v>
      </c>
      <c r="H46" s="9">
        <v>3385</v>
      </c>
      <c r="I46" s="9">
        <v>2642</v>
      </c>
      <c r="J46" s="9">
        <v>1018</v>
      </c>
      <c r="K46" s="9">
        <v>919</v>
      </c>
      <c r="L46" s="9">
        <v>839</v>
      </c>
      <c r="M46" s="9">
        <v>783</v>
      </c>
      <c r="N46" s="9">
        <v>342.16881709466003</v>
      </c>
      <c r="O46" s="9">
        <v>144.94737746812001</v>
      </c>
      <c r="P46" s="9">
        <v>182.59991399936001</v>
      </c>
      <c r="Q46" s="307">
        <v>120.8</v>
      </c>
      <c r="R46" s="307">
        <v>12.23</v>
      </c>
      <c r="S46" s="324">
        <v>6.72</v>
      </c>
    </row>
    <row r="47" spans="3:19" ht="12.95" customHeight="1" x14ac:dyDescent="0.2">
      <c r="C47" s="123" t="str">
        <f>VLOOKUP(58,Textbausteine_305[],Hilfsgrössen!$D$2,FALSE)</f>
        <v>Wasserstoff</v>
      </c>
      <c r="D47" s="1" t="str">
        <f>VLOOKUP(11,Textbausteine_305[],Hilfsgrössen!$D$2,FALSE)</f>
        <v>t CO2-Äquivalent</v>
      </c>
      <c r="E47" s="11">
        <v>2</v>
      </c>
      <c r="F47" s="11" t="s">
        <v>158</v>
      </c>
      <c r="H47" s="9" t="s">
        <v>30</v>
      </c>
      <c r="I47" s="9" t="s">
        <v>30</v>
      </c>
      <c r="J47" s="9" t="s">
        <v>30</v>
      </c>
      <c r="K47" s="9">
        <v>0</v>
      </c>
      <c r="L47" s="9">
        <v>0</v>
      </c>
      <c r="M47" s="9">
        <v>0</v>
      </c>
      <c r="N47" s="9">
        <v>0</v>
      </c>
      <c r="O47" s="9" t="s">
        <v>30</v>
      </c>
      <c r="P47" s="9" t="s">
        <v>30</v>
      </c>
      <c r="Q47" s="307" t="s">
        <v>30</v>
      </c>
      <c r="R47" s="307" t="s">
        <v>30</v>
      </c>
      <c r="S47" s="87" t="s">
        <v>30</v>
      </c>
    </row>
    <row r="48" spans="3:19" ht="12.95" customHeight="1" x14ac:dyDescent="0.2">
      <c r="C48" s="124" t="str">
        <f>VLOOKUP(59,Textbausteine_305[],Hilfsgrössen!$D$2,FALSE)</f>
        <v>Flüchtige Emissionen</v>
      </c>
      <c r="D48" s="1" t="str">
        <f>VLOOKUP(11,Textbausteine_305[],Hilfsgrössen!$D$2,FALSE)</f>
        <v>t CO2-Äquivalent</v>
      </c>
      <c r="E48" s="11">
        <v>2</v>
      </c>
      <c r="F48" s="11" t="s">
        <v>158</v>
      </c>
      <c r="G48" s="303"/>
      <c r="H48" s="9">
        <f>SUM(H49)</f>
        <v>2451</v>
      </c>
      <c r="I48" s="9">
        <f t="shared" ref="I48:N48" si="13">SUM(I49)</f>
        <v>2548</v>
      </c>
      <c r="J48" s="9">
        <f t="shared" si="13"/>
        <v>3430</v>
      </c>
      <c r="K48" s="9">
        <f t="shared" si="13"/>
        <v>3484</v>
      </c>
      <c r="L48" s="9">
        <f t="shared" si="13"/>
        <v>3039</v>
      </c>
      <c r="M48" s="9">
        <f t="shared" si="13"/>
        <v>2895</v>
      </c>
      <c r="N48" s="9">
        <f t="shared" si="13"/>
        <v>3237.9525331999998</v>
      </c>
      <c r="O48" s="9">
        <f t="shared" ref="O48" si="14">SUM(O49)</f>
        <v>2650.4339442</v>
      </c>
      <c r="P48" s="9">
        <v>3006.7713772000002</v>
      </c>
      <c r="Q48" s="307">
        <f>Q49</f>
        <v>4564.82</v>
      </c>
      <c r="R48" s="307">
        <f t="shared" ref="R48" si="15">R49</f>
        <v>4615.34</v>
      </c>
      <c r="S48" s="87">
        <f t="shared" ref="S48" si="16">S49</f>
        <v>4430.88</v>
      </c>
    </row>
    <row r="49" spans="3:19" ht="12.95" customHeight="1" x14ac:dyDescent="0.2">
      <c r="C49" s="123" t="str">
        <f>VLOOKUP(60,Textbausteine_305[],Hilfsgrössen!$D$2,FALSE)</f>
        <v>Kältemittel</v>
      </c>
      <c r="D49" s="1" t="str">
        <f>VLOOKUP(11,Textbausteine_305[],Hilfsgrössen!$D$2,FALSE)</f>
        <v>t CO2-Äquivalent</v>
      </c>
      <c r="E49" s="11">
        <v>2</v>
      </c>
      <c r="F49" s="11" t="s">
        <v>158</v>
      </c>
      <c r="H49" s="9">
        <v>2451</v>
      </c>
      <c r="I49" s="9">
        <v>2548</v>
      </c>
      <c r="J49" s="9">
        <v>3430</v>
      </c>
      <c r="K49" s="9">
        <v>3484</v>
      </c>
      <c r="L49" s="9">
        <v>3039</v>
      </c>
      <c r="M49" s="9">
        <v>2895</v>
      </c>
      <c r="N49" s="9">
        <v>3237.9525331999998</v>
      </c>
      <c r="O49" s="9">
        <v>2650.4339442</v>
      </c>
      <c r="P49" s="9">
        <v>3006.7713772000002</v>
      </c>
      <c r="Q49" s="307">
        <v>4564.82</v>
      </c>
      <c r="R49" s="307">
        <v>4615.34</v>
      </c>
      <c r="S49" s="87">
        <v>4430.88</v>
      </c>
    </row>
    <row r="50" spans="3:19" ht="12.95" customHeight="1" x14ac:dyDescent="0.2">
      <c r="C50" s="122" t="str">
        <f>VLOOKUP(61,Textbausteine_305[],Hilfsgrössen!$D$2,FALSE)</f>
        <v>Indirekte energiebezogene Treibhausgasemissionen (Scope 2)</v>
      </c>
      <c r="D50" s="1" t="str">
        <f>VLOOKUP(11,Textbausteine_305[],Hilfsgrössen!$D$2,FALSE)</f>
        <v>t CO2-Äquivalent</v>
      </c>
      <c r="E50" s="11">
        <v>2</v>
      </c>
      <c r="F50" s="9" t="s">
        <v>159</v>
      </c>
      <c r="H50" s="9">
        <f>SUM(H51,H54)</f>
        <v>29629</v>
      </c>
      <c r="I50" s="9">
        <f t="shared" ref="I50:N50" si="17">SUM(I51,I54)</f>
        <v>22212</v>
      </c>
      <c r="J50" s="9">
        <f t="shared" si="17"/>
        <v>22623</v>
      </c>
      <c r="K50" s="9">
        <f t="shared" si="17"/>
        <v>21684</v>
      </c>
      <c r="L50" s="9">
        <f t="shared" si="17"/>
        <v>23332</v>
      </c>
      <c r="M50" s="9">
        <f t="shared" si="17"/>
        <v>22217</v>
      </c>
      <c r="N50" s="9">
        <f t="shared" si="17"/>
        <v>20147.061374623499</v>
      </c>
      <c r="O50" s="9">
        <f t="shared" ref="O50" si="18">SUM(O51,O54)</f>
        <v>20123.486884443701</v>
      </c>
      <c r="P50" s="9">
        <v>20188.436594316001</v>
      </c>
      <c r="Q50" s="307">
        <f>Q51+Q54</f>
        <v>2181.2999999999997</v>
      </c>
      <c r="R50" s="307">
        <f t="shared" ref="R50" si="19">R51+R54</f>
        <v>2358.3200000000002</v>
      </c>
      <c r="S50" s="87">
        <f t="shared" ref="S50" si="20">S51+S54</f>
        <v>2265.1799999999998</v>
      </c>
    </row>
    <row r="51" spans="3:19" ht="12.95" customHeight="1" x14ac:dyDescent="0.2">
      <c r="C51" s="124" t="str">
        <f>VLOOKUP(62,Textbausteine_305[],Hilfsgrössen!$D$2,FALSE)</f>
        <v>Strom</v>
      </c>
      <c r="D51" s="1" t="str">
        <f>VLOOKUP(11,Textbausteine_305[],Hilfsgrössen!$D$2,FALSE)</f>
        <v>t CO2-Äquivalent</v>
      </c>
      <c r="E51" s="11">
        <v>1</v>
      </c>
      <c r="F51" s="9" t="s">
        <v>159</v>
      </c>
      <c r="G51" s="303"/>
      <c r="H51" s="9">
        <f>H53</f>
        <v>27408</v>
      </c>
      <c r="I51" s="9">
        <f t="shared" ref="I51:N51" si="21">I53</f>
        <v>20619</v>
      </c>
      <c r="J51" s="9">
        <f t="shared" si="21"/>
        <v>20766</v>
      </c>
      <c r="K51" s="9">
        <f t="shared" si="21"/>
        <v>20037</v>
      </c>
      <c r="L51" s="9">
        <f t="shared" si="21"/>
        <v>21547</v>
      </c>
      <c r="M51" s="9">
        <f t="shared" si="21"/>
        <v>20348</v>
      </c>
      <c r="N51" s="9">
        <f t="shared" si="21"/>
        <v>18403.540674961001</v>
      </c>
      <c r="O51" s="9">
        <f t="shared" ref="O51" si="22">O53</f>
        <v>18532.772471717999</v>
      </c>
      <c r="P51" s="9">
        <v>17734.697146113998</v>
      </c>
      <c r="Q51" s="307">
        <f>Q53</f>
        <v>108.43</v>
      </c>
      <c r="R51" s="307">
        <f>R53</f>
        <v>108.65</v>
      </c>
      <c r="S51" s="87">
        <v>0</v>
      </c>
    </row>
    <row r="52" spans="3:19" ht="12.95" customHeight="1" x14ac:dyDescent="0.2">
      <c r="C52" s="123" t="str">
        <f>VLOOKUP(63,Textbausteine_305[],Hilfsgrössen!$D$2,FALSE)</f>
        <v>standortbasierte Emissionen</v>
      </c>
      <c r="D52" s="16" t="str">
        <f>VLOOKUP(11,Textbausteine_305[],Hilfsgrössen!$D$2,FALSE)</f>
        <v>t CO2-Äquivalent</v>
      </c>
      <c r="E52" s="11">
        <v>2</v>
      </c>
      <c r="F52" s="9" t="s">
        <v>159</v>
      </c>
      <c r="H52" s="9">
        <f>H53/0.95</f>
        <v>28850.526315789473</v>
      </c>
      <c r="I52" s="9">
        <f>I53/0.95</f>
        <v>21704.21052631579</v>
      </c>
      <c r="J52" s="9">
        <f>J53/0.95</f>
        <v>21858.947368421053</v>
      </c>
      <c r="K52" s="9">
        <f t="shared" ref="K52" si="23">K53/0.95</f>
        <v>21091.578947368424</v>
      </c>
      <c r="L52" s="9">
        <f>L53/0.95</f>
        <v>22681.05263157895</v>
      </c>
      <c r="M52" s="9">
        <f>M53/0.95</f>
        <v>21418.947368421053</v>
      </c>
      <c r="N52" s="9">
        <f>N53/0.9</f>
        <v>20448.378527734447</v>
      </c>
      <c r="O52" s="9">
        <f>O53/0.9</f>
        <v>20591.969413019997</v>
      </c>
      <c r="P52" s="9">
        <v>19265.297593883999</v>
      </c>
      <c r="Q52" s="307">
        <v>16684.38</v>
      </c>
      <c r="R52" s="307">
        <v>15779.5</v>
      </c>
      <c r="S52" s="87">
        <v>15338.17</v>
      </c>
    </row>
    <row r="53" spans="3:19" ht="12.95" customHeight="1" x14ac:dyDescent="0.2">
      <c r="C53" s="123" t="str">
        <f>VLOOKUP(64,Textbausteine_305[],Hilfsgrössen!$D$2,FALSE)</f>
        <v>marktbasierte Emissionen</v>
      </c>
      <c r="D53" s="1" t="str">
        <f>VLOOKUP(11,Textbausteine_305[],Hilfsgrössen!$D$2,FALSE)</f>
        <v>t CO2-Äquivalent</v>
      </c>
      <c r="E53" s="11">
        <v>2</v>
      </c>
      <c r="F53" s="9" t="s">
        <v>159</v>
      </c>
      <c r="H53" s="9">
        <v>27408</v>
      </c>
      <c r="I53" s="9">
        <v>20619</v>
      </c>
      <c r="J53" s="9">
        <v>20766</v>
      </c>
      <c r="K53" s="9">
        <v>20037</v>
      </c>
      <c r="L53" s="9">
        <v>21547</v>
      </c>
      <c r="M53" s="9">
        <v>20348</v>
      </c>
      <c r="N53" s="9">
        <v>18403.540674961001</v>
      </c>
      <c r="O53" s="9">
        <v>18532.772471717999</v>
      </c>
      <c r="P53" s="9">
        <v>17734.697146113998</v>
      </c>
      <c r="Q53" s="9">
        <v>108.43</v>
      </c>
      <c r="R53" s="9">
        <v>108.65</v>
      </c>
      <c r="S53" s="87">
        <v>0</v>
      </c>
    </row>
    <row r="54" spans="3:19" ht="12.95" customHeight="1" x14ac:dyDescent="0.2">
      <c r="C54" s="124" t="str">
        <f>VLOOKUP(65,Textbausteine_305[],Hilfsgrössen!$D$2,FALSE)</f>
        <v>Fernwärme</v>
      </c>
      <c r="D54" s="1" t="str">
        <f>VLOOKUP(11,Textbausteine_305[],Hilfsgrössen!$D$2,FALSE)</f>
        <v>t CO2-Äquivalent</v>
      </c>
      <c r="E54" s="11">
        <v>2</v>
      </c>
      <c r="F54" s="9" t="s">
        <v>159</v>
      </c>
      <c r="H54" s="9">
        <v>2221</v>
      </c>
      <c r="I54" s="9">
        <v>1593</v>
      </c>
      <c r="J54" s="9">
        <v>1857</v>
      </c>
      <c r="K54" s="9">
        <v>1647</v>
      </c>
      <c r="L54" s="9">
        <v>1785</v>
      </c>
      <c r="M54" s="9">
        <v>1869</v>
      </c>
      <c r="N54" s="9">
        <v>1743.5206996625</v>
      </c>
      <c r="O54" s="9">
        <v>1590.7144127257</v>
      </c>
      <c r="P54" s="9">
        <v>2453.7394482013001</v>
      </c>
      <c r="Q54" s="307">
        <v>2072.87</v>
      </c>
      <c r="R54" s="307">
        <v>2249.67</v>
      </c>
      <c r="S54" s="87">
        <v>2265.1799999999998</v>
      </c>
    </row>
    <row r="55" spans="3:19" ht="12.95" customHeight="1" x14ac:dyDescent="0.2">
      <c r="C55" s="122" t="str">
        <f>VLOOKUP(66,Textbausteine_305[],Hilfsgrössen!$D$2,FALSE)</f>
        <v>Weitere relevante indirekte Treibhausgasemissionen (Scope 3)</v>
      </c>
      <c r="D55" s="1" t="str">
        <f>VLOOKUP(11,Textbausteine_305[],Hilfsgrössen!$D$2,FALSE)</f>
        <v>t CO2-Äquivalent</v>
      </c>
      <c r="E55" s="11">
        <v>2</v>
      </c>
      <c r="F55" s="9" t="s">
        <v>160</v>
      </c>
      <c r="H55" s="9">
        <f>SUM(H56:H63)</f>
        <v>262780</v>
      </c>
      <c r="I55" s="9">
        <f t="shared" ref="I55:N55" si="24">SUM(I56:I63)</f>
        <v>255588</v>
      </c>
      <c r="J55" s="9">
        <f t="shared" si="24"/>
        <v>263248</v>
      </c>
      <c r="K55" s="9">
        <f t="shared" si="24"/>
        <v>234297</v>
      </c>
      <c r="L55" s="9">
        <f t="shared" si="24"/>
        <v>229821</v>
      </c>
      <c r="M55" s="9">
        <f t="shared" si="24"/>
        <v>230873</v>
      </c>
      <c r="N55" s="9">
        <f t="shared" si="24"/>
        <v>233366.53409199772</v>
      </c>
      <c r="O55" s="9">
        <f t="shared" ref="O55" si="25">SUM(O56:O63)</f>
        <v>228181.89127211153</v>
      </c>
      <c r="P55" s="9">
        <v>227370.66673549</v>
      </c>
      <c r="Q55" s="307">
        <f>SUM(Q56:Q63)</f>
        <v>248131.50999999998</v>
      </c>
      <c r="R55" s="307">
        <f>SUM(R56:R63)</f>
        <v>242573.43999999997</v>
      </c>
      <c r="S55" s="87">
        <f>SUM(S56:S63)</f>
        <v>256337.76</v>
      </c>
    </row>
    <row r="56" spans="3:19" ht="12.95" customHeight="1" x14ac:dyDescent="0.2">
      <c r="C56" s="124" t="str">
        <f>VLOOKUP(67,Textbausteine_305[],Hilfsgrössen!$D$2,FALSE)</f>
        <v>Erworbene Waren und Dienstleistungen</v>
      </c>
      <c r="D56" s="1" t="str">
        <f>VLOOKUP(11,Textbausteine_305[],Hilfsgrössen!$D$2,FALSE)</f>
        <v>t CO2-Äquivalent</v>
      </c>
      <c r="E56" s="11">
        <v>2</v>
      </c>
      <c r="F56" s="9" t="s">
        <v>160</v>
      </c>
      <c r="H56" s="9">
        <v>11561</v>
      </c>
      <c r="I56" s="9">
        <v>11429</v>
      </c>
      <c r="J56" s="9">
        <v>11273</v>
      </c>
      <c r="K56" s="9">
        <v>8109</v>
      </c>
      <c r="L56" s="9">
        <v>7935</v>
      </c>
      <c r="M56" s="9">
        <v>7751</v>
      </c>
      <c r="N56" s="9">
        <v>5846.7021988427996</v>
      </c>
      <c r="O56" s="9">
        <v>6468.4043745774998</v>
      </c>
      <c r="P56" s="9">
        <v>4590.3196405556</v>
      </c>
      <c r="Q56" s="307">
        <v>3871.41</v>
      </c>
      <c r="R56" s="307">
        <v>4067.73</v>
      </c>
      <c r="S56" s="87">
        <v>4928.8100000000004</v>
      </c>
    </row>
    <row r="57" spans="3:19" ht="12.95" customHeight="1" x14ac:dyDescent="0.2">
      <c r="C57" s="136" t="str">
        <f>VLOOKUP(68,Textbausteine_305[],Hilfsgrössen!$D$2,FALSE)</f>
        <v>Brennstoff- und energiebezogene Aktivitäten</v>
      </c>
      <c r="D57" s="1" t="str">
        <f>VLOOKUP(11,Textbausteine_305[],Hilfsgrössen!$D$2,FALSE)</f>
        <v>t CO2-Äquivalent</v>
      </c>
      <c r="E57" s="11">
        <v>2</v>
      </c>
      <c r="F57" s="9" t="s">
        <v>160</v>
      </c>
      <c r="H57" s="9">
        <v>51104</v>
      </c>
      <c r="I57" s="9">
        <v>50138</v>
      </c>
      <c r="J57" s="9">
        <v>51217</v>
      </c>
      <c r="K57" s="9">
        <v>50269</v>
      </c>
      <c r="L57" s="9">
        <v>50583</v>
      </c>
      <c r="M57" s="9">
        <v>49794</v>
      </c>
      <c r="N57" s="9">
        <v>49424.781135725003</v>
      </c>
      <c r="O57" s="9">
        <v>48210.135412317999</v>
      </c>
      <c r="P57" s="9">
        <v>46142.779632666003</v>
      </c>
      <c r="Q57" s="307">
        <v>45175.75</v>
      </c>
      <c r="R57" s="307">
        <v>43907.85</v>
      </c>
      <c r="S57" s="87">
        <v>47220.3</v>
      </c>
    </row>
    <row r="58" spans="3:19" ht="12.95" customHeight="1" x14ac:dyDescent="0.2">
      <c r="C58" s="136" t="str">
        <f>VLOOKUP(69,Textbausteine_305[],Hilfsgrössen!$D$2,FALSE)</f>
        <v>Upstream-Transport und -Verteilung</v>
      </c>
      <c r="D58" s="1" t="str">
        <f>VLOOKUP(11,Textbausteine_305[],Hilfsgrössen!$D$2,FALSE)</f>
        <v>t CO2-Äquivalent</v>
      </c>
      <c r="E58" s="11">
        <v>2</v>
      </c>
      <c r="F58" s="9" t="s">
        <v>160</v>
      </c>
      <c r="H58" s="9">
        <v>110601</v>
      </c>
      <c r="I58" s="9">
        <v>109666</v>
      </c>
      <c r="J58" s="9">
        <v>120287</v>
      </c>
      <c r="K58" s="9">
        <v>94302</v>
      </c>
      <c r="L58" s="9">
        <v>91031</v>
      </c>
      <c r="M58" s="9">
        <v>93550</v>
      </c>
      <c r="N58" s="9">
        <v>100730.06248808201</v>
      </c>
      <c r="O58" s="9">
        <v>96907.918669915001</v>
      </c>
      <c r="P58" s="9">
        <v>99011.316827989998</v>
      </c>
      <c r="Q58" s="307">
        <v>123595.42</v>
      </c>
      <c r="R58" s="307">
        <v>128970.99</v>
      </c>
      <c r="S58" s="87">
        <v>141214.67000000001</v>
      </c>
    </row>
    <row r="59" spans="3:19" ht="12.95" customHeight="1" x14ac:dyDescent="0.2">
      <c r="C59" s="124" t="str">
        <f>VLOOKUP(70,Textbausteine_305[],Hilfsgrössen!$D$2,FALSE)</f>
        <v>Im Rahmen der Geschäftstätigkeiten anfallender Abfall</v>
      </c>
      <c r="D59" s="1" t="str">
        <f>VLOOKUP(11,Textbausteine_305[],Hilfsgrössen!$D$2,FALSE)</f>
        <v>t CO2-Äquivalent</v>
      </c>
      <c r="E59" s="11">
        <v>2</v>
      </c>
      <c r="F59" s="9" t="s">
        <v>160</v>
      </c>
      <c r="H59" s="9">
        <v>9353</v>
      </c>
      <c r="I59" s="9">
        <v>9170</v>
      </c>
      <c r="J59" s="9">
        <v>9320</v>
      </c>
      <c r="K59" s="9">
        <v>9129</v>
      </c>
      <c r="L59" s="9">
        <v>9243</v>
      </c>
      <c r="M59" s="9">
        <v>9158</v>
      </c>
      <c r="N59" s="9">
        <v>9047.3568552236993</v>
      </c>
      <c r="O59" s="9">
        <v>8813.1983539383</v>
      </c>
      <c r="P59" s="9">
        <v>8568.5426310463008</v>
      </c>
      <c r="Q59" s="307">
        <v>333.85</v>
      </c>
      <c r="R59" s="307">
        <v>276.7</v>
      </c>
      <c r="S59" s="87">
        <v>277.77</v>
      </c>
    </row>
    <row r="60" spans="3:19" ht="12.95" customHeight="1" x14ac:dyDescent="0.2">
      <c r="C60" s="124" t="str">
        <f>VLOOKUP(71,Textbausteine_305[],Hilfsgrössen!$D$2,FALSE)</f>
        <v>Geschäftsreisen</v>
      </c>
      <c r="D60" s="1" t="str">
        <f>VLOOKUP(11,Textbausteine_305[],Hilfsgrössen!$D$2,FALSE)</f>
        <v>t CO2-Äquivalent</v>
      </c>
      <c r="E60" s="11">
        <v>2</v>
      </c>
      <c r="F60" s="9" t="s">
        <v>160</v>
      </c>
      <c r="H60" s="9">
        <v>399</v>
      </c>
      <c r="I60" s="9">
        <v>630</v>
      </c>
      <c r="J60" s="9">
        <v>624</v>
      </c>
      <c r="K60" s="9">
        <v>429</v>
      </c>
      <c r="L60" s="9">
        <v>488</v>
      </c>
      <c r="M60" s="9">
        <v>530</v>
      </c>
      <c r="N60" s="9">
        <v>595.11857555518998</v>
      </c>
      <c r="O60" s="9">
        <v>750.00902377274997</v>
      </c>
      <c r="P60" s="9">
        <v>1189.5965480719999</v>
      </c>
      <c r="Q60" s="307">
        <v>900.08</v>
      </c>
      <c r="R60" s="307">
        <v>285.70999999999998</v>
      </c>
      <c r="S60" s="87">
        <v>199.46</v>
      </c>
    </row>
    <row r="61" spans="3:19" ht="12.95" customHeight="1" x14ac:dyDescent="0.2">
      <c r="C61" s="124" t="str">
        <f>VLOOKUP(72,Textbausteine_305[],Hilfsgrössen!$D$2,FALSE)</f>
        <v>Pendeln der Angestellten</v>
      </c>
      <c r="D61" s="1" t="str">
        <f>VLOOKUP(11,Textbausteine_305[],Hilfsgrössen!$D$2,FALSE)</f>
        <v>t CO2-Äquivalent</v>
      </c>
      <c r="E61" s="11">
        <v>2</v>
      </c>
      <c r="F61" s="9" t="s">
        <v>160</v>
      </c>
      <c r="H61" s="9">
        <v>52549</v>
      </c>
      <c r="I61" s="9">
        <v>51756</v>
      </c>
      <c r="J61" s="9">
        <v>51801</v>
      </c>
      <c r="K61" s="9">
        <v>53659</v>
      </c>
      <c r="L61" s="9">
        <v>55802</v>
      </c>
      <c r="M61" s="9">
        <v>55474</v>
      </c>
      <c r="N61" s="9">
        <v>52843.591257975997</v>
      </c>
      <c r="O61" s="9">
        <v>51553.30771519</v>
      </c>
      <c r="P61" s="9">
        <v>50329.735308902003</v>
      </c>
      <c r="Q61" s="307">
        <v>45191.55</v>
      </c>
      <c r="R61" s="307">
        <v>38295.949999999997</v>
      </c>
      <c r="S61" s="87">
        <v>35600.79</v>
      </c>
    </row>
    <row r="62" spans="3:19" ht="12.95" customHeight="1" x14ac:dyDescent="0.2">
      <c r="C62" s="124" t="str">
        <f>VLOOKUP(73,Textbausteine_305[],Hilfsgrössen!$D$2,FALSE)</f>
        <v>Für Upstream-Aktivitäten gemietete Vermögensgegenstände</v>
      </c>
      <c r="D62" s="1" t="str">
        <f>VLOOKUP(11,Textbausteine_305[],Hilfsgrössen!$D$2,FALSE)</f>
        <v>t CO2-Äquivalent</v>
      </c>
      <c r="E62" s="11">
        <v>2</v>
      </c>
      <c r="F62" s="9" t="s">
        <v>160</v>
      </c>
      <c r="H62" s="9">
        <v>27213</v>
      </c>
      <c r="I62" s="9">
        <v>22799</v>
      </c>
      <c r="J62" s="9">
        <v>18726</v>
      </c>
      <c r="K62" s="9">
        <v>18400</v>
      </c>
      <c r="L62" s="9">
        <v>14739</v>
      </c>
      <c r="M62" s="9">
        <v>14616</v>
      </c>
      <c r="N62" s="9">
        <v>14878.921580593</v>
      </c>
      <c r="O62" s="9">
        <v>15478.9177224</v>
      </c>
      <c r="P62" s="9">
        <v>14467.12846645</v>
      </c>
      <c r="Q62" s="307">
        <v>14529.86</v>
      </c>
      <c r="R62" s="307">
        <v>13968.46</v>
      </c>
      <c r="S62" s="87">
        <v>12452.02</v>
      </c>
    </row>
    <row r="63" spans="3:19" ht="12.95" customHeight="1" x14ac:dyDescent="0.2">
      <c r="C63" s="124" t="str">
        <f>VLOOKUP(74,Textbausteine_305[],Hilfsgrössen!$D$2,FALSE)</f>
        <v>Für Downstream-Aktivitäten gemietete Vermögensgegenstände</v>
      </c>
      <c r="D63" s="1" t="str">
        <f>VLOOKUP(11,Textbausteine_305[],Hilfsgrössen!$D$2,FALSE)</f>
        <v>t CO2-Äquivalent</v>
      </c>
      <c r="E63" s="11">
        <v>2</v>
      </c>
      <c r="F63" s="9" t="s">
        <v>160</v>
      </c>
      <c r="H63" s="9" t="s">
        <v>30</v>
      </c>
      <c r="I63" s="9" t="s">
        <v>30</v>
      </c>
      <c r="J63" s="9" t="s">
        <v>30</v>
      </c>
      <c r="K63" s="9" t="s">
        <v>30</v>
      </c>
      <c r="L63" s="9" t="s">
        <v>30</v>
      </c>
      <c r="M63" s="9" t="s">
        <v>30</v>
      </c>
      <c r="N63" s="9" t="s">
        <v>30</v>
      </c>
      <c r="O63" s="9" t="s">
        <v>30</v>
      </c>
      <c r="P63" s="9">
        <v>3071.2476798115999</v>
      </c>
      <c r="Q63" s="307">
        <v>14533.59</v>
      </c>
      <c r="R63" s="307">
        <v>12800.05</v>
      </c>
      <c r="S63" s="87">
        <v>14443.94</v>
      </c>
    </row>
    <row r="64" spans="3:19" ht="12.95" customHeight="1" x14ac:dyDescent="0.2">
      <c r="N64" s="9"/>
      <c r="O64" s="9"/>
      <c r="P64" s="9"/>
      <c r="Q64" s="9"/>
      <c r="R64" s="28"/>
      <c r="S64" s="28"/>
    </row>
    <row r="65" spans="1:83" ht="12.95" customHeight="1" x14ac:dyDescent="0.25">
      <c r="B65" s="18" t="str">
        <f>VLOOKUP(130,Textbausteine_305[],Hilfsgrössen!$D$2,FALSE)</f>
        <v xml:space="preserve">1) Erneuerbarer Strom und «naturemade star»-zertifizierter Strom ist für die Treibhausgasbilanz klimaneutral im Scope 2 bilanziert. </v>
      </c>
      <c r="E65" s="29"/>
      <c r="F65" s="29"/>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c r="CC65" s="28"/>
      <c r="CD65" s="28"/>
      <c r="CE65" s="28"/>
    </row>
    <row r="66" spans="1:83" ht="12.95" customHeight="1" x14ac:dyDescent="0.25">
      <c r="B66" s="18" t="str">
        <f>VLOOKUP(131,Textbausteine_305[],Hilfsgrössen!$D$2,FALSE)</f>
        <v>2) Standards, Methoden und Emissionsfaktoren: GHG Protocol, Revised Edition (2004), ISO 14064–1. Als Konsolidierungsansatz wurde der Financial Control Approach gewählt. Die Emissionsfaktoren stammen aus der DEFRA (2021) oder IEA (2021) Datenbank</v>
      </c>
      <c r="E66" s="29"/>
      <c r="F66" s="29"/>
      <c r="N66" s="9"/>
      <c r="O66" s="9"/>
      <c r="P66" s="9"/>
      <c r="Q66" s="9"/>
      <c r="R66" s="9"/>
      <c r="S66" s="9"/>
    </row>
    <row r="67" spans="1:83" ht="12.95" customHeight="1" x14ac:dyDescent="0.25">
      <c r="B67" s="18" t="str">
        <f>VLOOKUP(132,Textbausteine_305[],Hilfsgrössen!$D$2,FALSE)</f>
        <v>3) Die Sachdaten von akquirierten Konzerngesellschaften werden rückwirkend für die Jahre 2019 und folgende nacherfasst, da 2019 als Basisjahr für die Ziele 2024/2030 dient.</v>
      </c>
      <c r="E67" s="29"/>
      <c r="F67" s="29"/>
      <c r="G67" s="35"/>
      <c r="N67" s="9"/>
      <c r="O67" s="9"/>
      <c r="P67" s="9"/>
      <c r="Q67" s="9"/>
      <c r="R67" s="9"/>
      <c r="S67" s="9"/>
    </row>
    <row r="68" spans="1:83" ht="12.95" customHeight="1" x14ac:dyDescent="0.25">
      <c r="B68" s="18" t="str">
        <f>VLOOKUP(133,Textbausteine_305[],Hilfsgrössen!$D$2,FALSE)</f>
        <v>4) Für den Stromverbrauch von akquirierten Gesellschaften werden keine HKN für vergangene Geschäftsjahre beschafft. Die Emissionen des Stromverbrauchs (Scope 2) sind daher in den Jahren mit Nacherfassung nicht gleich null, obwohl im entsprechenden Geschäftsjahr 100% des Stromverbrauchs aus erneuerbaren Quellen und daher klimaneutral bilanziert wurde.</v>
      </c>
      <c r="E68" s="29"/>
      <c r="F68" s="29"/>
      <c r="G68" s="35"/>
    </row>
    <row r="69" spans="1:83" ht="12.95" customHeight="1" x14ac:dyDescent="0.25">
      <c r="B69" s="18" t="str">
        <f>VLOOKUP(149,Textbausteine_305[],Hilfsgrössen!$D$2,FALSE)</f>
        <v>5) Daten von an Drittkunden vermieteten Fahrzeugen werden ab dem Jahr 2021 erhoben und wurden für die Jahre 2019 und 2020 nacherfasst.</v>
      </c>
      <c r="E69" s="30"/>
      <c r="F69" s="30"/>
      <c r="G69" s="35"/>
    </row>
    <row r="70" spans="1:83" ht="12.95" customHeight="1" x14ac:dyDescent="0.25">
      <c r="B70" s="18" t="str">
        <f>VLOOKUP(150,Textbausteine_305[],Hilfsgrössen!$D$2,FALSE)</f>
        <v>6) Es fehlen die Emissionen eingekaufter Güter und Dienstleistungen, sowie die finanzierten Emissionen der Investments von PostFinance. Eine umfassende Bestandesaufnahme der Unternehmensanleihen wies die finanzierten Emissionen mit 1.393 Mio. tCO2-Äquivalente für das Jahr 2021 aus.</v>
      </c>
      <c r="E70" s="30"/>
      <c r="F70" s="30"/>
      <c r="G70" s="35"/>
    </row>
    <row r="71" spans="1:83" ht="12.95" customHeight="1" x14ac:dyDescent="0.25">
      <c r="B71" s="18"/>
      <c r="E71" s="30"/>
      <c r="F71" s="30"/>
      <c r="G71" s="35"/>
    </row>
    <row r="72" spans="1:83" ht="12.95" customHeight="1" x14ac:dyDescent="0.2">
      <c r="G72" s="35"/>
    </row>
    <row r="73" spans="1:83" s="6" customFormat="1" ht="12.95" customHeight="1" x14ac:dyDescent="0.25">
      <c r="A73" s="115" t="s">
        <v>27</v>
      </c>
      <c r="B73" s="401" t="str">
        <f>$C$8</f>
        <v>Treibhausgasintensitäten</v>
      </c>
      <c r="C73" s="401"/>
      <c r="D73" s="6" t="str">
        <f>VLOOKUP(32,Textbausteine_Menu[],Hilfsgrössen!$D$2,FALSE)</f>
        <v>Einheit</v>
      </c>
      <c r="E73" s="7" t="str">
        <f>VLOOKUP(33,Textbausteine_Menu[],Hilfsgrössen!$D$2,FALSE)</f>
        <v>Fussnoten</v>
      </c>
      <c r="F73" s="28" t="str">
        <f>VLOOKUP(34,Textbausteine_Menu[],Hilfsgrössen!$D$2,FALSE)</f>
        <v>GRI</v>
      </c>
      <c r="G73" s="36"/>
      <c r="H73" s="28">
        <v>2010</v>
      </c>
      <c r="I73" s="28">
        <v>2011</v>
      </c>
      <c r="J73" s="28">
        <v>2012</v>
      </c>
      <c r="K73" s="28">
        <v>2013</v>
      </c>
      <c r="L73" s="28">
        <v>2014</v>
      </c>
      <c r="M73" s="28">
        <v>2015</v>
      </c>
      <c r="N73" s="7">
        <v>2016</v>
      </c>
      <c r="O73" s="7">
        <v>2017</v>
      </c>
      <c r="P73" s="7">
        <v>2018</v>
      </c>
      <c r="Q73" s="7">
        <v>2019</v>
      </c>
      <c r="R73" s="7">
        <v>2020</v>
      </c>
      <c r="S73" s="90">
        <v>2021</v>
      </c>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c r="CC73" s="28"/>
      <c r="CD73" s="28"/>
      <c r="CE73" s="28"/>
    </row>
    <row r="74" spans="1:83" s="6" customFormat="1" ht="12.95" customHeight="1" x14ac:dyDescent="0.2">
      <c r="A74" s="38"/>
      <c r="B74" s="401"/>
      <c r="C74" s="401"/>
      <c r="E74" s="11"/>
      <c r="F74" s="9"/>
      <c r="G74" s="34"/>
      <c r="H74" s="9"/>
      <c r="I74" s="9"/>
      <c r="J74" s="9"/>
      <c r="K74" s="9"/>
      <c r="L74" s="9"/>
      <c r="M74" s="9"/>
      <c r="N74" s="11"/>
      <c r="O74" s="11"/>
      <c r="P74" s="11"/>
      <c r="Q74" s="11"/>
      <c r="R74" s="11"/>
      <c r="S74" s="82"/>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9"/>
      <c r="BZ74" s="9"/>
      <c r="CA74" s="9"/>
      <c r="CB74" s="9"/>
      <c r="CC74" s="9"/>
      <c r="CD74" s="9"/>
      <c r="CE74" s="9"/>
    </row>
    <row r="75" spans="1:83" ht="12.95" customHeight="1" x14ac:dyDescent="0.2">
      <c r="B75" s="2"/>
      <c r="E75" s="7"/>
      <c r="F75" s="28"/>
      <c r="S75" s="82"/>
    </row>
    <row r="76" spans="1:83" ht="12.95" customHeight="1" x14ac:dyDescent="0.2">
      <c r="B76" s="2" t="str">
        <f>VLOOKUP(36,Textbausteine_Menu[],Hilfsgrössen!$D$2,FALSE)</f>
        <v>Konzern</v>
      </c>
      <c r="C76" s="2"/>
      <c r="E76" s="7"/>
      <c r="F76" s="28"/>
      <c r="S76" s="82"/>
    </row>
    <row r="77" spans="1:83" ht="12.95" customHeight="1" x14ac:dyDescent="0.2">
      <c r="C77" s="16" t="str">
        <f>VLOOKUP(81,Textbausteine_305[],Hilfsgrössen!$D$2,FALSE)</f>
        <v>CO2e-Intensität der Wertschöpfung</v>
      </c>
      <c r="D77" s="1" t="str">
        <f>VLOOKUP(12,Textbausteine_305[],Hilfsgrössen!$D$2,FALSE)</f>
        <v>t CO2-Äquivalent pro Mio. CHF</v>
      </c>
      <c r="E77" s="11">
        <v>1</v>
      </c>
      <c r="F77" s="9" t="s">
        <v>161</v>
      </c>
      <c r="G77" s="33"/>
      <c r="H77" s="207">
        <v>90.784548215641607</v>
      </c>
      <c r="I77" s="207">
        <v>89.309427414690575</v>
      </c>
      <c r="J77" s="207">
        <v>89.954836281520514</v>
      </c>
      <c r="K77" s="207">
        <v>84.304429429429433</v>
      </c>
      <c r="L77" s="207">
        <v>84.713026819923371</v>
      </c>
      <c r="M77" s="207">
        <v>84.869632197188523</v>
      </c>
      <c r="N77" s="208">
        <v>84.849319440382899</v>
      </c>
      <c r="O77" s="208">
        <v>84.882315481386343</v>
      </c>
      <c r="P77" s="208">
        <v>95.372819102265339</v>
      </c>
      <c r="Q77" s="208">
        <v>91.583145580589246</v>
      </c>
      <c r="R77" s="208">
        <v>90.33516921035168</v>
      </c>
      <c r="S77" s="209">
        <v>104.35659963436929</v>
      </c>
    </row>
    <row r="78" spans="1:83" ht="12.95" customHeight="1" x14ac:dyDescent="0.2">
      <c r="C78" s="16" t="str">
        <f>VLOOKUP(82,Textbausteine_305[],Hilfsgrössen!$D$2,FALSE)</f>
        <v>CO2e-Intensität des Betriebsertrags</v>
      </c>
      <c r="D78" s="1" t="str">
        <f>VLOOKUP(12,Textbausteine_305[],Hilfsgrössen!$D$2,FALSE)</f>
        <v>t CO2-Äquivalent pro Mio. CHF</v>
      </c>
      <c r="E78" s="11">
        <v>1</v>
      </c>
      <c r="F78" s="9" t="s">
        <v>161</v>
      </c>
      <c r="G78" s="33"/>
      <c r="H78" s="207">
        <v>54.745077838827839</v>
      </c>
      <c r="I78" s="207">
        <v>53.872310733806259</v>
      </c>
      <c r="J78" s="207">
        <v>55.739272388059703</v>
      </c>
      <c r="K78" s="207">
        <v>52.381807580174929</v>
      </c>
      <c r="L78" s="207">
        <v>52.825468880659422</v>
      </c>
      <c r="M78" s="207">
        <v>53.590466926070036</v>
      </c>
      <c r="N78" s="208">
        <v>54.488441826554713</v>
      </c>
      <c r="O78" s="208">
        <v>54.135633497119294</v>
      </c>
      <c r="P78" s="208">
        <v>60.649960644988973</v>
      </c>
      <c r="Q78" s="208">
        <v>58.977092633928571</v>
      </c>
      <c r="R78" s="208">
        <v>57.896980436631686</v>
      </c>
      <c r="S78" s="209">
        <v>66.404606659880756</v>
      </c>
    </row>
    <row r="79" spans="1:83" ht="12.95" customHeight="1" x14ac:dyDescent="0.2">
      <c r="C79" s="16" t="str">
        <f>VLOOKUP(83,Textbausteine_305[],Hilfsgrössen!$D$2,FALSE)</f>
        <v>CO2e-Intensität der Arbeitsplätze</v>
      </c>
      <c r="D79" s="1" t="str">
        <f>VLOOKUP(13,Textbausteine_305[],Hilfsgrössen!$D$2,FALSE)</f>
        <v xml:space="preserve">t CO2-Äquivalent pro Personaleinheit </v>
      </c>
      <c r="E79" s="11">
        <v>1</v>
      </c>
      <c r="F79" s="9" t="s">
        <v>161</v>
      </c>
      <c r="H79" s="207">
        <v>10.6</v>
      </c>
      <c r="I79" s="207">
        <v>10.4</v>
      </c>
      <c r="J79" s="207">
        <v>10.7</v>
      </c>
      <c r="K79" s="207">
        <v>10.199999999999999</v>
      </c>
      <c r="L79" s="207">
        <v>9.9</v>
      </c>
      <c r="M79" s="207">
        <v>9.99</v>
      </c>
      <c r="N79" s="210">
        <v>10.261708102292999</v>
      </c>
      <c r="O79" s="210">
        <v>10.297000000000001</v>
      </c>
      <c r="P79" s="210">
        <v>11.017600283450616</v>
      </c>
      <c r="Q79" s="210">
        <v>10.656612049407613</v>
      </c>
      <c r="R79" s="210">
        <v>10.448087697306146</v>
      </c>
      <c r="S79" s="211">
        <v>11.375659625348744</v>
      </c>
    </row>
    <row r="80" spans="1:83" ht="12.95" customHeight="1" x14ac:dyDescent="0.25">
      <c r="B80" s="18"/>
      <c r="C80" s="121"/>
      <c r="D80" s="16"/>
      <c r="G80" s="33"/>
      <c r="N80" s="9"/>
      <c r="O80" s="9"/>
      <c r="P80" s="9"/>
      <c r="Q80" s="9"/>
      <c r="R80" s="9"/>
      <c r="S80" s="9"/>
    </row>
    <row r="81" spans="1:83" ht="12.95" customHeight="1" x14ac:dyDescent="0.25">
      <c r="B81" s="328" t="str">
        <f>VLOOKUP(125,Textbausteine_305[],Hilfsgrössen!$D$2,FALSE)</f>
        <v>1) Keine rückwirkenden Änderungen, da Wertschöpfung, Betriebsertrag und Arbeitsplätze nicht rückwirkend geändert werden (z.B. bei Akquisitionen)</v>
      </c>
      <c r="C81" s="121"/>
      <c r="D81" s="16"/>
      <c r="G81" s="33"/>
      <c r="N81" s="9"/>
      <c r="O81" s="9"/>
      <c r="P81" s="9"/>
      <c r="Q81" s="9"/>
      <c r="R81" s="9"/>
      <c r="S81" s="9"/>
    </row>
    <row r="82" spans="1:83" ht="12.95" customHeight="1" x14ac:dyDescent="0.25">
      <c r="B82" s="18"/>
      <c r="C82" s="121"/>
      <c r="D82" s="16"/>
      <c r="N82" s="9"/>
      <c r="O82" s="9"/>
      <c r="P82" s="9"/>
      <c r="Q82" s="9"/>
      <c r="R82" s="9"/>
      <c r="S82" s="9"/>
    </row>
    <row r="83" spans="1:83" ht="12.95" customHeight="1" x14ac:dyDescent="0.2">
      <c r="E83" s="31"/>
      <c r="F83" s="31"/>
      <c r="N83" s="9"/>
      <c r="O83" s="9"/>
      <c r="P83" s="9"/>
      <c r="Q83" s="9"/>
      <c r="R83" s="9"/>
      <c r="S83" s="9"/>
    </row>
    <row r="84" spans="1:83" s="6" customFormat="1" ht="12.95" customHeight="1" x14ac:dyDescent="0.2">
      <c r="A84" s="115" t="s">
        <v>27</v>
      </c>
      <c r="B84" s="401" t="str">
        <f>$C$9</f>
        <v>Kompensierte Treibhausgasemissionen</v>
      </c>
      <c r="C84" s="401"/>
      <c r="D84" s="6" t="str">
        <f>VLOOKUP(32,Textbausteine_Menu[],Hilfsgrössen!$D$2,FALSE)</f>
        <v>Einheit</v>
      </c>
      <c r="E84" s="74" t="str">
        <f>VLOOKUP(33,Textbausteine_Menu[],Hilfsgrössen!$D$2,FALSE)</f>
        <v>Fussnoten</v>
      </c>
      <c r="F84" s="74" t="str">
        <f>VLOOKUP(34,Textbausteine_Menu[],Hilfsgrössen!$D$2,FALSE)</f>
        <v>GRI</v>
      </c>
      <c r="G84" s="34"/>
      <c r="H84" s="28">
        <v>2010</v>
      </c>
      <c r="I84" s="28">
        <v>2011</v>
      </c>
      <c r="J84" s="28">
        <v>2012</v>
      </c>
      <c r="K84" s="28">
        <v>2013</v>
      </c>
      <c r="L84" s="28">
        <v>2014</v>
      </c>
      <c r="M84" s="28">
        <v>2015</v>
      </c>
      <c r="N84" s="28">
        <v>2016</v>
      </c>
      <c r="O84" s="28">
        <v>2017</v>
      </c>
      <c r="P84" s="28">
        <v>2018</v>
      </c>
      <c r="Q84" s="28">
        <v>2019</v>
      </c>
      <c r="R84" s="28">
        <v>2020</v>
      </c>
      <c r="S84" s="84">
        <v>2021</v>
      </c>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c r="CC84" s="28"/>
      <c r="CD84" s="28"/>
      <c r="CE84" s="28"/>
    </row>
    <row r="85" spans="1:83" s="6" customFormat="1" ht="12.95" customHeight="1" x14ac:dyDescent="0.2">
      <c r="A85" s="38"/>
      <c r="B85" s="401"/>
      <c r="C85" s="401"/>
      <c r="E85" s="31"/>
      <c r="F85" s="31"/>
      <c r="G85" s="34"/>
      <c r="H85" s="9"/>
      <c r="I85" s="9"/>
      <c r="J85" s="9"/>
      <c r="K85" s="9"/>
      <c r="L85" s="9"/>
      <c r="M85" s="9"/>
      <c r="N85" s="9"/>
      <c r="O85" s="9"/>
      <c r="P85" s="9"/>
      <c r="Q85" s="9"/>
      <c r="R85" s="9"/>
      <c r="S85" s="87"/>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9"/>
      <c r="BZ85" s="9"/>
      <c r="CA85" s="9"/>
      <c r="CB85" s="9"/>
      <c r="CC85" s="9"/>
      <c r="CD85" s="9"/>
      <c r="CE85" s="9"/>
    </row>
    <row r="86" spans="1:83" ht="12.95" customHeight="1" x14ac:dyDescent="0.2">
      <c r="B86" s="2"/>
      <c r="N86" s="9"/>
      <c r="O86" s="9"/>
      <c r="P86" s="9"/>
      <c r="Q86" s="9"/>
      <c r="R86" s="9"/>
      <c r="S86" s="87"/>
    </row>
    <row r="87" spans="1:83" ht="12.95" customHeight="1" x14ac:dyDescent="0.2">
      <c r="B87" s="2" t="str">
        <f>VLOOKUP(36,Textbausteine_Menu[],Hilfsgrössen!$D$2,FALSE)</f>
        <v>Konzern</v>
      </c>
      <c r="C87" s="2"/>
      <c r="N87" s="9"/>
      <c r="O87" s="9"/>
      <c r="P87" s="9"/>
      <c r="Q87" s="9"/>
      <c r="R87" s="9"/>
      <c r="S87" s="87"/>
    </row>
    <row r="88" spans="1:83" ht="12.95" customHeight="1" x14ac:dyDescent="0.2">
      <c r="C88" s="16" t="str">
        <f>VLOOKUP(91,Textbausteine_305[],Hilfsgrössen!$D$2,FALSE)</f>
        <v>CO2-Kompensationen</v>
      </c>
      <c r="D88" s="1" t="str">
        <f>VLOOKUP(11,Textbausteine_305[],Hilfsgrössen!$D$2,FALSE)</f>
        <v>t CO2-Äquivalent</v>
      </c>
      <c r="E88" s="11">
        <v>1</v>
      </c>
      <c r="F88" s="9" t="s">
        <v>162</v>
      </c>
      <c r="H88" s="9">
        <v>27000</v>
      </c>
      <c r="I88" s="9">
        <v>9500</v>
      </c>
      <c r="J88" s="9">
        <v>38300</v>
      </c>
      <c r="K88" s="9">
        <v>41800</v>
      </c>
      <c r="L88" s="9">
        <v>35900</v>
      </c>
      <c r="M88" s="9">
        <v>35600</v>
      </c>
      <c r="N88" s="75">
        <v>35766</v>
      </c>
      <c r="O88" s="75">
        <v>41000</v>
      </c>
      <c r="P88" s="75">
        <v>38906</v>
      </c>
      <c r="Q88" s="75">
        <v>39085</v>
      </c>
      <c r="R88" s="75">
        <v>37391</v>
      </c>
      <c r="S88" s="326">
        <v>170002</v>
      </c>
    </row>
    <row r="90" spans="1:83" ht="12.95" customHeight="1" x14ac:dyDescent="0.25">
      <c r="B90" s="328" t="str">
        <f>VLOOKUP(134,Textbausteine_305[],Hilfsgrössen!$D$2,FALSE)</f>
        <v>1) Ab 2021 werden alle Sendungen der Post CO2-kompensiert unter dem «pro clima» Label versendet. Sämtliche anfallenden Zuschläge für die CO2-Kompensation übernimmt die Post vollumfänglich.</v>
      </c>
      <c r="C90" s="18"/>
      <c r="D90" s="18"/>
    </row>
    <row r="91" spans="1:83" ht="12.95" customHeight="1" x14ac:dyDescent="0.2">
      <c r="N91" s="9"/>
      <c r="O91" s="9"/>
      <c r="P91" s="9"/>
      <c r="Q91" s="9"/>
      <c r="R91" s="9"/>
      <c r="S91" s="9"/>
    </row>
    <row r="92" spans="1:83" ht="12.95" customHeight="1" x14ac:dyDescent="0.2">
      <c r="N92" s="9"/>
      <c r="O92" s="9"/>
      <c r="P92" s="9"/>
      <c r="Q92" s="9"/>
      <c r="R92" s="9"/>
      <c r="S92" s="9"/>
    </row>
    <row r="93" spans="1:83" s="6" customFormat="1" ht="12.95" customHeight="1" x14ac:dyDescent="0.2">
      <c r="A93" s="115" t="s">
        <v>27</v>
      </c>
      <c r="B93" s="401" t="str">
        <f>$C$10</f>
        <v>Weitere Treibhausgaskennzahlen</v>
      </c>
      <c r="C93" s="401"/>
      <c r="D93" s="6" t="str">
        <f>VLOOKUP(32,Textbausteine_Menu[],Hilfsgrössen!$D$2,FALSE)</f>
        <v>Einheit</v>
      </c>
      <c r="E93" s="7" t="str">
        <f>VLOOKUP(33,Textbausteine_Menu[],Hilfsgrössen!$D$2,FALSE)</f>
        <v>Fussnoten</v>
      </c>
      <c r="F93" s="28" t="str">
        <f>VLOOKUP(34,Textbausteine_Menu[],Hilfsgrössen!$D$2,FALSE)</f>
        <v>GRI</v>
      </c>
      <c r="G93" s="34"/>
      <c r="H93" s="28">
        <v>2010</v>
      </c>
      <c r="I93" s="28">
        <v>2011</v>
      </c>
      <c r="J93" s="28">
        <v>2012</v>
      </c>
      <c r="K93" s="28">
        <v>2013</v>
      </c>
      <c r="L93" s="28">
        <v>2014</v>
      </c>
      <c r="M93" s="28">
        <v>2015</v>
      </c>
      <c r="N93" s="28">
        <v>2016</v>
      </c>
      <c r="O93" s="28">
        <v>2017</v>
      </c>
      <c r="P93" s="28">
        <v>2018</v>
      </c>
      <c r="Q93" s="28">
        <v>2019</v>
      </c>
      <c r="R93" s="28">
        <v>2020</v>
      </c>
      <c r="S93" s="84">
        <v>2021</v>
      </c>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row>
    <row r="94" spans="1:83" s="6" customFormat="1" ht="12.95" customHeight="1" x14ac:dyDescent="0.2">
      <c r="A94" s="38"/>
      <c r="B94" s="401"/>
      <c r="C94" s="401"/>
      <c r="E94" s="11"/>
      <c r="F94" s="9"/>
      <c r="G94" s="34"/>
      <c r="H94" s="9"/>
      <c r="I94" s="9"/>
      <c r="J94" s="9"/>
      <c r="K94" s="9"/>
      <c r="L94" s="9"/>
      <c r="M94" s="9"/>
      <c r="N94" s="9"/>
      <c r="O94" s="9"/>
      <c r="P94" s="9"/>
      <c r="Q94" s="9"/>
      <c r="R94" s="9"/>
      <c r="S94" s="87"/>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9"/>
      <c r="BZ94" s="9"/>
      <c r="CA94" s="9"/>
      <c r="CB94" s="9"/>
      <c r="CC94" s="9"/>
      <c r="CD94" s="9"/>
      <c r="CE94" s="9"/>
    </row>
    <row r="95" spans="1:83" ht="12.95" customHeight="1" x14ac:dyDescent="0.2">
      <c r="B95" s="2"/>
      <c r="N95" s="9"/>
      <c r="O95" s="9"/>
      <c r="P95" s="9"/>
      <c r="Q95" s="9"/>
      <c r="R95" s="9"/>
      <c r="S95" s="87"/>
    </row>
    <row r="96" spans="1:83" ht="12.95" customHeight="1" x14ac:dyDescent="0.2">
      <c r="B96" s="2" t="str">
        <f>VLOOKUP(36,Textbausteine_Menu[],Hilfsgrössen!$D$2,FALSE)</f>
        <v>Konzern</v>
      </c>
      <c r="C96" s="2"/>
      <c r="N96" s="9"/>
      <c r="O96" s="9"/>
      <c r="P96" s="9"/>
      <c r="Q96" s="9"/>
      <c r="R96" s="9"/>
      <c r="S96" s="87"/>
    </row>
    <row r="97" spans="1:83" ht="12.95" customHeight="1" x14ac:dyDescent="0.2">
      <c r="C97" s="289" t="str">
        <f>VLOOKUP(101,Textbausteine_305[],Hilfsgrössen!$D$2,FALSE)</f>
        <v>CO2-Effizienzsteigerung 2010-2020</v>
      </c>
      <c r="D97" s="289" t="str">
        <f>VLOOKUP(15,Textbausteine_305[],Hilfsgrössen!$D$2,FALSE)</f>
        <v>%</v>
      </c>
      <c r="E97" s="272" t="s">
        <v>163</v>
      </c>
      <c r="H97" s="9">
        <v>0</v>
      </c>
      <c r="I97" s="99">
        <v>3.46</v>
      </c>
      <c r="J97" s="9">
        <v>3.11</v>
      </c>
      <c r="K97" s="9">
        <v>10.1</v>
      </c>
      <c r="L97" s="9">
        <v>12.1</v>
      </c>
      <c r="M97" s="9">
        <v>13.7</v>
      </c>
      <c r="N97" s="9">
        <v>16.5</v>
      </c>
      <c r="O97" s="9">
        <v>19.2</v>
      </c>
      <c r="P97" s="9">
        <v>20.399999999999999</v>
      </c>
      <c r="Q97" s="9">
        <v>27.6</v>
      </c>
      <c r="R97" s="9">
        <v>29.8</v>
      </c>
      <c r="S97" s="87" t="s">
        <v>30</v>
      </c>
    </row>
    <row r="98" spans="1:83" ht="12.95" customHeight="1" x14ac:dyDescent="0.2">
      <c r="C98" s="289" t="str">
        <f>VLOOKUP(102,Textbausteine_305[],Hilfsgrössen!$D$2,FALSE)</f>
        <v>Änderung der Treibhausgasemissionen Scope 1+2 (Basisjahr 2019)</v>
      </c>
      <c r="D98" s="289" t="s">
        <v>164</v>
      </c>
      <c r="E98" s="272">
        <v>3</v>
      </c>
      <c r="H98" s="9" t="s">
        <v>75</v>
      </c>
      <c r="I98" s="99" t="s">
        <v>75</v>
      </c>
      <c r="J98" s="9" t="s">
        <v>75</v>
      </c>
      <c r="K98" s="9" t="s">
        <v>75</v>
      </c>
      <c r="L98" s="9" t="s">
        <v>75</v>
      </c>
      <c r="M98" s="9" t="s">
        <v>75</v>
      </c>
      <c r="N98" s="9" t="s">
        <v>75</v>
      </c>
      <c r="O98" s="9" t="s">
        <v>75</v>
      </c>
      <c r="P98" s="9" t="s">
        <v>75</v>
      </c>
      <c r="Q98" s="9">
        <v>0</v>
      </c>
      <c r="R98" s="9">
        <v>-2.7</v>
      </c>
      <c r="S98" s="87">
        <v>4.9000000000000004</v>
      </c>
      <c r="T98" s="8"/>
    </row>
    <row r="99" spans="1:83" ht="12.95" customHeight="1" x14ac:dyDescent="0.2">
      <c r="C99" s="289" t="str">
        <f>VLOOKUP(103,Textbausteine_305[],Hilfsgrössen!$D$2,FALSE)</f>
        <v>Änderung der Treibhausgasemissionen Scope 3 (Basisjahr 2019)</v>
      </c>
      <c r="D99" s="289" t="s">
        <v>164</v>
      </c>
      <c r="E99" s="272">
        <v>3</v>
      </c>
      <c r="H99" s="9" t="s">
        <v>75</v>
      </c>
      <c r="I99" s="99" t="s">
        <v>75</v>
      </c>
      <c r="J99" s="9" t="s">
        <v>75</v>
      </c>
      <c r="K99" s="9" t="s">
        <v>75</v>
      </c>
      <c r="L99" s="9" t="s">
        <v>75</v>
      </c>
      <c r="M99" s="9" t="s">
        <v>75</v>
      </c>
      <c r="N99" s="9" t="s">
        <v>75</v>
      </c>
      <c r="O99" s="9" t="s">
        <v>75</v>
      </c>
      <c r="P99" s="9" t="s">
        <v>75</v>
      </c>
      <c r="Q99" s="9">
        <v>0</v>
      </c>
      <c r="R99" s="9">
        <v>-2.2000000000000002</v>
      </c>
      <c r="S99" s="87">
        <v>3.3</v>
      </c>
      <c r="T99" s="8"/>
    </row>
    <row r="100" spans="1:83" ht="12.95" customHeight="1" x14ac:dyDescent="0.2">
      <c r="N100" s="9"/>
      <c r="O100" s="9"/>
      <c r="P100" s="9"/>
      <c r="Q100" s="9"/>
      <c r="R100" s="9"/>
      <c r="S100" s="9"/>
    </row>
    <row r="101" spans="1:83" ht="12.95" customHeight="1" x14ac:dyDescent="0.25">
      <c r="B101" s="328" t="str">
        <f>VLOOKUP(135,Textbausteine_305[],Hilfsgrössen!$D$2,FALSE)</f>
        <v>1) CO2-Effizienzsteigerung wird als Änderung der CO2-Äquivalente pro Kerndienstleistung im Geschäftsjahr verglichen zum Basisjahr gemessen. Die Kerndienstleistung ist je nach Bereich unterschiedlich definiert (Sendung, Transaktion, Personenkilometer/Kilometer, Personaleinheit etc.).</v>
      </c>
      <c r="C101" s="18"/>
      <c r="D101" s="18"/>
      <c r="N101" s="9"/>
      <c r="O101" s="9"/>
      <c r="P101" s="9"/>
      <c r="Q101" s="9"/>
      <c r="R101" s="9"/>
      <c r="S101" s="9"/>
    </row>
    <row r="102" spans="1:83" ht="12.95" customHeight="1" x14ac:dyDescent="0.25">
      <c r="B102" s="328" t="str">
        <f>VLOOKUP(136,Textbausteine_305[],Hilfsgrössen!$D$2,FALSE)</f>
        <v>2) Die konzernweite CO2-Effizienzsteigerung wird ab dem 2021 nicht mehr gemessen.</v>
      </c>
      <c r="N102" s="9"/>
      <c r="O102" s="9"/>
      <c r="P102" s="9"/>
      <c r="Q102" s="9"/>
      <c r="R102" s="9"/>
      <c r="S102" s="9"/>
    </row>
    <row r="103" spans="1:83" ht="12.95" customHeight="1" x14ac:dyDescent="0.25">
      <c r="B103" s="328" t="str">
        <f>VLOOKUP(137,Textbausteine_305[],Hilfsgrössen!$D$2,FALSE)</f>
        <v>3) Die Post hat sich im 2021 absolute CO2-Ziele gesetzt. Dabei dient das Jahr 2019 als Basisjahr.</v>
      </c>
      <c r="N103" s="9"/>
      <c r="O103" s="9"/>
      <c r="P103" s="9"/>
      <c r="Q103" s="9"/>
      <c r="R103" s="9"/>
      <c r="S103" s="9"/>
    </row>
    <row r="104" spans="1:83" ht="12.95" customHeight="1" x14ac:dyDescent="0.2">
      <c r="N104" s="9"/>
      <c r="O104" s="9"/>
      <c r="P104" s="9"/>
      <c r="Q104" s="9"/>
      <c r="R104" s="9"/>
      <c r="S104" s="9"/>
    </row>
    <row r="105" spans="1:83" ht="12.95" customHeight="1" x14ac:dyDescent="0.2">
      <c r="N105" s="9"/>
      <c r="O105" s="9"/>
      <c r="P105" s="9"/>
      <c r="Q105" s="9"/>
      <c r="R105" s="9"/>
      <c r="S105" s="9"/>
    </row>
    <row r="106" spans="1:83" s="6" customFormat="1" ht="12.95" customHeight="1" x14ac:dyDescent="0.2">
      <c r="A106" s="115" t="s">
        <v>27</v>
      </c>
      <c r="B106" s="401" t="str">
        <f>$C$11</f>
        <v>Luftschadstoffemissionen</v>
      </c>
      <c r="C106" s="401"/>
      <c r="D106" s="6" t="str">
        <f>VLOOKUP(32,Textbausteine_Menu[],Hilfsgrössen!$D$2,FALSE)</f>
        <v>Einheit</v>
      </c>
      <c r="E106" s="7" t="str">
        <f>VLOOKUP(33,Textbausteine_Menu[],Hilfsgrössen!$D$2,FALSE)</f>
        <v>Fussnoten</v>
      </c>
      <c r="F106" s="28" t="str">
        <f>VLOOKUP(34,Textbausteine_Menu[],Hilfsgrössen!$D$2,FALSE)</f>
        <v>GRI</v>
      </c>
      <c r="G106" s="34"/>
      <c r="H106" s="28">
        <v>2010</v>
      </c>
      <c r="I106" s="28">
        <v>2011</v>
      </c>
      <c r="J106" s="28">
        <v>2012</v>
      </c>
      <c r="K106" s="28">
        <v>2013</v>
      </c>
      <c r="L106" s="28">
        <v>2014</v>
      </c>
      <c r="M106" s="28">
        <v>2015</v>
      </c>
      <c r="N106" s="28">
        <v>2016</v>
      </c>
      <c r="O106" s="28">
        <v>2017</v>
      </c>
      <c r="P106" s="28">
        <v>2018</v>
      </c>
      <c r="Q106" s="28" t="s">
        <v>165</v>
      </c>
      <c r="R106" s="28" t="s">
        <v>156</v>
      </c>
      <c r="S106" s="84">
        <v>2021</v>
      </c>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row>
    <row r="107" spans="1:83" s="6" customFormat="1" ht="12.95" customHeight="1" x14ac:dyDescent="0.2">
      <c r="A107" s="38"/>
      <c r="B107" s="401"/>
      <c r="C107" s="401"/>
      <c r="E107" s="11"/>
      <c r="F107" s="9"/>
      <c r="G107" s="34"/>
      <c r="H107" s="9"/>
      <c r="I107" s="9"/>
      <c r="J107" s="9"/>
      <c r="K107" s="9"/>
      <c r="L107" s="9"/>
      <c r="M107" s="9"/>
      <c r="N107" s="9"/>
      <c r="O107" s="9"/>
      <c r="P107" s="9"/>
      <c r="Q107" s="9"/>
      <c r="R107" s="9"/>
      <c r="S107" s="87"/>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9"/>
      <c r="BN107" s="9"/>
      <c r="BO107" s="9"/>
      <c r="BP107" s="9"/>
      <c r="BQ107" s="9"/>
      <c r="BR107" s="9"/>
      <c r="BS107" s="9"/>
      <c r="BT107" s="9"/>
      <c r="BU107" s="9"/>
      <c r="BV107" s="9"/>
      <c r="BW107" s="9"/>
      <c r="BX107" s="9"/>
      <c r="BY107" s="9"/>
      <c r="BZ107" s="9"/>
      <c r="CA107" s="9"/>
      <c r="CB107" s="9"/>
      <c r="CC107" s="9"/>
      <c r="CD107" s="9"/>
      <c r="CE107" s="9"/>
    </row>
    <row r="108" spans="1:83" ht="12.95" customHeight="1" x14ac:dyDescent="0.2">
      <c r="B108" s="2"/>
      <c r="N108" s="9"/>
      <c r="O108" s="9"/>
      <c r="P108" s="9"/>
      <c r="Q108" s="9"/>
      <c r="R108" s="9"/>
      <c r="S108" s="87"/>
    </row>
    <row r="109" spans="1:83" ht="12.95" customHeight="1" x14ac:dyDescent="0.2">
      <c r="B109" s="2" t="str">
        <f>VLOOKUP(36,Textbausteine_Menu[],Hilfsgrössen!$D$2,FALSE)</f>
        <v>Konzern</v>
      </c>
      <c r="C109" s="2"/>
      <c r="N109" s="9"/>
      <c r="O109" s="9"/>
      <c r="P109" s="9"/>
      <c r="Q109" s="9"/>
      <c r="R109" s="9"/>
      <c r="S109" s="87"/>
    </row>
    <row r="110" spans="1:83" ht="12.95" customHeight="1" x14ac:dyDescent="0.2">
      <c r="C110" s="16" t="str">
        <f>VLOOKUP(111,Textbausteine_305[],Hilfsgrössen!$D$2,FALSE)</f>
        <v>Fluorchlorkohlenwasserstoffäquivalente (FCKW-11-Äquivalente)</v>
      </c>
      <c r="D110" s="16" t="str">
        <f>VLOOKUP(16,Textbausteine_305[],Hilfsgrössen!$D$2,FALSE)</f>
        <v>kg</v>
      </c>
      <c r="E110" s="11" t="s">
        <v>94</v>
      </c>
      <c r="F110" s="9" t="s">
        <v>166</v>
      </c>
      <c r="H110" s="198">
        <v>56.656749999999995</v>
      </c>
      <c r="I110" s="198">
        <v>56.216750000000005</v>
      </c>
      <c r="J110" s="198">
        <v>108</v>
      </c>
      <c r="K110" s="198">
        <v>106.6825</v>
      </c>
      <c r="L110" s="198">
        <v>53.605249999999998</v>
      </c>
      <c r="M110" s="198">
        <v>52.248352500000003</v>
      </c>
      <c r="N110" s="198">
        <v>51.7</v>
      </c>
      <c r="O110" s="198">
        <v>1.28</v>
      </c>
      <c r="P110" s="198">
        <v>0.74731999999999998</v>
      </c>
      <c r="Q110" s="198">
        <v>0.05</v>
      </c>
      <c r="R110" s="198">
        <v>0.05</v>
      </c>
      <c r="S110" s="327">
        <v>0</v>
      </c>
      <c r="T110" s="8"/>
    </row>
    <row r="111" spans="1:83" ht="12.95" customHeight="1" x14ac:dyDescent="0.2">
      <c r="C111" s="16" t="str">
        <f>VLOOKUP(112,Textbausteine_305[],Hilfsgrössen!$D$2,FALSE)</f>
        <v>Stickoxide (NOx)</v>
      </c>
      <c r="D111" s="16" t="str">
        <f>VLOOKUP(17,Textbausteine_305[],Hilfsgrössen!$D$2,FALSE)</f>
        <v>t</v>
      </c>
      <c r="E111" s="11" t="s">
        <v>94</v>
      </c>
      <c r="F111" s="9" t="s">
        <v>167</v>
      </c>
      <c r="H111" s="198">
        <v>2126.6254912214044</v>
      </c>
      <c r="I111" s="198">
        <v>2086.986795031813</v>
      </c>
      <c r="J111" s="198">
        <v>2110.7971396006742</v>
      </c>
      <c r="K111" s="198">
        <v>2001.3082524510821</v>
      </c>
      <c r="L111" s="198">
        <v>1892.8871645166876</v>
      </c>
      <c r="M111" s="198">
        <v>1836.9172596897106</v>
      </c>
      <c r="N111" s="212">
        <v>1828.6075223799689</v>
      </c>
      <c r="O111" s="212">
        <v>1692.6639323839715</v>
      </c>
      <c r="P111" s="212">
        <v>1617.9185809195394</v>
      </c>
      <c r="Q111" s="198">
        <v>1959</v>
      </c>
      <c r="R111" s="198">
        <v>1885</v>
      </c>
      <c r="S111" s="213">
        <v>1956</v>
      </c>
      <c r="T111" s="8"/>
    </row>
    <row r="112" spans="1:83" ht="12.95" customHeight="1" x14ac:dyDescent="0.2">
      <c r="C112" s="16" t="str">
        <f>VLOOKUP(113,Textbausteine_305[],Hilfsgrössen!$D$2,FALSE)</f>
        <v>Schwefeloxide (SOx)</v>
      </c>
      <c r="D112" s="16" t="str">
        <f>VLOOKUP(17,Textbausteine_305[],Hilfsgrössen!$D$2,FALSE)</f>
        <v>t</v>
      </c>
      <c r="E112" s="11" t="s">
        <v>94</v>
      </c>
      <c r="F112" s="9" t="s">
        <v>167</v>
      </c>
      <c r="H112" s="198">
        <v>453.21409126742935</v>
      </c>
      <c r="I112" s="198">
        <v>442.20779069904631</v>
      </c>
      <c r="J112" s="198">
        <v>448.95330090473709</v>
      </c>
      <c r="K112" s="198">
        <v>407.43407886293028</v>
      </c>
      <c r="L112" s="198">
        <v>398.72234914301902</v>
      </c>
      <c r="M112" s="198">
        <v>398.12541437514068</v>
      </c>
      <c r="N112" s="212">
        <v>405.29957808288373</v>
      </c>
      <c r="O112" s="212">
        <v>387.73112315768856</v>
      </c>
      <c r="P112" s="212">
        <v>385.22939359908577</v>
      </c>
      <c r="Q112" s="198">
        <v>452</v>
      </c>
      <c r="R112" s="198">
        <v>440</v>
      </c>
      <c r="S112" s="213">
        <v>471</v>
      </c>
      <c r="T112" s="8"/>
    </row>
    <row r="113" spans="2:20" ht="12.95" customHeight="1" x14ac:dyDescent="0.2">
      <c r="C113" s="16" t="str">
        <f>VLOOKUP(114,Textbausteine_305[],Hilfsgrössen!$D$2,FALSE)</f>
        <v>Nicht-Methan Kohlenwasserstoffe (NMVOC)</v>
      </c>
      <c r="D113" s="16" t="str">
        <f>VLOOKUP(17,Textbausteine_305[],Hilfsgrössen!$D$2,FALSE)</f>
        <v>t</v>
      </c>
      <c r="E113" s="11" t="s">
        <v>94</v>
      </c>
      <c r="F113" s="9" t="s">
        <v>167</v>
      </c>
      <c r="H113" s="198">
        <v>808.00031071068884</v>
      </c>
      <c r="I113" s="198">
        <v>680.92395886955273</v>
      </c>
      <c r="J113" s="198">
        <v>657.95984198882127</v>
      </c>
      <c r="K113" s="198">
        <v>538.57415381843543</v>
      </c>
      <c r="L113" s="198">
        <v>458.74439530133685</v>
      </c>
      <c r="M113" s="198">
        <v>427.44439191721011</v>
      </c>
      <c r="N113" s="212">
        <v>369.98220828925298</v>
      </c>
      <c r="O113" s="212">
        <v>334.92098138256659</v>
      </c>
      <c r="P113" s="212">
        <v>320.34807607678783</v>
      </c>
      <c r="Q113" s="198">
        <v>415</v>
      </c>
      <c r="R113" s="198">
        <v>405</v>
      </c>
      <c r="S113" s="213">
        <v>484</v>
      </c>
      <c r="T113" s="8"/>
    </row>
    <row r="114" spans="2:20" ht="12.95" customHeight="1" x14ac:dyDescent="0.2">
      <c r="C114" s="16" t="str">
        <f>VLOOKUP(115,Textbausteine_305[],Hilfsgrössen!$D$2,FALSE)</f>
        <v>Feinstaub (PM10)</v>
      </c>
      <c r="D114" s="16" t="str">
        <f>VLOOKUP(17,Textbausteine_305[],Hilfsgrössen!$D$2,FALSE)</f>
        <v>t</v>
      </c>
      <c r="E114" s="11" t="s">
        <v>94</v>
      </c>
      <c r="F114" s="9" t="s">
        <v>167</v>
      </c>
      <c r="G114" s="33"/>
      <c r="H114" s="198">
        <v>87.302417005827763</v>
      </c>
      <c r="I114" s="198">
        <v>81.451962669579601</v>
      </c>
      <c r="J114" s="198">
        <v>77.82838093008597</v>
      </c>
      <c r="K114" s="198">
        <v>74.193520202790808</v>
      </c>
      <c r="L114" s="198">
        <v>70.374800229991109</v>
      </c>
      <c r="M114" s="198">
        <v>69.162272717505914</v>
      </c>
      <c r="N114" s="212">
        <v>67.59036985320202</v>
      </c>
      <c r="O114" s="212">
        <v>62.089763775006226</v>
      </c>
      <c r="P114" s="212">
        <v>58.681106546014142</v>
      </c>
      <c r="Q114" s="198">
        <v>75</v>
      </c>
      <c r="R114" s="198">
        <v>73</v>
      </c>
      <c r="S114" s="213">
        <v>75</v>
      </c>
      <c r="T114" s="8"/>
    </row>
    <row r="115" spans="2:20" ht="12.95" customHeight="1" x14ac:dyDescent="0.2">
      <c r="G115" s="33"/>
    </row>
    <row r="116" spans="2:20" ht="12.95" customHeight="1" x14ac:dyDescent="0.25">
      <c r="B116" s="18" t="str">
        <f>VLOOKUP(141,Textbausteine_305[],Hilfsgrössen!$D$2,FALSE)</f>
        <v>1) Die Emissionszahlen sind mittels Emissionsfaktoren aus der Transportleistung bzw. dem Energieträgerverbrauch berechnet. Sie umfassen auch die Vorstufen der Energiebereitstellung.</v>
      </c>
      <c r="C116" s="18"/>
      <c r="D116" s="18"/>
      <c r="N116" s="9"/>
      <c r="O116" s="9"/>
      <c r="P116" s="9"/>
      <c r="Q116" s="9"/>
      <c r="R116" s="9"/>
      <c r="S116" s="9"/>
    </row>
    <row r="117" spans="2:20" ht="12.95" customHeight="1" x14ac:dyDescent="0.25">
      <c r="B117" s="290" t="str">
        <f>VLOOKUP(142,Textbausteine_305[],Hilfsgrössen!$D$2,FALSE)</f>
        <v xml:space="preserve">2) Standards, Methoden und Emissionsfaktoren: Emissionsfaktoren stammen aus HBEFA 3.1, Mobitool Version 2010, ecoinvent 2.2 und weiteren statistischen Quellen. </v>
      </c>
      <c r="C117" s="18"/>
      <c r="D117" s="18"/>
      <c r="G117" s="33"/>
      <c r="N117" s="9"/>
      <c r="O117" s="9"/>
      <c r="P117" s="9"/>
      <c r="Q117" s="9"/>
      <c r="R117" s="9"/>
      <c r="S117" s="9"/>
    </row>
    <row r="118" spans="2:20" ht="12.95" customHeight="1" x14ac:dyDescent="0.25">
      <c r="B118" s="328" t="str">
        <f>VLOOKUP(143,Textbausteine_305[],Hilfsgrössen!$D$2,FALSE)</f>
        <v>3) Die Sachdaten von akquirierten Konzerngesellschaften werden rückwirkend für die Jahre 2019 und folgende nacherfasst, da 2019 als Basisjahr für die Ziele 2024/2030 dient.</v>
      </c>
    </row>
    <row r="121" spans="2:20" ht="12.95" customHeight="1" x14ac:dyDescent="0.2">
      <c r="N121" s="88"/>
      <c r="O121" s="88"/>
      <c r="P121" s="88"/>
      <c r="Q121" s="88"/>
      <c r="R121" s="88"/>
      <c r="S121" s="88"/>
    </row>
    <row r="122" spans="2:20" ht="12.95" customHeight="1" x14ac:dyDescent="0.2">
      <c r="G122" s="37"/>
      <c r="N122" s="88"/>
      <c r="O122" s="88"/>
      <c r="P122" s="88"/>
      <c r="Q122" s="88"/>
      <c r="R122" s="88"/>
      <c r="S122" s="88"/>
    </row>
    <row r="123" spans="2:20" ht="12.95" customHeight="1" x14ac:dyDescent="0.2">
      <c r="G123" s="37"/>
      <c r="N123" s="88"/>
      <c r="O123" s="88"/>
      <c r="P123" s="88"/>
      <c r="Q123" s="88"/>
      <c r="R123" s="88"/>
      <c r="S123" s="88"/>
    </row>
    <row r="124" spans="2:20" ht="12.95" customHeight="1" x14ac:dyDescent="0.2">
      <c r="G124" s="37"/>
      <c r="N124" s="88"/>
      <c r="O124" s="88"/>
      <c r="P124" s="88"/>
      <c r="Q124" s="88"/>
      <c r="R124" s="88"/>
      <c r="S124" s="88"/>
    </row>
    <row r="125" spans="2:20" ht="12.95" customHeight="1" x14ac:dyDescent="0.2">
      <c r="N125" s="88"/>
      <c r="O125" s="88"/>
      <c r="P125" s="88"/>
      <c r="Q125" s="88"/>
      <c r="R125" s="88"/>
      <c r="S125" s="88"/>
    </row>
    <row r="126" spans="2:20" ht="12.95" customHeight="1" x14ac:dyDescent="0.2">
      <c r="N126" s="88"/>
      <c r="O126" s="88"/>
      <c r="P126" s="88"/>
      <c r="Q126" s="88"/>
      <c r="R126" s="88"/>
      <c r="S126" s="88"/>
    </row>
    <row r="127" spans="2:20" ht="12.95" customHeight="1" x14ac:dyDescent="0.2">
      <c r="N127" s="88"/>
      <c r="O127" s="88"/>
      <c r="P127" s="88"/>
      <c r="Q127" s="88"/>
      <c r="R127" s="88"/>
      <c r="S127" s="88"/>
    </row>
    <row r="128" spans="2:20" ht="12.95" customHeight="1" x14ac:dyDescent="0.2">
      <c r="N128" s="88"/>
      <c r="O128" s="88"/>
      <c r="P128" s="88"/>
      <c r="Q128" s="88"/>
      <c r="R128" s="88"/>
      <c r="S128" s="88"/>
    </row>
  </sheetData>
  <sheetProtection algorithmName="SHA-512" hashValue="c8ixzlbKYM/KaEj2A3OTZa+S/Ggc3LSxcBQsfzlMuEcn0+QehtpeevV0f+m+Bu2qj5m4cx38JbWtrBcSVK8t5A==" saltValue="LycfJIXEcgsjsC0CNyc+uQ==" spinCount="100000" sheet="1" objects="1" scenarios="1"/>
  <mergeCells count="8">
    <mergeCell ref="D2:E2"/>
    <mergeCell ref="B106:C107"/>
    <mergeCell ref="B93:C94"/>
    <mergeCell ref="B2:C2"/>
    <mergeCell ref="B3:C3"/>
    <mergeCell ref="B14:C15"/>
    <mergeCell ref="B73:C74"/>
    <mergeCell ref="B84:C85"/>
  </mergeCells>
  <conditionalFormatting sqref="H14:CE18 H35:CE36 T19:CE34 H64:CE76 H37:P63 T37:CE63 H80:CE87 H77:R79 T77:CE79 H89:CE96 H88:R88 T88:CE88 H100:CE109 H97:R97 H98:P99 H115:CE10006 H110:P114 T97:CE99 T110:CE114 H19:P34">
    <cfRule type="expression" dxfId="540" priority="192">
      <formula>AND($D14&lt;&gt;"",H$14&lt;&gt;"",H14="")</formula>
    </cfRule>
    <cfRule type="expression" dxfId="539" priority="193">
      <formula>AND($A14="",ABS(H14)=0)</formula>
    </cfRule>
    <cfRule type="expression" dxfId="538" priority="194">
      <formula>AND($A14="",ABS(H14)&lt;10)</formula>
    </cfRule>
    <cfRule type="expression" dxfId="537" priority="195">
      <formula>AND($A14="",ABS(H14)&lt;100)</formula>
    </cfRule>
    <cfRule type="expression" dxfId="536" priority="196">
      <formula>AND($A14="",ABS(H14)&gt;=100)</formula>
    </cfRule>
  </conditionalFormatting>
  <conditionalFormatting sqref="S19:S20 S25:S34">
    <cfRule type="expression" dxfId="535" priority="176">
      <formula>AND($D19&lt;&gt;"",S$14&lt;&gt;"",S19="")</formula>
    </cfRule>
    <cfRule type="expression" dxfId="534" priority="177">
      <formula>AND($A19="",ABS(S19)=0)</formula>
    </cfRule>
    <cfRule type="expression" dxfId="533" priority="178">
      <formula>AND($A19="",ABS(S19)&lt;10)</formula>
    </cfRule>
    <cfRule type="expression" dxfId="532" priority="179">
      <formula>AND($A19="",ABS(S19)&lt;100)</formula>
    </cfRule>
    <cfRule type="expression" dxfId="531" priority="180">
      <formula>AND($A19="",ABS(S19)&gt;=100)</formula>
    </cfRule>
  </conditionalFormatting>
  <conditionalFormatting sqref="S21">
    <cfRule type="expression" dxfId="530" priority="171">
      <formula>AND($D21&lt;&gt;"",S$14&lt;&gt;"",S21="")</formula>
    </cfRule>
    <cfRule type="expression" dxfId="529" priority="172">
      <formula>AND($A21="",ABS(S21)=0)</formula>
    </cfRule>
    <cfRule type="expression" dxfId="528" priority="173">
      <formula>AND($A21="",ABS(S21)&lt;10)</formula>
    </cfRule>
    <cfRule type="expression" dxfId="527" priority="174">
      <formula>AND($A21="",ABS(S21)&lt;100)</formula>
    </cfRule>
    <cfRule type="expression" dxfId="526" priority="175">
      <formula>AND($A21="",ABS(S21)&gt;=100)</formula>
    </cfRule>
  </conditionalFormatting>
  <conditionalFormatting sqref="S22:S23">
    <cfRule type="expression" dxfId="525" priority="166">
      <formula>AND($D22&lt;&gt;"",S$14&lt;&gt;"",S22="")</formula>
    </cfRule>
    <cfRule type="expression" dxfId="524" priority="167">
      <formula>AND($A22="",ABS(S22)=0)</formula>
    </cfRule>
    <cfRule type="expression" dxfId="523" priority="168">
      <formula>AND($A22="",ABS(S22)&lt;10)</formula>
    </cfRule>
    <cfRule type="expression" dxfId="522" priority="169">
      <formula>AND($A22="",ABS(S22)&lt;100)</formula>
    </cfRule>
    <cfRule type="expression" dxfId="521" priority="170">
      <formula>AND($A22="",ABS(S22)&gt;=100)</formula>
    </cfRule>
  </conditionalFormatting>
  <conditionalFormatting sqref="S24">
    <cfRule type="expression" dxfId="520" priority="161">
      <formula>AND($D24&lt;&gt;"",S$14&lt;&gt;"",S24="")</formula>
    </cfRule>
    <cfRule type="expression" dxfId="519" priority="162">
      <formula>AND($A24="",ABS(S24)=0)</formula>
    </cfRule>
    <cfRule type="expression" dxfId="518" priority="163">
      <formula>AND($A24="",ABS(S24)&lt;10)</formula>
    </cfRule>
    <cfRule type="expression" dxfId="517" priority="164">
      <formula>AND($A24="",ABS(S24)&lt;100)</formula>
    </cfRule>
    <cfRule type="expression" dxfId="516" priority="165">
      <formula>AND($A24="",ABS(S24)&gt;=100)</formula>
    </cfRule>
  </conditionalFormatting>
  <conditionalFormatting sqref="S39">
    <cfRule type="expression" dxfId="515" priority="156">
      <formula>AND($D39&lt;&gt;"",S$14&lt;&gt;"",S39="")</formula>
    </cfRule>
    <cfRule type="expression" dxfId="514" priority="157">
      <formula>AND($A39="",ABS(S39)=0)</formula>
    </cfRule>
    <cfRule type="expression" dxfId="513" priority="158">
      <formula>AND($A39="",ABS(S39)&lt;10)</formula>
    </cfRule>
    <cfRule type="expression" dxfId="512" priority="159">
      <formula>AND($A39="",ABS(S39)&lt;100)</formula>
    </cfRule>
    <cfRule type="expression" dxfId="511" priority="160">
      <formula>AND($A39="",ABS(S39)&gt;=100)</formula>
    </cfRule>
  </conditionalFormatting>
  <conditionalFormatting sqref="S40:S42">
    <cfRule type="expression" dxfId="510" priority="151">
      <formula>AND($D40&lt;&gt;"",S$14&lt;&gt;"",S40="")</formula>
    </cfRule>
    <cfRule type="expression" dxfId="509" priority="152">
      <formula>AND($A40="",ABS(S40)=0)</formula>
    </cfRule>
    <cfRule type="expression" dxfId="508" priority="153">
      <formula>AND($A40="",ABS(S40)&lt;10)</formula>
    </cfRule>
    <cfRule type="expression" dxfId="507" priority="154">
      <formula>AND($A40="",ABS(S40)&lt;100)</formula>
    </cfRule>
    <cfRule type="expression" dxfId="506" priority="155">
      <formula>AND($A40="",ABS(S40)&gt;=100)</formula>
    </cfRule>
  </conditionalFormatting>
  <conditionalFormatting sqref="S38">
    <cfRule type="expression" dxfId="505" priority="146">
      <formula>AND($D38&lt;&gt;"",S$14&lt;&gt;"",S38="")</formula>
    </cfRule>
    <cfRule type="expression" dxfId="504" priority="147">
      <formula>AND($A38="",ABS(S38)=0)</formula>
    </cfRule>
    <cfRule type="expression" dxfId="503" priority="148">
      <formula>AND($A38="",ABS(S38)&lt;10)</formula>
    </cfRule>
    <cfRule type="expression" dxfId="502" priority="149">
      <formula>AND($A38="",ABS(S38)&lt;100)</formula>
    </cfRule>
    <cfRule type="expression" dxfId="501" priority="150">
      <formula>AND($A38="",ABS(S38)&gt;=100)</formula>
    </cfRule>
  </conditionalFormatting>
  <conditionalFormatting sqref="S44:S45">
    <cfRule type="expression" dxfId="500" priority="141">
      <formula>AND($D44&lt;&gt;"",S$14&lt;&gt;"",S44="")</formula>
    </cfRule>
    <cfRule type="expression" dxfId="499" priority="142">
      <formula>AND($A44="",ABS(S44)=0)</formula>
    </cfRule>
    <cfRule type="expression" dxfId="498" priority="143">
      <formula>AND($A44="",ABS(S44)&lt;10)</formula>
    </cfRule>
    <cfRule type="expression" dxfId="497" priority="144">
      <formula>AND($A44="",ABS(S44)&lt;100)</formula>
    </cfRule>
    <cfRule type="expression" dxfId="496" priority="145">
      <formula>AND($A44="",ABS(S44)&gt;=100)</formula>
    </cfRule>
  </conditionalFormatting>
  <conditionalFormatting sqref="S43">
    <cfRule type="expression" dxfId="495" priority="136">
      <formula>AND($D43&lt;&gt;"",S$14&lt;&gt;"",S43="")</formula>
    </cfRule>
    <cfRule type="expression" dxfId="494" priority="137">
      <formula>AND($A43="",ABS(S43)=0)</formula>
    </cfRule>
    <cfRule type="expression" dxfId="493" priority="138">
      <formula>AND($A43="",ABS(S43)&lt;10)</formula>
    </cfRule>
    <cfRule type="expression" dxfId="492" priority="139">
      <formula>AND($A43="",ABS(S43)&lt;100)</formula>
    </cfRule>
    <cfRule type="expression" dxfId="491" priority="140">
      <formula>AND($A43="",ABS(S43)&gt;=100)</formula>
    </cfRule>
  </conditionalFormatting>
  <conditionalFormatting sqref="S47:S51 S53:S54">
    <cfRule type="expression" dxfId="490" priority="131">
      <formula>AND($D47&lt;&gt;"",S$14&lt;&gt;"",S47="")</formula>
    </cfRule>
    <cfRule type="expression" dxfId="489" priority="132">
      <formula>AND($A47="",ABS(S47)=0)</formula>
    </cfRule>
    <cfRule type="expression" dxfId="488" priority="133">
      <formula>AND($A47="",ABS(S47)&lt;10)</formula>
    </cfRule>
    <cfRule type="expression" dxfId="487" priority="134">
      <formula>AND($A47="",ABS(S47)&lt;100)</formula>
    </cfRule>
    <cfRule type="expression" dxfId="486" priority="135">
      <formula>AND($A47="",ABS(S47)&gt;=100)</formula>
    </cfRule>
  </conditionalFormatting>
  <conditionalFormatting sqref="S56:S63">
    <cfRule type="expression" dxfId="485" priority="126">
      <formula>AND($D56&lt;&gt;"",S$14&lt;&gt;"",S56="")</formula>
    </cfRule>
    <cfRule type="expression" dxfId="484" priority="127">
      <formula>AND($A56="",ABS(S56)=0)</formula>
    </cfRule>
    <cfRule type="expression" dxfId="483" priority="128">
      <formula>AND($A56="",ABS(S56)&lt;10)</formula>
    </cfRule>
    <cfRule type="expression" dxfId="482" priority="129">
      <formula>AND($A56="",ABS(S56)&lt;100)</formula>
    </cfRule>
    <cfRule type="expression" dxfId="481" priority="130">
      <formula>AND($A56="",ABS(S56)&gt;=100)</formula>
    </cfRule>
  </conditionalFormatting>
  <conditionalFormatting sqref="S55">
    <cfRule type="expression" dxfId="480" priority="121">
      <formula>AND($D55&lt;&gt;"",S$14&lt;&gt;"",S55="")</formula>
    </cfRule>
    <cfRule type="expression" dxfId="479" priority="122">
      <formula>AND($A55="",ABS(S55)=0)</formula>
    </cfRule>
    <cfRule type="expression" dxfId="478" priority="123">
      <formula>AND($A55="",ABS(S55)&lt;10)</formula>
    </cfRule>
    <cfRule type="expression" dxfId="477" priority="124">
      <formula>AND($A55="",ABS(S55)&lt;100)</formula>
    </cfRule>
    <cfRule type="expression" dxfId="476" priority="125">
      <formula>AND($A55="",ABS(S55)&gt;=100)</formula>
    </cfRule>
  </conditionalFormatting>
  <conditionalFormatting sqref="S37">
    <cfRule type="expression" dxfId="475" priority="116">
      <formula>AND($D37&lt;&gt;"",S$14&lt;&gt;"",S37="")</formula>
    </cfRule>
    <cfRule type="expression" dxfId="474" priority="117">
      <formula>AND($A37="",ABS(S37)=0)</formula>
    </cfRule>
    <cfRule type="expression" dxfId="473" priority="118">
      <formula>AND($A37="",ABS(S37)&lt;10)</formula>
    </cfRule>
    <cfRule type="expression" dxfId="472" priority="119">
      <formula>AND($A37="",ABS(S37)&lt;100)</formula>
    </cfRule>
    <cfRule type="expression" dxfId="471" priority="120">
      <formula>AND($A37="",ABS(S37)&gt;=100)</formula>
    </cfRule>
  </conditionalFormatting>
  <conditionalFormatting sqref="S52">
    <cfRule type="expression" dxfId="470" priority="111">
      <formula>AND($D52&lt;&gt;"",S$14&lt;&gt;"",S52="")</formula>
    </cfRule>
    <cfRule type="expression" dxfId="469" priority="112">
      <formula>AND($A52="",ABS(S52)=0)</formula>
    </cfRule>
    <cfRule type="expression" dxfId="468" priority="113">
      <formula>AND($A52="",ABS(S52)&lt;10)</formula>
    </cfRule>
    <cfRule type="expression" dxfId="467" priority="114">
      <formula>AND($A52="",ABS(S52)&lt;100)</formula>
    </cfRule>
    <cfRule type="expression" dxfId="466" priority="115">
      <formula>AND($A52="",ABS(S52)&gt;=100)</formula>
    </cfRule>
  </conditionalFormatting>
  <conditionalFormatting sqref="S77:S79">
    <cfRule type="expression" dxfId="465" priority="106">
      <formula>AND($D77&lt;&gt;"",S$14&lt;&gt;"",S77="")</formula>
    </cfRule>
    <cfRule type="expression" dxfId="464" priority="107">
      <formula>AND($A77="",ABS(S77)=0)</formula>
    </cfRule>
    <cfRule type="expression" dxfId="463" priority="108">
      <formula>AND($A77="",ABS(S77)&lt;10)</formula>
    </cfRule>
    <cfRule type="expression" dxfId="462" priority="109">
      <formula>AND($A77="",ABS(S77)&lt;100)</formula>
    </cfRule>
    <cfRule type="expression" dxfId="461" priority="110">
      <formula>AND($A77="",ABS(S77)&gt;=100)</formula>
    </cfRule>
  </conditionalFormatting>
  <conditionalFormatting sqref="S88">
    <cfRule type="expression" dxfId="460" priority="101">
      <formula>AND($D88&lt;&gt;"",S$14&lt;&gt;"",S88="")</formula>
    </cfRule>
    <cfRule type="expression" dxfId="459" priority="102">
      <formula>AND($A88="",ABS(S88)=0)</formula>
    </cfRule>
    <cfRule type="expression" dxfId="458" priority="103">
      <formula>AND($A88="",ABS(S88)&lt;10)</formula>
    </cfRule>
    <cfRule type="expression" dxfId="457" priority="104">
      <formula>AND($A88="",ABS(S88)&lt;100)</formula>
    </cfRule>
    <cfRule type="expression" dxfId="456" priority="105">
      <formula>AND($A88="",ABS(S88)&gt;=100)</formula>
    </cfRule>
  </conditionalFormatting>
  <conditionalFormatting sqref="S97:S99">
    <cfRule type="expression" dxfId="455" priority="96">
      <formula>AND($D97&lt;&gt;"",S$14&lt;&gt;"",S97="")</formula>
    </cfRule>
    <cfRule type="expression" dxfId="454" priority="97">
      <formula>AND($A97="",ABS(S97)=0)</formula>
    </cfRule>
    <cfRule type="expression" dxfId="453" priority="98">
      <formula>AND($A97="",ABS(S97)&lt;10)</formula>
    </cfRule>
    <cfRule type="expression" dxfId="452" priority="99">
      <formula>AND($A97="",ABS(S97)&lt;100)</formula>
    </cfRule>
    <cfRule type="expression" dxfId="451" priority="100">
      <formula>AND($A97="",ABS(S97)&gt;=100)</formula>
    </cfRule>
  </conditionalFormatting>
  <conditionalFormatting sqref="Q98:R99">
    <cfRule type="expression" dxfId="450" priority="91">
      <formula>AND($D98&lt;&gt;"",Q$14&lt;&gt;"",Q98="")</formula>
    </cfRule>
    <cfRule type="expression" dxfId="449" priority="92">
      <formula>AND($A98="",ABS(Q98)=0)</formula>
    </cfRule>
    <cfRule type="expression" dxfId="448" priority="93">
      <formula>AND($A98="",ABS(Q98)&lt;10)</formula>
    </cfRule>
    <cfRule type="expression" dxfId="447" priority="94">
      <formula>AND($A98="",ABS(Q98)&lt;100)</formula>
    </cfRule>
    <cfRule type="expression" dxfId="446" priority="95">
      <formula>AND($A98="",ABS(Q98)&gt;=100)</formula>
    </cfRule>
  </conditionalFormatting>
  <conditionalFormatting sqref="S110:S114">
    <cfRule type="expression" dxfId="445" priority="86">
      <formula>AND($D110&lt;&gt;"",S$14&lt;&gt;"",S110="")</formula>
    </cfRule>
    <cfRule type="expression" dxfId="444" priority="87">
      <formula>AND($A110="",ABS(S110)=0)</formula>
    </cfRule>
    <cfRule type="expression" dxfId="443" priority="88">
      <formula>AND($A110="",ABS(S110)&lt;10)</formula>
    </cfRule>
    <cfRule type="expression" dxfId="442" priority="89">
      <formula>AND($A110="",ABS(S110)&lt;100)</formula>
    </cfRule>
    <cfRule type="expression" dxfId="441" priority="90">
      <formula>AND($A110="",ABS(S110)&gt;=100)</formula>
    </cfRule>
  </conditionalFormatting>
  <conditionalFormatting sqref="Q110:Q114">
    <cfRule type="expression" dxfId="440" priority="81">
      <formula>AND($D110&lt;&gt;"",Q$14&lt;&gt;"",Q110="")</formula>
    </cfRule>
    <cfRule type="expression" dxfId="439" priority="82">
      <formula>AND($A110="",ABS(Q110)=0)</formula>
    </cfRule>
    <cfRule type="expression" dxfId="438" priority="83">
      <formula>AND($A110="",ABS(Q110)&lt;10)</formula>
    </cfRule>
    <cfRule type="expression" dxfId="437" priority="84">
      <formula>AND($A110="",ABS(Q110)&lt;100)</formula>
    </cfRule>
    <cfRule type="expression" dxfId="436" priority="85">
      <formula>AND($A110="",ABS(Q110)&gt;=100)</formula>
    </cfRule>
  </conditionalFormatting>
  <conditionalFormatting sqref="R110:R114">
    <cfRule type="expression" dxfId="435" priority="76">
      <formula>AND($D110&lt;&gt;"",R$14&lt;&gt;"",R110="")</formula>
    </cfRule>
    <cfRule type="expression" dxfId="434" priority="77">
      <formula>AND($A110="",ABS(R110)=0)</formula>
    </cfRule>
    <cfRule type="expression" dxfId="433" priority="78">
      <formula>AND($A110="",ABS(R110)&lt;10)</formula>
    </cfRule>
    <cfRule type="expression" dxfId="432" priority="79">
      <formula>AND($A110="",ABS(R110)&lt;100)</formula>
    </cfRule>
    <cfRule type="expression" dxfId="431" priority="80">
      <formula>AND($A110="",ABS(R110)&gt;=100)</formula>
    </cfRule>
  </conditionalFormatting>
  <conditionalFormatting sqref="Q34:R34">
    <cfRule type="expression" dxfId="430" priority="71">
      <formula>AND($D34&lt;&gt;"",Q$14&lt;&gt;"",Q34="")</formula>
    </cfRule>
    <cfRule type="expression" dxfId="429" priority="72">
      <formula>AND($A34="",ABS(Q34)=0)</formula>
    </cfRule>
    <cfRule type="expression" dxfId="428" priority="73">
      <formula>AND($A34="",ABS(Q34)&lt;10)</formula>
    </cfRule>
    <cfRule type="expression" dxfId="427" priority="74">
      <formula>AND($A34="",ABS(Q34)&lt;100)</formula>
    </cfRule>
    <cfRule type="expression" dxfId="426" priority="75">
      <formula>AND($A34="",ABS(Q34)&gt;=100)</formula>
    </cfRule>
  </conditionalFormatting>
  <conditionalFormatting sqref="Q19:R20 Q24:R33">
    <cfRule type="expression" dxfId="425" priority="66">
      <formula>AND($D19&lt;&gt;"",Q$14&lt;&gt;"",Q19="")</formula>
    </cfRule>
    <cfRule type="expression" dxfId="424" priority="67">
      <formula>AND($A19="",ABS(Q19)=0)</formula>
    </cfRule>
    <cfRule type="expression" dxfId="423" priority="68">
      <formula>AND($A19="",ABS(Q19)&lt;10)</formula>
    </cfRule>
    <cfRule type="expression" dxfId="422" priority="69">
      <formula>AND($A19="",ABS(Q19)&lt;100)</formula>
    </cfRule>
    <cfRule type="expression" dxfId="421" priority="70">
      <formula>AND($A19="",ABS(Q19)&gt;=100)</formula>
    </cfRule>
  </conditionalFormatting>
  <conditionalFormatting sqref="Q21:R21">
    <cfRule type="expression" dxfId="420" priority="61">
      <formula>AND($D21&lt;&gt;"",Q$14&lt;&gt;"",Q21="")</formula>
    </cfRule>
    <cfRule type="expression" dxfId="419" priority="62">
      <formula>AND($A21="",ABS(Q21)=0)</formula>
    </cfRule>
    <cfRule type="expression" dxfId="418" priority="63">
      <formula>AND($A21="",ABS(Q21)&lt;10)</formula>
    </cfRule>
    <cfRule type="expression" dxfId="417" priority="64">
      <formula>AND($A21="",ABS(Q21)&lt;100)</formula>
    </cfRule>
    <cfRule type="expression" dxfId="416" priority="65">
      <formula>AND($A21="",ABS(Q21)&gt;=100)</formula>
    </cfRule>
  </conditionalFormatting>
  <conditionalFormatting sqref="Q22:R23">
    <cfRule type="expression" dxfId="415" priority="56">
      <formula>AND($D22&lt;&gt;"",Q$14&lt;&gt;"",Q22="")</formula>
    </cfRule>
    <cfRule type="expression" dxfId="414" priority="57">
      <formula>AND($A22="",ABS(Q22)=0)</formula>
    </cfRule>
    <cfRule type="expression" dxfId="413" priority="58">
      <formula>AND($A22="",ABS(Q22)&lt;10)</formula>
    </cfRule>
    <cfRule type="expression" dxfId="412" priority="59">
      <formula>AND($A22="",ABS(Q22)&lt;100)</formula>
    </cfRule>
    <cfRule type="expression" dxfId="411" priority="60">
      <formula>AND($A22="",ABS(Q22)&gt;=100)</formula>
    </cfRule>
  </conditionalFormatting>
  <conditionalFormatting sqref="Q39:R39">
    <cfRule type="expression" dxfId="410" priority="51">
      <formula>AND($D39&lt;&gt;"",Q$14&lt;&gt;"",Q39="")</formula>
    </cfRule>
    <cfRule type="expression" dxfId="409" priority="52">
      <formula>AND($A39="",ABS(Q39)=0)</formula>
    </cfRule>
    <cfRule type="expression" dxfId="408" priority="53">
      <formula>AND($A39="",ABS(Q39)&lt;10)</formula>
    </cfRule>
    <cfRule type="expression" dxfId="407" priority="54">
      <formula>AND($A39="",ABS(Q39)&lt;100)</formula>
    </cfRule>
    <cfRule type="expression" dxfId="406" priority="55">
      <formula>AND($A39="",ABS(Q39)&gt;=100)</formula>
    </cfRule>
  </conditionalFormatting>
  <conditionalFormatting sqref="Q40:R42">
    <cfRule type="expression" dxfId="405" priority="46">
      <formula>AND($D40&lt;&gt;"",Q$14&lt;&gt;"",Q40="")</formula>
    </cfRule>
    <cfRule type="expression" dxfId="404" priority="47">
      <formula>AND($A40="",ABS(Q40)=0)</formula>
    </cfRule>
    <cfRule type="expression" dxfId="403" priority="48">
      <formula>AND($A40="",ABS(Q40)&lt;10)</formula>
    </cfRule>
    <cfRule type="expression" dxfId="402" priority="49">
      <formula>AND($A40="",ABS(Q40)&lt;100)</formula>
    </cfRule>
    <cfRule type="expression" dxfId="401" priority="50">
      <formula>AND($A40="",ABS(Q40)&gt;=100)</formula>
    </cfRule>
  </conditionalFormatting>
  <conditionalFormatting sqref="Q38:R38">
    <cfRule type="expression" dxfId="400" priority="41">
      <formula>AND($D38&lt;&gt;"",Q$14&lt;&gt;"",Q38="")</formula>
    </cfRule>
    <cfRule type="expression" dxfId="399" priority="42">
      <formula>AND($A38="",ABS(Q38)=0)</formula>
    </cfRule>
    <cfRule type="expression" dxfId="398" priority="43">
      <formula>AND($A38="",ABS(Q38)&lt;10)</formula>
    </cfRule>
    <cfRule type="expression" dxfId="397" priority="44">
      <formula>AND($A38="",ABS(Q38)&lt;100)</formula>
    </cfRule>
    <cfRule type="expression" dxfId="396" priority="45">
      <formula>AND($A38="",ABS(Q38)&gt;=100)</formula>
    </cfRule>
  </conditionalFormatting>
  <conditionalFormatting sqref="Q44:R45">
    <cfRule type="expression" dxfId="395" priority="36">
      <formula>AND($D44&lt;&gt;"",Q$14&lt;&gt;"",Q44="")</formula>
    </cfRule>
    <cfRule type="expression" dxfId="394" priority="37">
      <formula>AND($A44="",ABS(Q44)=0)</formula>
    </cfRule>
    <cfRule type="expression" dxfId="393" priority="38">
      <formula>AND($A44="",ABS(Q44)&lt;10)</formula>
    </cfRule>
    <cfRule type="expression" dxfId="392" priority="39">
      <formula>AND($A44="",ABS(Q44)&lt;100)</formula>
    </cfRule>
    <cfRule type="expression" dxfId="391" priority="40">
      <formula>AND($A44="",ABS(Q44)&gt;=100)</formula>
    </cfRule>
  </conditionalFormatting>
  <conditionalFormatting sqref="Q43:R43">
    <cfRule type="expression" dxfId="390" priority="31">
      <formula>AND($D43&lt;&gt;"",Q$14&lt;&gt;"",Q43="")</formula>
    </cfRule>
    <cfRule type="expression" dxfId="389" priority="32">
      <formula>AND($A43="",ABS(Q43)=0)</formula>
    </cfRule>
    <cfRule type="expression" dxfId="388" priority="33">
      <formula>AND($A43="",ABS(Q43)&lt;10)</formula>
    </cfRule>
    <cfRule type="expression" dxfId="387" priority="34">
      <formula>AND($A43="",ABS(Q43)&lt;100)</formula>
    </cfRule>
    <cfRule type="expression" dxfId="386" priority="35">
      <formula>AND($A43="",ABS(Q43)&gt;=100)</formula>
    </cfRule>
  </conditionalFormatting>
  <conditionalFormatting sqref="Q46:R51 Q53:R54">
    <cfRule type="expression" dxfId="385" priority="26">
      <formula>AND($D46&lt;&gt;"",Q$14&lt;&gt;"",Q46="")</formula>
    </cfRule>
    <cfRule type="expression" dxfId="384" priority="27">
      <formula>AND($A46="",ABS(Q46)=0)</formula>
    </cfRule>
    <cfRule type="expression" dxfId="383" priority="28">
      <formula>AND($A46="",ABS(Q46)&lt;10)</formula>
    </cfRule>
    <cfRule type="expression" dxfId="382" priority="29">
      <formula>AND($A46="",ABS(Q46)&lt;100)</formula>
    </cfRule>
    <cfRule type="expression" dxfId="381" priority="30">
      <formula>AND($A46="",ABS(Q46)&gt;=100)</formula>
    </cfRule>
  </conditionalFormatting>
  <conditionalFormatting sqref="Q56:R63">
    <cfRule type="expression" dxfId="380" priority="21">
      <formula>AND($D56&lt;&gt;"",Q$14&lt;&gt;"",Q56="")</formula>
    </cfRule>
    <cfRule type="expression" dxfId="379" priority="22">
      <formula>AND($A56="",ABS(Q56)=0)</formula>
    </cfRule>
    <cfRule type="expression" dxfId="378" priority="23">
      <formula>AND($A56="",ABS(Q56)&lt;10)</formula>
    </cfRule>
    <cfRule type="expression" dxfId="377" priority="24">
      <formula>AND($A56="",ABS(Q56)&lt;100)</formula>
    </cfRule>
    <cfRule type="expression" dxfId="376" priority="25">
      <formula>AND($A56="",ABS(Q56)&gt;=100)</formula>
    </cfRule>
  </conditionalFormatting>
  <conditionalFormatting sqref="Q55:R55">
    <cfRule type="expression" dxfId="375" priority="16">
      <formula>AND($D55&lt;&gt;"",Q$14&lt;&gt;"",Q55="")</formula>
    </cfRule>
    <cfRule type="expression" dxfId="374" priority="17">
      <formula>AND($A55="",ABS(Q55)=0)</formula>
    </cfRule>
    <cfRule type="expression" dxfId="373" priority="18">
      <formula>AND($A55="",ABS(Q55)&lt;10)</formula>
    </cfRule>
    <cfRule type="expression" dxfId="372" priority="19">
      <formula>AND($A55="",ABS(Q55)&lt;100)</formula>
    </cfRule>
    <cfRule type="expression" dxfId="371" priority="20">
      <formula>AND($A55="",ABS(Q55)&gt;=100)</formula>
    </cfRule>
  </conditionalFormatting>
  <conditionalFormatting sqref="Q37:R37">
    <cfRule type="expression" dxfId="370" priority="11">
      <formula>AND($D37&lt;&gt;"",Q$14&lt;&gt;"",Q37="")</formula>
    </cfRule>
    <cfRule type="expression" dxfId="369" priority="12">
      <formula>AND($A37="",ABS(Q37)=0)</formula>
    </cfRule>
    <cfRule type="expression" dxfId="368" priority="13">
      <formula>AND($A37="",ABS(Q37)&lt;10)</formula>
    </cfRule>
    <cfRule type="expression" dxfId="367" priority="14">
      <formula>AND($A37="",ABS(Q37)&lt;100)</formula>
    </cfRule>
    <cfRule type="expression" dxfId="366" priority="15">
      <formula>AND($A37="",ABS(Q37)&gt;=100)</formula>
    </cfRule>
  </conditionalFormatting>
  <conditionalFormatting sqref="Q52:R52">
    <cfRule type="expression" dxfId="365" priority="6">
      <formula>AND($D52&lt;&gt;"",Q$14&lt;&gt;"",Q52="")</formula>
    </cfRule>
    <cfRule type="expression" dxfId="364" priority="7">
      <formula>AND($A52="",ABS(Q52)=0)</formula>
    </cfRule>
    <cfRule type="expression" dxfId="363" priority="8">
      <formula>AND($A52="",ABS(Q52)&lt;10)</formula>
    </cfRule>
    <cfRule type="expression" dxfId="362" priority="9">
      <formula>AND($A52="",ABS(Q52)&lt;100)</formula>
    </cfRule>
    <cfRule type="expression" dxfId="361" priority="10">
      <formula>AND($A52="",ABS(Q52)&gt;=100)</formula>
    </cfRule>
  </conditionalFormatting>
  <conditionalFormatting sqref="S46">
    <cfRule type="expression" dxfId="360" priority="1">
      <formula>AND($D46&lt;&gt;"",S$14&lt;&gt;"",S46="")</formula>
    </cfRule>
    <cfRule type="expression" dxfId="359" priority="2">
      <formula>AND($A46="",ABS(S46)=0)</formula>
    </cfRule>
    <cfRule type="expression" dxfId="358" priority="3">
      <formula>AND($A46="",ABS(S46)&lt;10)</formula>
    </cfRule>
    <cfRule type="expression" dxfId="357" priority="4">
      <formula>AND($A46="",ABS(S46)&lt;100)</formula>
    </cfRule>
    <cfRule type="expression" dxfId="356" priority="5">
      <formula>AND($A46="",ABS(S46)&gt;=100)</formula>
    </cfRule>
  </conditionalFormatting>
  <dataValidations count="2">
    <dataValidation type="list" allowBlank="1" showInputMessage="1" showErrorMessage="1" sqref="G2" xr:uid="{00000000-0002-0000-0600-000000000000}">
      <formula1>Sprache</formula1>
    </dataValidation>
    <dataValidation allowBlank="1" showInputMessage="1" showErrorMessage="1" sqref="F2" xr:uid="{4183781B-ECAC-436B-AEAA-58E3AE1DA415}"/>
  </dataValidations>
  <hyperlinks>
    <hyperlink ref="C10" location="GRI_305_4" display="GRI_305_4" xr:uid="{00000000-0004-0000-0600-000000000000}"/>
    <hyperlink ref="C9" location="GRI_305_3" display="GRI_305_3" xr:uid="{00000000-0004-0000-0600-000001000000}"/>
    <hyperlink ref="C8" location="GRI_305_2" display="GRI_305_2" xr:uid="{00000000-0004-0000-0600-000002000000}"/>
    <hyperlink ref="C7" location="GRI_305_1" display="GRI_305_1" xr:uid="{00000000-0004-0000-0600-000003000000}"/>
    <hyperlink ref="A14" location="GRI_305" display="Ó" xr:uid="{00000000-0004-0000-0600-000004000000}"/>
    <hyperlink ref="A73" location="GRI_305" display="Ó" xr:uid="{00000000-0004-0000-0600-000005000000}"/>
    <hyperlink ref="A84" location="GRI_305" display="Ó" xr:uid="{00000000-0004-0000-0600-000006000000}"/>
    <hyperlink ref="A93" location="GRI_305" display="Ó" xr:uid="{00000000-0004-0000-0600-000007000000}"/>
    <hyperlink ref="A106" location="GRI_305" display="Ó" xr:uid="{00000000-0004-0000-0600-000008000000}"/>
    <hyperlink ref="C11" location="GRI_305_6_7" display="GRI_305_6_7" xr:uid="{00000000-0004-0000-0600-000009000000}"/>
    <hyperlink ref="D2" location="Home" display="Home" xr:uid="{00000000-0004-0000-0600-00000A000000}"/>
  </hyperlinks>
  <pageMargins left="0.7" right="0.7" top="0.78740157499999996" bottom="0.78740157499999996" header="0.3" footer="0.3"/>
  <pageSetup paperSize="9" orientation="portrait" r:id="rId1"/>
  <ignoredErrors>
    <ignoredError sqref="E110 E111:E114" twoDigitTextYear="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12">
    <tabColor rgb="FF9E2A2F"/>
  </sheetPr>
  <dimension ref="A2:CK156"/>
  <sheetViews>
    <sheetView showGridLines="0" showRowColHeaders="0" zoomScaleNormal="100" workbookViewId="0">
      <pane xSplit="7" topLeftCell="Q1" activePane="topRight" state="frozen"/>
      <selection activeCell="B3" sqref="B3:C3"/>
      <selection pane="topRight" activeCell="D1" sqref="D1"/>
    </sheetView>
  </sheetViews>
  <sheetFormatPr baseColWidth="10" defaultColWidth="10.85546875" defaultRowHeight="12.95" customHeight="1" x14ac:dyDescent="0.2"/>
  <cols>
    <col min="1" max="1" width="2.42578125" style="66" customWidth="1"/>
    <col min="2" max="2" width="2.42578125" style="1" customWidth="1"/>
    <col min="3" max="3" width="49.140625" style="1" customWidth="1"/>
    <col min="4" max="4" width="35.42578125" style="1" customWidth="1"/>
    <col min="5" max="5" width="10.5703125" style="9" bestFit="1" customWidth="1"/>
    <col min="6" max="6" width="14.140625" style="9" customWidth="1"/>
    <col min="7" max="7" width="2.42578125" style="34" customWidth="1"/>
    <col min="8" max="13" width="12" style="9" customWidth="1"/>
    <col min="14" max="19" width="11.7109375" style="9" customWidth="1"/>
    <col min="20" max="25" width="11.7109375" style="11" customWidth="1"/>
    <col min="26" max="89" width="11.7109375" style="9" customWidth="1"/>
    <col min="90" max="16384" width="10.85546875" style="1"/>
  </cols>
  <sheetData>
    <row r="2" spans="1:89" s="97" customFormat="1" ht="26.1" customHeight="1" x14ac:dyDescent="0.2">
      <c r="A2" s="63"/>
      <c r="B2" s="406" t="str">
        <f>UPPER(RIGHT(Inhaltsverzeichnis!$C$27,LEN(Inhaltsverzeichnis!$C$27)-FIND(" – ",Inhaltsverzeichnis!$C$27,1)-2))</f>
        <v>BESCHÄFTIGUNG</v>
      </c>
      <c r="C2" s="406"/>
      <c r="D2" s="402" t="str">
        <f>VLOOKUP(35,Textbausteine_Menu[],Hilfsgrössen!$D$2,FALSE)</f>
        <v>zurück zum Inhaltsverzeichnis</v>
      </c>
      <c r="E2" s="403"/>
      <c r="F2" s="91" t="s">
        <v>0</v>
      </c>
      <c r="G2" s="104"/>
      <c r="H2" s="67"/>
      <c r="I2" s="67"/>
      <c r="J2" s="67"/>
      <c r="K2" s="67"/>
      <c r="L2" s="67"/>
      <c r="M2" s="67"/>
      <c r="N2" s="27"/>
      <c r="O2" s="27"/>
      <c r="P2" s="27"/>
      <c r="Q2" s="27"/>
      <c r="R2" s="27"/>
      <c r="S2" s="27"/>
      <c r="T2" s="71"/>
      <c r="U2" s="71"/>
      <c r="V2" s="71"/>
      <c r="W2" s="71"/>
      <c r="X2" s="71"/>
      <c r="Y2" s="71"/>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row>
    <row r="3" spans="1:89" s="98" customFormat="1" ht="26.1" customHeight="1" x14ac:dyDescent="0.2">
      <c r="A3" s="64"/>
      <c r="B3" s="407" t="str">
        <f>UPPER("GRI "&amp;LEFT(Inhaltsverzeichnis!$C$27,3))</f>
        <v>GRI 401</v>
      </c>
      <c r="C3" s="407"/>
      <c r="E3" s="27"/>
      <c r="F3" s="27"/>
      <c r="G3" s="32"/>
      <c r="H3" s="27"/>
      <c r="I3" s="27"/>
      <c r="J3" s="27"/>
      <c r="K3" s="27"/>
      <c r="L3" s="27"/>
      <c r="M3" s="27"/>
      <c r="N3" s="27"/>
      <c r="O3" s="27"/>
      <c r="P3" s="27"/>
      <c r="Q3" s="27"/>
      <c r="R3" s="27"/>
      <c r="S3" s="27"/>
      <c r="T3" s="71"/>
      <c r="U3" s="71"/>
      <c r="V3" s="71"/>
      <c r="W3" s="71"/>
      <c r="X3" s="71"/>
      <c r="Y3" s="71"/>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row>
    <row r="6" spans="1:89" s="6" customFormat="1" ht="12.95" customHeight="1" x14ac:dyDescent="0.2">
      <c r="A6" s="65"/>
      <c r="B6" s="6" t="str">
        <f>VLOOKUP(31,Textbausteine_Menu[],Hilfsgrössen!$D$2,FALSE)</f>
        <v>Offenlegungen</v>
      </c>
      <c r="E6" s="28"/>
      <c r="F6" s="28"/>
      <c r="G6" s="33"/>
      <c r="H6" s="28"/>
      <c r="I6" s="28"/>
      <c r="J6" s="28"/>
      <c r="K6" s="28"/>
      <c r="L6" s="28"/>
      <c r="M6" s="28"/>
      <c r="N6" s="9"/>
      <c r="O6" s="9"/>
      <c r="P6" s="9"/>
      <c r="Q6" s="9"/>
      <c r="R6" s="9"/>
      <c r="S6" s="9"/>
      <c r="T6" s="11"/>
      <c r="U6" s="11"/>
      <c r="V6" s="11"/>
      <c r="W6" s="11"/>
      <c r="X6" s="11"/>
      <c r="Y6" s="11"/>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row>
    <row r="7" spans="1:89" ht="12.95" customHeight="1" x14ac:dyDescent="0.2">
      <c r="B7" s="2"/>
      <c r="C7" s="5" t="str">
        <f>VLOOKUP(1,Textbausteine_401[],Hilfsgrössen!$D$2,FALSE)</f>
        <v>Personalfluktuation und Austritte</v>
      </c>
      <c r="D7" s="4"/>
    </row>
    <row r="8" spans="1:89" ht="12.95" customHeight="1" x14ac:dyDescent="0.2">
      <c r="B8" s="2"/>
      <c r="C8" s="5" t="str">
        <f>VLOOKUP(2,Textbausteine_401[],Hilfsgrössen!$D$2,FALSE)</f>
        <v>Elternzeit</v>
      </c>
      <c r="D8" s="4"/>
    </row>
    <row r="9" spans="1:89" ht="12.95" customHeight="1" x14ac:dyDescent="0.2">
      <c r="B9" s="2"/>
      <c r="C9" s="5" t="str">
        <f>VLOOKUP(3,Textbausteine_401[],Hilfsgrössen!$D$2,FALSE)</f>
        <v>Personalzufriedenheit, Motivation und Engagement</v>
      </c>
    </row>
    <row r="10" spans="1:89" ht="12.95" customHeight="1" x14ac:dyDescent="0.2">
      <c r="B10" s="2"/>
    </row>
    <row r="11" spans="1:89" ht="12.95" customHeight="1" x14ac:dyDescent="0.2">
      <c r="B11" s="2"/>
    </row>
    <row r="12" spans="1:89" s="6" customFormat="1" ht="12.95" customHeight="1" x14ac:dyDescent="0.2">
      <c r="A12" s="39" t="s">
        <v>27</v>
      </c>
      <c r="B12" s="401" t="str">
        <f>$C$7</f>
        <v>Personalfluktuation und Austritte</v>
      </c>
      <c r="C12" s="401"/>
      <c r="D12" s="6" t="str">
        <f>VLOOKUP(32,Textbausteine_Menu[],Hilfsgrössen!$D$2,FALSE)</f>
        <v>Einheit</v>
      </c>
      <c r="E12" s="28" t="str">
        <f>VLOOKUP(33,Textbausteine_Menu[],Hilfsgrössen!$D$2,FALSE)</f>
        <v>Fussnoten</v>
      </c>
      <c r="F12" s="28" t="str">
        <f>VLOOKUP(34,Textbausteine_Menu[],Hilfsgrössen!$D$2,FALSE)</f>
        <v>GRI</v>
      </c>
      <c r="G12" s="34"/>
      <c r="H12" s="72">
        <v>2004</v>
      </c>
      <c r="I12" s="72">
        <v>2005</v>
      </c>
      <c r="J12" s="72">
        <v>2006</v>
      </c>
      <c r="K12" s="72">
        <v>2007</v>
      </c>
      <c r="L12" s="72">
        <v>2008</v>
      </c>
      <c r="M12" s="72">
        <v>2009</v>
      </c>
      <c r="N12" s="7">
        <v>2010</v>
      </c>
      <c r="O12" s="7">
        <v>2011</v>
      </c>
      <c r="P12" s="7">
        <v>2012</v>
      </c>
      <c r="Q12" s="7">
        <v>2013</v>
      </c>
      <c r="R12" s="7">
        <v>2014</v>
      </c>
      <c r="S12" s="7">
        <v>2015</v>
      </c>
      <c r="T12" s="7">
        <v>2016</v>
      </c>
      <c r="U12" s="7">
        <v>2017</v>
      </c>
      <c r="V12" s="7">
        <v>2018</v>
      </c>
      <c r="W12" s="7">
        <v>2019</v>
      </c>
      <c r="X12" s="7">
        <v>2020</v>
      </c>
      <c r="Y12" s="142">
        <v>2021</v>
      </c>
      <c r="Z12" s="7"/>
      <c r="AA12" s="7"/>
      <c r="AB12" s="7"/>
      <c r="AC12" s="7"/>
      <c r="AD12" s="7"/>
      <c r="AE12" s="7"/>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row>
    <row r="13" spans="1:89" s="6" customFormat="1" ht="12.95" customHeight="1" x14ac:dyDescent="0.2">
      <c r="A13" s="65"/>
      <c r="B13" s="401"/>
      <c r="C13" s="401"/>
      <c r="E13" s="28"/>
      <c r="F13" s="28"/>
      <c r="G13" s="33"/>
      <c r="H13" s="73"/>
      <c r="I13" s="73"/>
      <c r="J13" s="73"/>
      <c r="K13" s="73"/>
      <c r="L13" s="73"/>
      <c r="M13" s="73"/>
      <c r="N13" s="73"/>
      <c r="O13" s="73"/>
      <c r="P13" s="73"/>
      <c r="Q13" s="73"/>
      <c r="R13" s="73"/>
      <c r="S13" s="73"/>
      <c r="T13" s="75"/>
      <c r="U13" s="75"/>
      <c r="V13" s="75"/>
      <c r="W13" s="75"/>
      <c r="X13" s="75"/>
      <c r="Y13" s="143"/>
      <c r="Z13" s="79"/>
      <c r="AA13" s="75"/>
      <c r="AB13" s="75"/>
      <c r="AC13" s="75"/>
      <c r="AD13" s="75"/>
      <c r="AE13" s="75"/>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row>
    <row r="14" spans="1:89" ht="12.95" customHeight="1" x14ac:dyDescent="0.2">
      <c r="B14" s="2"/>
      <c r="E14" s="28"/>
      <c r="F14" s="28"/>
      <c r="G14" s="33"/>
      <c r="Y14" s="144"/>
      <c r="Z14" s="10"/>
      <c r="AA14" s="11"/>
      <c r="AB14" s="11"/>
      <c r="AC14" s="11"/>
      <c r="AD14" s="11"/>
      <c r="AE14" s="11"/>
    </row>
    <row r="15" spans="1:89" ht="12.95" customHeight="1" x14ac:dyDescent="0.2">
      <c r="B15" s="2" t="str">
        <f>VLOOKUP(37,Textbausteine_Menu[],Hilfsgrössen!$D$2,FALSE)</f>
        <v>Konzern Schweiz</v>
      </c>
      <c r="C15" s="2"/>
      <c r="E15" s="10"/>
      <c r="Y15" s="144"/>
    </row>
    <row r="16" spans="1:89" ht="12.95" customHeight="1" x14ac:dyDescent="0.2">
      <c r="C16" s="16" t="str">
        <f>VLOOKUP(31,Textbausteine_401[],Hilfsgrössen!$D$2,FALSE)</f>
        <v>Eintritte</v>
      </c>
      <c r="D16" s="16" t="str">
        <f>VLOOKUP(11,Textbausteine_401[],Hilfsgrössen!$D$2,FALSE)</f>
        <v>Anzahl Personen im Monatslohn</v>
      </c>
      <c r="E16" s="9" t="s">
        <v>142</v>
      </c>
      <c r="F16" s="9" t="s">
        <v>168</v>
      </c>
      <c r="H16" s="12">
        <v>1512</v>
      </c>
      <c r="I16" s="12">
        <v>2314</v>
      </c>
      <c r="J16" s="12">
        <v>1797</v>
      </c>
      <c r="K16" s="12">
        <v>2603</v>
      </c>
      <c r="L16" s="12">
        <v>4121</v>
      </c>
      <c r="M16" s="12">
        <v>2002</v>
      </c>
      <c r="N16" s="12">
        <v>2151</v>
      </c>
      <c r="O16" s="12">
        <v>2711</v>
      </c>
      <c r="P16" s="15">
        <v>2146</v>
      </c>
      <c r="Q16" s="15">
        <v>2432</v>
      </c>
      <c r="R16" s="214">
        <v>2319</v>
      </c>
      <c r="S16" s="214">
        <v>2404</v>
      </c>
      <c r="T16" s="12">
        <v>2220</v>
      </c>
      <c r="U16" s="12">
        <v>2155</v>
      </c>
      <c r="V16" s="12">
        <v>2916</v>
      </c>
      <c r="W16" s="12">
        <v>3324</v>
      </c>
      <c r="X16" s="12">
        <v>3339</v>
      </c>
      <c r="Y16" s="215">
        <v>3867</v>
      </c>
      <c r="Z16" s="12"/>
      <c r="AA16" s="15"/>
      <c r="AB16" s="15"/>
      <c r="AC16" s="15"/>
      <c r="AD16" s="15"/>
      <c r="AE16" s="15"/>
    </row>
    <row r="17" spans="3:31" ht="12.95" customHeight="1" x14ac:dyDescent="0.2">
      <c r="C17" s="129" t="str">
        <f>VLOOKUP(32,Textbausteine_401[],Hilfsgrössen!$D$2,FALSE)</f>
        <v>weiblich</v>
      </c>
      <c r="D17" s="130" t="str">
        <f>VLOOKUP(11,Textbausteine_401[],Hilfsgrössen!$D$2,FALSE)</f>
        <v>Anzahl Personen im Monatslohn</v>
      </c>
      <c r="E17" s="9" t="s">
        <v>142</v>
      </c>
      <c r="F17" s="9" t="s">
        <v>168</v>
      </c>
      <c r="H17" s="12">
        <v>812</v>
      </c>
      <c r="I17" s="12">
        <v>1049</v>
      </c>
      <c r="J17" s="12">
        <v>852</v>
      </c>
      <c r="K17" s="12">
        <v>1287</v>
      </c>
      <c r="L17" s="12">
        <v>1920</v>
      </c>
      <c r="M17" s="12">
        <v>850</v>
      </c>
      <c r="N17" s="12">
        <v>922</v>
      </c>
      <c r="O17" s="12">
        <v>1063</v>
      </c>
      <c r="P17" s="15">
        <v>861</v>
      </c>
      <c r="Q17" s="15">
        <v>917</v>
      </c>
      <c r="R17" s="214">
        <v>977</v>
      </c>
      <c r="S17" s="214">
        <v>1021</v>
      </c>
      <c r="T17" s="12">
        <v>921</v>
      </c>
      <c r="U17" s="12">
        <v>754</v>
      </c>
      <c r="V17" s="12">
        <v>1047</v>
      </c>
      <c r="W17" s="12">
        <v>1265</v>
      </c>
      <c r="X17" s="12">
        <v>1064</v>
      </c>
      <c r="Y17" s="215">
        <v>1192</v>
      </c>
      <c r="Z17" s="12"/>
      <c r="AA17" s="15"/>
      <c r="AB17" s="15"/>
      <c r="AC17" s="15"/>
      <c r="AD17" s="15"/>
      <c r="AE17" s="15"/>
    </row>
    <row r="18" spans="3:31" ht="12.95" customHeight="1" x14ac:dyDescent="0.2">
      <c r="C18" s="131" t="str">
        <f>VLOOKUP(33,Textbausteine_401[],Hilfsgrössen!$D$2,FALSE)</f>
        <v>20–29</v>
      </c>
      <c r="D18" s="130" t="str">
        <f>VLOOKUP(11,Textbausteine_401[],Hilfsgrössen!$D$2,FALSE)</f>
        <v>Anzahl Personen im Monatslohn</v>
      </c>
      <c r="E18" s="9" t="s">
        <v>142</v>
      </c>
      <c r="F18" s="9" t="s">
        <v>168</v>
      </c>
      <c r="H18" s="12">
        <v>235</v>
      </c>
      <c r="I18" s="12">
        <v>371</v>
      </c>
      <c r="J18" s="12">
        <v>262</v>
      </c>
      <c r="K18" s="12">
        <v>323</v>
      </c>
      <c r="L18" s="12">
        <v>616</v>
      </c>
      <c r="M18" s="12">
        <v>416</v>
      </c>
      <c r="N18" s="12">
        <v>404</v>
      </c>
      <c r="O18" s="12">
        <v>485</v>
      </c>
      <c r="P18" s="15">
        <v>396</v>
      </c>
      <c r="Q18" s="15">
        <v>415</v>
      </c>
      <c r="R18" s="214">
        <v>496</v>
      </c>
      <c r="S18" s="214">
        <v>475</v>
      </c>
      <c r="T18" s="216">
        <v>395</v>
      </c>
      <c r="U18" s="216">
        <v>320</v>
      </c>
      <c r="V18" s="216">
        <v>416</v>
      </c>
      <c r="W18" s="216">
        <v>452</v>
      </c>
      <c r="X18" s="216">
        <v>413</v>
      </c>
      <c r="Y18" s="217">
        <v>468</v>
      </c>
      <c r="Z18" s="12"/>
      <c r="AA18" s="12"/>
      <c r="AB18" s="12"/>
      <c r="AC18" s="12"/>
      <c r="AD18" s="12"/>
    </row>
    <row r="19" spans="3:31" ht="12.95" customHeight="1" x14ac:dyDescent="0.2">
      <c r="C19" s="131" t="str">
        <f>VLOOKUP(34,Textbausteine_401[],Hilfsgrössen!$D$2,FALSE)</f>
        <v>30-49</v>
      </c>
      <c r="D19" s="16" t="str">
        <f>VLOOKUP(11,Textbausteine_401[],Hilfsgrössen!$D$2,FALSE)</f>
        <v>Anzahl Personen im Monatslohn</v>
      </c>
      <c r="E19" s="9" t="s">
        <v>142</v>
      </c>
      <c r="F19" s="9" t="s">
        <v>168</v>
      </c>
      <c r="H19" s="12">
        <v>476</v>
      </c>
      <c r="I19" s="12">
        <v>563</v>
      </c>
      <c r="J19" s="12">
        <v>498</v>
      </c>
      <c r="K19" s="12">
        <v>700</v>
      </c>
      <c r="L19" s="12">
        <v>976</v>
      </c>
      <c r="M19" s="12">
        <v>367</v>
      </c>
      <c r="N19" s="12">
        <v>444</v>
      </c>
      <c r="O19" s="12">
        <v>512</v>
      </c>
      <c r="P19" s="15">
        <v>405</v>
      </c>
      <c r="Q19" s="15">
        <v>440</v>
      </c>
      <c r="R19" s="214">
        <v>399</v>
      </c>
      <c r="S19" s="214">
        <v>470</v>
      </c>
      <c r="T19" s="216">
        <v>444</v>
      </c>
      <c r="U19" s="216">
        <v>361</v>
      </c>
      <c r="V19" s="216">
        <v>516</v>
      </c>
      <c r="W19" s="216">
        <v>644</v>
      </c>
      <c r="X19" s="216">
        <v>552</v>
      </c>
      <c r="Y19" s="217">
        <v>580</v>
      </c>
      <c r="Z19" s="12"/>
      <c r="AA19" s="15"/>
      <c r="AB19" s="15"/>
      <c r="AC19" s="15"/>
      <c r="AD19" s="15"/>
      <c r="AE19" s="15"/>
    </row>
    <row r="20" spans="3:31" ht="12.95" customHeight="1" x14ac:dyDescent="0.2">
      <c r="C20" s="122" t="str">
        <f>VLOOKUP(35,Textbausteine_401[],Hilfsgrössen!$D$2,FALSE)</f>
        <v>50 und älter</v>
      </c>
      <c r="D20" s="16" t="str">
        <f>VLOOKUP(11,Textbausteine_401[],Hilfsgrössen!$D$2,FALSE)</f>
        <v>Anzahl Personen im Monatslohn</v>
      </c>
      <c r="E20" s="9" t="s">
        <v>142</v>
      </c>
      <c r="F20" s="9" t="s">
        <v>168</v>
      </c>
      <c r="H20" s="12">
        <v>101</v>
      </c>
      <c r="I20" s="12">
        <v>115</v>
      </c>
      <c r="J20" s="12">
        <v>92</v>
      </c>
      <c r="K20" s="12">
        <v>264</v>
      </c>
      <c r="L20" s="12">
        <v>328</v>
      </c>
      <c r="M20" s="12">
        <v>67</v>
      </c>
      <c r="N20" s="12">
        <v>74</v>
      </c>
      <c r="O20" s="12">
        <v>66</v>
      </c>
      <c r="P20" s="218">
        <v>60</v>
      </c>
      <c r="Q20" s="15">
        <v>62</v>
      </c>
      <c r="R20" s="214">
        <v>82</v>
      </c>
      <c r="S20" s="214">
        <v>76</v>
      </c>
      <c r="T20" s="12">
        <v>82</v>
      </c>
      <c r="U20" s="12">
        <v>73</v>
      </c>
      <c r="V20" s="12">
        <v>115</v>
      </c>
      <c r="W20" s="12">
        <v>169</v>
      </c>
      <c r="X20" s="12">
        <v>99</v>
      </c>
      <c r="Y20" s="217">
        <v>144</v>
      </c>
      <c r="Z20" s="12"/>
      <c r="AA20" s="15"/>
      <c r="AB20" s="15"/>
      <c r="AC20" s="15"/>
      <c r="AD20" s="15"/>
    </row>
    <row r="21" spans="3:31" ht="12.95" customHeight="1" x14ac:dyDescent="0.2">
      <c r="C21" s="17" t="str">
        <f>VLOOKUP(36,Textbausteine_401[],Hilfsgrössen!$D$2,FALSE)</f>
        <v>männlich</v>
      </c>
      <c r="D21" s="16" t="str">
        <f>VLOOKUP(11,Textbausteine_401[],Hilfsgrössen!$D$2,FALSE)</f>
        <v>Anzahl Personen im Monatslohn</v>
      </c>
      <c r="E21" s="9" t="s">
        <v>142</v>
      </c>
      <c r="F21" s="9" t="s">
        <v>168</v>
      </c>
      <c r="H21" s="12">
        <v>700</v>
      </c>
      <c r="I21" s="12">
        <v>1265</v>
      </c>
      <c r="J21" s="12">
        <v>945</v>
      </c>
      <c r="K21" s="12">
        <v>1316</v>
      </c>
      <c r="L21" s="12">
        <v>2201</v>
      </c>
      <c r="M21" s="12">
        <v>1152</v>
      </c>
      <c r="N21" s="12">
        <v>1229</v>
      </c>
      <c r="O21" s="12">
        <v>1648</v>
      </c>
      <c r="P21" s="15">
        <v>1285</v>
      </c>
      <c r="Q21" s="15">
        <v>1515</v>
      </c>
      <c r="R21" s="214">
        <v>1342</v>
      </c>
      <c r="S21" s="214">
        <v>1383</v>
      </c>
      <c r="T21" s="15">
        <v>1299</v>
      </c>
      <c r="U21" s="15">
        <v>1401</v>
      </c>
      <c r="V21" s="15">
        <v>1869</v>
      </c>
      <c r="W21" s="15">
        <v>2059</v>
      </c>
      <c r="X21" s="15">
        <v>2275</v>
      </c>
      <c r="Y21" s="219">
        <v>2675</v>
      </c>
      <c r="Z21" s="12"/>
      <c r="AA21" s="15"/>
      <c r="AB21" s="15"/>
      <c r="AC21" s="15"/>
      <c r="AD21" s="15"/>
      <c r="AE21" s="15"/>
    </row>
    <row r="22" spans="3:31" ht="12.95" customHeight="1" x14ac:dyDescent="0.2">
      <c r="C22" s="122" t="str">
        <f>VLOOKUP(37,Textbausteine_401[],Hilfsgrössen!$D$2,FALSE)</f>
        <v>20–29</v>
      </c>
      <c r="D22" s="16" t="str">
        <f>VLOOKUP(11,Textbausteine_401[],Hilfsgrössen!$D$2,FALSE)</f>
        <v>Anzahl Personen im Monatslohn</v>
      </c>
      <c r="E22" s="9" t="s">
        <v>142</v>
      </c>
      <c r="F22" s="9" t="s">
        <v>168</v>
      </c>
      <c r="H22" s="12">
        <v>261</v>
      </c>
      <c r="I22" s="12">
        <v>340</v>
      </c>
      <c r="J22" s="12">
        <v>306</v>
      </c>
      <c r="K22" s="12">
        <v>399</v>
      </c>
      <c r="L22" s="12">
        <v>760</v>
      </c>
      <c r="M22" s="12">
        <v>437</v>
      </c>
      <c r="N22" s="12">
        <v>512</v>
      </c>
      <c r="O22" s="12">
        <v>655</v>
      </c>
      <c r="P22" s="15">
        <v>563</v>
      </c>
      <c r="Q22" s="15">
        <v>635</v>
      </c>
      <c r="R22" s="15">
        <v>543</v>
      </c>
      <c r="S22" s="214">
        <v>564</v>
      </c>
      <c r="T22" s="15">
        <v>551</v>
      </c>
      <c r="U22" s="15">
        <v>577</v>
      </c>
      <c r="V22" s="15">
        <v>768</v>
      </c>
      <c r="W22" s="15">
        <v>801</v>
      </c>
      <c r="X22" s="15">
        <v>899</v>
      </c>
      <c r="Y22" s="219">
        <v>1161</v>
      </c>
      <c r="Z22" s="11"/>
      <c r="AE22" s="15"/>
    </row>
    <row r="23" spans="3:31" ht="12.95" customHeight="1" x14ac:dyDescent="0.2">
      <c r="C23" s="26" t="str">
        <f>VLOOKUP(38,Textbausteine_401[],Hilfsgrössen!$D$2,FALSE)</f>
        <v>30-49</v>
      </c>
      <c r="D23" s="1" t="str">
        <f>VLOOKUP(11,Textbausteine_401[],Hilfsgrössen!$D$2,FALSE)</f>
        <v>Anzahl Personen im Monatslohn</v>
      </c>
      <c r="E23" s="9" t="s">
        <v>142</v>
      </c>
      <c r="F23" s="9" t="s">
        <v>168</v>
      </c>
      <c r="H23" s="15">
        <v>341</v>
      </c>
      <c r="I23" s="15">
        <v>709</v>
      </c>
      <c r="J23" s="15">
        <v>546</v>
      </c>
      <c r="K23" s="15">
        <v>702</v>
      </c>
      <c r="L23" s="15">
        <v>1132</v>
      </c>
      <c r="M23" s="15">
        <v>593</v>
      </c>
      <c r="N23" s="15">
        <v>592</v>
      </c>
      <c r="O23" s="15">
        <v>804</v>
      </c>
      <c r="P23" s="15">
        <v>607</v>
      </c>
      <c r="Q23" s="15">
        <v>712</v>
      </c>
      <c r="R23" s="15">
        <v>634</v>
      </c>
      <c r="S23" s="15">
        <v>666</v>
      </c>
      <c r="T23" s="15">
        <v>602</v>
      </c>
      <c r="U23" s="15">
        <v>660</v>
      </c>
      <c r="V23" s="15">
        <v>860</v>
      </c>
      <c r="W23" s="15">
        <v>972</v>
      </c>
      <c r="X23" s="15">
        <v>1067</v>
      </c>
      <c r="Y23" s="219">
        <v>1261</v>
      </c>
    </row>
    <row r="24" spans="3:31" ht="12.95" customHeight="1" x14ac:dyDescent="0.2">
      <c r="C24" s="26" t="str">
        <f>VLOOKUP(39,Textbausteine_401[],Hilfsgrössen!$D$2,FALSE)</f>
        <v>50 und älter</v>
      </c>
      <c r="D24" s="1" t="str">
        <f>VLOOKUP(11,Textbausteine_401[],Hilfsgrössen!$D$2,FALSE)</f>
        <v>Anzahl Personen im Monatslohn</v>
      </c>
      <c r="E24" s="9" t="s">
        <v>142</v>
      </c>
      <c r="F24" s="9" t="s">
        <v>168</v>
      </c>
      <c r="H24" s="15">
        <v>98</v>
      </c>
      <c r="I24" s="15">
        <v>216</v>
      </c>
      <c r="J24" s="15">
        <v>93</v>
      </c>
      <c r="K24" s="15">
        <v>215</v>
      </c>
      <c r="L24" s="15">
        <v>309</v>
      </c>
      <c r="M24" s="15">
        <v>122</v>
      </c>
      <c r="N24" s="15">
        <v>125</v>
      </c>
      <c r="O24" s="15">
        <v>189</v>
      </c>
      <c r="P24" s="15">
        <v>115</v>
      </c>
      <c r="Q24" s="15">
        <v>168</v>
      </c>
      <c r="R24" s="15">
        <v>165</v>
      </c>
      <c r="S24" s="15">
        <v>153</v>
      </c>
      <c r="T24" s="15">
        <v>146</v>
      </c>
      <c r="U24" s="15">
        <v>164</v>
      </c>
      <c r="V24" s="15">
        <v>241</v>
      </c>
      <c r="W24" s="15">
        <v>286</v>
      </c>
      <c r="X24" s="15">
        <v>309</v>
      </c>
      <c r="Y24" s="219">
        <v>253</v>
      </c>
    </row>
    <row r="25" spans="3:31" ht="12.95" customHeight="1" x14ac:dyDescent="0.2">
      <c r="C25" s="16"/>
      <c r="H25" s="15"/>
      <c r="I25" s="15"/>
      <c r="J25" s="15"/>
      <c r="K25" s="15"/>
      <c r="L25" s="15"/>
      <c r="M25" s="15"/>
      <c r="N25" s="15"/>
      <c r="O25" s="15"/>
      <c r="P25" s="15"/>
      <c r="Q25" s="15"/>
      <c r="R25" s="15"/>
      <c r="S25" s="15"/>
      <c r="T25" s="15"/>
      <c r="U25" s="15"/>
      <c r="V25" s="15"/>
      <c r="W25" s="15"/>
      <c r="X25" s="15"/>
      <c r="Y25" s="219"/>
    </row>
    <row r="26" spans="3:31" ht="12.95" customHeight="1" x14ac:dyDescent="0.2">
      <c r="C26" s="8" t="str">
        <f>VLOOKUP(40,Textbausteine_401[],Hilfsgrössen!$D$2,FALSE)</f>
        <v>Austritte von Mitarbeitenden</v>
      </c>
      <c r="D26" s="1" t="str">
        <f>VLOOKUP(11,Textbausteine_401[],Hilfsgrössen!$D$2,FALSE)</f>
        <v>Anzahl Personen im Monatslohn</v>
      </c>
      <c r="E26" s="9" t="s">
        <v>95</v>
      </c>
      <c r="F26" s="9" t="s">
        <v>168</v>
      </c>
      <c r="H26" s="141">
        <v>4628</v>
      </c>
      <c r="I26" s="141">
        <v>3643</v>
      </c>
      <c r="J26" s="141">
        <v>3954</v>
      </c>
      <c r="K26" s="141">
        <v>4261</v>
      </c>
      <c r="L26" s="141">
        <v>4823</v>
      </c>
      <c r="M26" s="141">
        <v>3605</v>
      </c>
      <c r="N26" s="15">
        <v>3368</v>
      </c>
      <c r="O26" s="15">
        <v>3648</v>
      </c>
      <c r="P26" s="15">
        <v>3557</v>
      </c>
      <c r="Q26" s="15">
        <v>3789</v>
      </c>
      <c r="R26" s="15">
        <v>3514</v>
      </c>
      <c r="S26" s="15">
        <v>3564</v>
      </c>
      <c r="T26" s="15">
        <v>3412</v>
      </c>
      <c r="U26" s="15">
        <v>3905</v>
      </c>
      <c r="V26" s="15">
        <v>4276</v>
      </c>
      <c r="W26" s="15">
        <v>4130</v>
      </c>
      <c r="X26" s="15">
        <v>4028</v>
      </c>
      <c r="Y26" s="219">
        <v>4031</v>
      </c>
    </row>
    <row r="27" spans="3:31" ht="12.95" customHeight="1" x14ac:dyDescent="0.2">
      <c r="C27" s="13" t="str">
        <f>VLOOKUP(41,Textbausteine_401[],Hilfsgrössen!$D$2,FALSE)</f>
        <v>Pensionierungen</v>
      </c>
      <c r="D27" s="1" t="str">
        <f>VLOOKUP(11,Textbausteine_401[],Hilfsgrössen!$D$2,FALSE)</f>
        <v>Anzahl Personen im Monatslohn</v>
      </c>
      <c r="E27" s="9" t="s">
        <v>95</v>
      </c>
      <c r="F27" s="9" t="s">
        <v>168</v>
      </c>
      <c r="H27" s="141">
        <v>1136</v>
      </c>
      <c r="I27" s="141">
        <v>876</v>
      </c>
      <c r="J27" s="141">
        <v>1471</v>
      </c>
      <c r="K27" s="141">
        <v>892</v>
      </c>
      <c r="L27" s="141">
        <v>1007</v>
      </c>
      <c r="M27" s="141">
        <v>838</v>
      </c>
      <c r="N27" s="15">
        <v>793</v>
      </c>
      <c r="O27" s="15">
        <v>1055</v>
      </c>
      <c r="P27" s="15">
        <v>918</v>
      </c>
      <c r="Q27" s="15">
        <v>1216</v>
      </c>
      <c r="R27" s="15">
        <v>900</v>
      </c>
      <c r="S27" s="15">
        <v>1099</v>
      </c>
      <c r="T27" s="15">
        <v>800</v>
      </c>
      <c r="U27" s="15">
        <v>1171</v>
      </c>
      <c r="V27" s="15">
        <v>1056</v>
      </c>
      <c r="W27" s="15">
        <v>1065</v>
      </c>
      <c r="X27" s="15">
        <v>1455</v>
      </c>
      <c r="Y27" s="219">
        <v>996</v>
      </c>
    </row>
    <row r="28" spans="3:31" ht="12.95" customHeight="1" x14ac:dyDescent="0.2">
      <c r="C28" s="17" t="str">
        <f>VLOOKUP(42,Textbausteine_401[],Hilfsgrössen!$D$2,FALSE)</f>
        <v>auslaufende Verträge</v>
      </c>
      <c r="D28" s="1" t="str">
        <f>VLOOKUP(11,Textbausteine_401[],Hilfsgrössen!$D$2,FALSE)</f>
        <v>Anzahl Personen im Monatslohn</v>
      </c>
      <c r="E28" s="9" t="s">
        <v>95</v>
      </c>
      <c r="F28" s="9" t="s">
        <v>168</v>
      </c>
      <c r="H28" s="141">
        <v>233</v>
      </c>
      <c r="I28" s="141">
        <v>218</v>
      </c>
      <c r="J28" s="141">
        <v>217</v>
      </c>
      <c r="K28" s="141">
        <v>197</v>
      </c>
      <c r="L28" s="141">
        <v>265</v>
      </c>
      <c r="M28" s="141">
        <v>414</v>
      </c>
      <c r="N28" s="15">
        <v>325</v>
      </c>
      <c r="O28" s="15">
        <v>237</v>
      </c>
      <c r="P28" s="15">
        <v>232</v>
      </c>
      <c r="Q28" s="15">
        <v>255</v>
      </c>
      <c r="R28" s="15">
        <v>249</v>
      </c>
      <c r="S28" s="15">
        <v>243</v>
      </c>
      <c r="T28" s="15">
        <v>247</v>
      </c>
      <c r="U28" s="15">
        <v>35</v>
      </c>
      <c r="V28" s="15">
        <v>294</v>
      </c>
      <c r="W28" s="15">
        <v>449</v>
      </c>
      <c r="X28" s="15">
        <v>442</v>
      </c>
      <c r="Y28" s="219">
        <v>495</v>
      </c>
    </row>
    <row r="29" spans="3:31" ht="12.95" customHeight="1" x14ac:dyDescent="0.2">
      <c r="C29" s="13" t="str">
        <f>VLOOKUP(43,Textbausteine_401[],Hilfsgrössen!$D$2,FALSE)</f>
        <v>Austritt vereinbart</v>
      </c>
      <c r="D29" s="1" t="str">
        <f>VLOOKUP(11,Textbausteine_401[],Hilfsgrössen!$D$2,FALSE)</f>
        <v>Anzahl Personen im Monatslohn</v>
      </c>
      <c r="E29" s="9" t="s">
        <v>95</v>
      </c>
      <c r="F29" s="9" t="s">
        <v>168</v>
      </c>
      <c r="H29" s="141">
        <v>724</v>
      </c>
      <c r="I29" s="141">
        <v>324</v>
      </c>
      <c r="J29" s="141">
        <v>266</v>
      </c>
      <c r="K29" s="141">
        <v>797</v>
      </c>
      <c r="L29" s="141">
        <v>975</v>
      </c>
      <c r="M29" s="141">
        <v>645</v>
      </c>
      <c r="N29" s="15">
        <v>439</v>
      </c>
      <c r="O29" s="15">
        <v>349</v>
      </c>
      <c r="P29" s="15">
        <v>271</v>
      </c>
      <c r="Q29" s="15">
        <v>298</v>
      </c>
      <c r="R29" s="15">
        <v>240</v>
      </c>
      <c r="S29" s="15">
        <v>364</v>
      </c>
      <c r="T29" s="15">
        <v>313</v>
      </c>
      <c r="U29" s="15">
        <v>314</v>
      </c>
      <c r="V29" s="15">
        <v>317</v>
      </c>
      <c r="W29" s="15">
        <v>201</v>
      </c>
      <c r="X29" s="15">
        <v>151</v>
      </c>
      <c r="Y29" s="219">
        <v>143</v>
      </c>
    </row>
    <row r="30" spans="3:31" ht="12.95" customHeight="1" x14ac:dyDescent="0.2">
      <c r="C30" s="13" t="str">
        <f>VLOOKUP(44,Textbausteine_401[],Hilfsgrössen!$D$2,FALSE)</f>
        <v>Kündigung durch Arbeitgeber</v>
      </c>
      <c r="D30" s="1" t="str">
        <f>VLOOKUP(11,Textbausteine_401[],Hilfsgrössen!$D$2,FALSE)</f>
        <v>Anzahl Personen im Monatslohn</v>
      </c>
      <c r="E30" s="9" t="s">
        <v>95</v>
      </c>
      <c r="F30" s="9" t="s">
        <v>168</v>
      </c>
      <c r="H30" s="141">
        <v>597</v>
      </c>
      <c r="I30" s="141">
        <v>470</v>
      </c>
      <c r="J30" s="141">
        <v>299</v>
      </c>
      <c r="K30" s="141">
        <v>273</v>
      </c>
      <c r="L30" s="141">
        <v>235</v>
      </c>
      <c r="M30" s="141">
        <v>263</v>
      </c>
      <c r="N30" s="15">
        <v>293</v>
      </c>
      <c r="O30" s="15">
        <v>289</v>
      </c>
      <c r="P30" s="15">
        <v>538</v>
      </c>
      <c r="Q30" s="15">
        <v>414</v>
      </c>
      <c r="R30" s="15">
        <v>441</v>
      </c>
      <c r="S30" s="15">
        <v>315</v>
      </c>
      <c r="T30" s="15">
        <v>404</v>
      </c>
      <c r="U30" s="15">
        <v>484</v>
      </c>
      <c r="V30" s="15">
        <v>503</v>
      </c>
      <c r="W30" s="15">
        <v>496</v>
      </c>
      <c r="X30" s="15">
        <v>447</v>
      </c>
      <c r="Y30" s="219">
        <v>553</v>
      </c>
    </row>
    <row r="31" spans="3:31" ht="12.95" customHeight="1" x14ac:dyDescent="0.2">
      <c r="C31" s="26" t="str">
        <f>VLOOKUP(45,Textbausteine_401[],Hilfsgrössen!$D$2,FALSE)</f>
        <v>aus wirtschaftlichen Gründen</v>
      </c>
      <c r="D31" s="1" t="str">
        <f>VLOOKUP(11,Textbausteine_401[],Hilfsgrössen!$D$2,FALSE)</f>
        <v>Anzahl Personen im Monatslohn</v>
      </c>
      <c r="E31" s="9" t="s">
        <v>95</v>
      </c>
      <c r="F31" s="9" t="s">
        <v>168</v>
      </c>
      <c r="H31" s="141">
        <v>173</v>
      </c>
      <c r="I31" s="141">
        <v>172</v>
      </c>
      <c r="J31" s="141">
        <v>86</v>
      </c>
      <c r="K31" s="141">
        <v>110</v>
      </c>
      <c r="L31" s="141">
        <v>97</v>
      </c>
      <c r="M31" s="141">
        <v>99</v>
      </c>
      <c r="N31" s="15">
        <v>116</v>
      </c>
      <c r="O31" s="15">
        <v>95</v>
      </c>
      <c r="P31" s="15">
        <v>315</v>
      </c>
      <c r="Q31" s="15">
        <v>180</v>
      </c>
      <c r="R31" s="15">
        <v>168</v>
      </c>
      <c r="S31" s="15">
        <v>78</v>
      </c>
      <c r="T31" s="15">
        <v>84</v>
      </c>
      <c r="U31" s="15">
        <v>161</v>
      </c>
      <c r="V31" s="15">
        <v>152</v>
      </c>
      <c r="W31" s="15">
        <v>105</v>
      </c>
      <c r="X31" s="15">
        <v>73</v>
      </c>
      <c r="Y31" s="219">
        <v>102</v>
      </c>
    </row>
    <row r="32" spans="3:31" ht="12.95" customHeight="1" x14ac:dyDescent="0.2">
      <c r="C32" s="26" t="str">
        <f>VLOOKUP(46,Textbausteine_401[],Hilfsgrössen!$D$2,FALSE)</f>
        <v>aus persönlichen Gründen</v>
      </c>
      <c r="D32" s="1" t="str">
        <f>VLOOKUP(11,Textbausteine_401[],Hilfsgrössen!$D$2,FALSE)</f>
        <v>Anzahl Personen im Monatslohn</v>
      </c>
      <c r="E32" s="9" t="s">
        <v>95</v>
      </c>
      <c r="F32" s="11" t="s">
        <v>168</v>
      </c>
      <c r="G32" s="303"/>
      <c r="H32" s="141">
        <v>424</v>
      </c>
      <c r="I32" s="141">
        <v>298</v>
      </c>
      <c r="J32" s="141">
        <v>213</v>
      </c>
      <c r="K32" s="141">
        <v>163</v>
      </c>
      <c r="L32" s="141">
        <v>138</v>
      </c>
      <c r="M32" s="141">
        <v>164</v>
      </c>
      <c r="N32" s="15">
        <v>177</v>
      </c>
      <c r="O32" s="15">
        <v>194</v>
      </c>
      <c r="P32" s="15">
        <v>223</v>
      </c>
      <c r="Q32" s="15">
        <v>234</v>
      </c>
      <c r="R32" s="15">
        <v>269</v>
      </c>
      <c r="S32" s="15">
        <v>237</v>
      </c>
      <c r="T32" s="15">
        <v>320</v>
      </c>
      <c r="U32" s="15">
        <v>323</v>
      </c>
      <c r="V32" s="15">
        <v>351</v>
      </c>
      <c r="W32" s="15">
        <v>391</v>
      </c>
      <c r="X32" s="15">
        <v>374</v>
      </c>
      <c r="Y32" s="219">
        <v>451</v>
      </c>
    </row>
    <row r="33" spans="1:89" ht="12.95" customHeight="1" x14ac:dyDescent="0.2">
      <c r="C33" s="13" t="str">
        <f>VLOOKUP(47,Textbausteine_401[],Hilfsgrössen!$D$2,FALSE)</f>
        <v>Tod</v>
      </c>
      <c r="D33" s="1" t="str">
        <f>VLOOKUP(11,Textbausteine_401[],Hilfsgrössen!$D$2,FALSE)</f>
        <v>Anzahl Personen im Monatslohn</v>
      </c>
      <c r="E33" s="9" t="s">
        <v>95</v>
      </c>
      <c r="F33" s="9" t="s">
        <v>168</v>
      </c>
      <c r="H33" s="141">
        <v>54</v>
      </c>
      <c r="I33" s="141">
        <v>52</v>
      </c>
      <c r="J33" s="141">
        <v>71</v>
      </c>
      <c r="K33" s="141">
        <v>57</v>
      </c>
      <c r="L33" s="141">
        <v>52</v>
      </c>
      <c r="M33" s="141">
        <v>69</v>
      </c>
      <c r="N33" s="15">
        <v>42</v>
      </c>
      <c r="O33" s="15">
        <v>48</v>
      </c>
      <c r="P33" s="15">
        <v>50</v>
      </c>
      <c r="Q33" s="15">
        <v>39</v>
      </c>
      <c r="R33" s="15">
        <v>60</v>
      </c>
      <c r="S33" s="15">
        <v>41</v>
      </c>
      <c r="T33" s="15">
        <v>39</v>
      </c>
      <c r="U33" s="15">
        <v>45</v>
      </c>
      <c r="V33" s="15">
        <v>46</v>
      </c>
      <c r="W33" s="15">
        <v>32</v>
      </c>
      <c r="X33" s="15">
        <v>26</v>
      </c>
      <c r="Y33" s="219">
        <v>38</v>
      </c>
    </row>
    <row r="34" spans="1:89" ht="12.95" customHeight="1" x14ac:dyDescent="0.2">
      <c r="C34" s="17" t="str">
        <f>VLOOKUP(48,Textbausteine_401[],Hilfsgrössen!$D$2,FALSE)</f>
        <v>Freiwillige Austritte</v>
      </c>
      <c r="D34" s="1" t="str">
        <f>VLOOKUP(11,Textbausteine_401[],Hilfsgrössen!$D$2,FALSE)</f>
        <v>Anzahl Personen im Monatslohn</v>
      </c>
      <c r="E34" s="9" t="s">
        <v>95</v>
      </c>
      <c r="F34" s="9" t="s">
        <v>168</v>
      </c>
      <c r="H34" s="15">
        <v>1884</v>
      </c>
      <c r="I34" s="15">
        <v>1703</v>
      </c>
      <c r="J34" s="15">
        <v>1630</v>
      </c>
      <c r="K34" s="15">
        <v>2045</v>
      </c>
      <c r="L34" s="15">
        <v>2289</v>
      </c>
      <c r="M34" s="15">
        <v>1376</v>
      </c>
      <c r="N34" s="15">
        <v>1476</v>
      </c>
      <c r="O34" s="15">
        <v>1670</v>
      </c>
      <c r="P34" s="15">
        <v>1548</v>
      </c>
      <c r="Q34" s="15">
        <v>1567</v>
      </c>
      <c r="R34" s="15">
        <v>1628</v>
      </c>
      <c r="S34" s="15">
        <v>1502</v>
      </c>
      <c r="T34" s="15">
        <v>1609</v>
      </c>
      <c r="U34" s="15">
        <v>1856</v>
      </c>
      <c r="V34" s="15">
        <v>2060</v>
      </c>
      <c r="W34" s="15">
        <v>1887</v>
      </c>
      <c r="X34" s="15">
        <v>1507</v>
      </c>
      <c r="Y34" s="219">
        <v>1806</v>
      </c>
    </row>
    <row r="35" spans="1:89" ht="12.95" customHeight="1" x14ac:dyDescent="0.2">
      <c r="C35" s="26" t="str">
        <f>VLOOKUP(49,Textbausteine_401[],Hilfsgrössen!$D$2,FALSE)</f>
        <v>weiblich</v>
      </c>
      <c r="D35" s="1" t="str">
        <f>VLOOKUP(11,Textbausteine_401[],Hilfsgrössen!$D$2,FALSE)</f>
        <v>Anzahl Personen im Monatslohn</v>
      </c>
      <c r="E35" s="9" t="s">
        <v>95</v>
      </c>
      <c r="F35" s="9" t="s">
        <v>168</v>
      </c>
      <c r="H35" s="15">
        <v>1130</v>
      </c>
      <c r="I35" s="15">
        <v>999</v>
      </c>
      <c r="J35" s="15">
        <v>944</v>
      </c>
      <c r="K35" s="15">
        <v>1166</v>
      </c>
      <c r="L35" s="15">
        <v>1296</v>
      </c>
      <c r="M35" s="15">
        <v>804</v>
      </c>
      <c r="N35" s="15">
        <v>774</v>
      </c>
      <c r="O35" s="15">
        <v>901</v>
      </c>
      <c r="P35" s="15">
        <v>798</v>
      </c>
      <c r="Q35" s="15">
        <v>804</v>
      </c>
      <c r="R35" s="15">
        <v>880</v>
      </c>
      <c r="S35" s="15">
        <v>815</v>
      </c>
      <c r="T35" s="15">
        <v>841</v>
      </c>
      <c r="U35" s="15">
        <v>992</v>
      </c>
      <c r="V35" s="15">
        <v>1016</v>
      </c>
      <c r="W35" s="15">
        <v>860</v>
      </c>
      <c r="X35" s="15">
        <v>661</v>
      </c>
      <c r="Y35" s="219">
        <v>761</v>
      </c>
    </row>
    <row r="36" spans="1:89" ht="12.95" customHeight="1" x14ac:dyDescent="0.2">
      <c r="C36" s="132" t="str">
        <f>VLOOKUP(50,Textbausteine_401[],Hilfsgrössen!$D$2,FALSE)</f>
        <v>20–29</v>
      </c>
      <c r="D36" s="1" t="str">
        <f>VLOOKUP(11,Textbausteine_401[],Hilfsgrössen!$D$2,FALSE)</f>
        <v>Anzahl Personen im Monatslohn</v>
      </c>
      <c r="E36" s="9" t="s">
        <v>95</v>
      </c>
      <c r="F36" s="11" t="s">
        <v>168</v>
      </c>
      <c r="G36" s="303"/>
      <c r="H36" s="15">
        <v>261</v>
      </c>
      <c r="I36" s="15">
        <v>199</v>
      </c>
      <c r="J36" s="15">
        <v>205</v>
      </c>
      <c r="K36" s="15">
        <v>262</v>
      </c>
      <c r="L36" s="15">
        <v>267</v>
      </c>
      <c r="M36" s="15">
        <v>174</v>
      </c>
      <c r="N36" s="15">
        <v>204</v>
      </c>
      <c r="O36" s="15">
        <v>275</v>
      </c>
      <c r="P36" s="15">
        <v>240</v>
      </c>
      <c r="Q36" s="15">
        <v>279</v>
      </c>
      <c r="R36" s="15">
        <v>311</v>
      </c>
      <c r="S36" s="15">
        <v>280</v>
      </c>
      <c r="T36" s="15">
        <v>297</v>
      </c>
      <c r="U36" s="15">
        <v>356</v>
      </c>
      <c r="V36" s="15">
        <v>313</v>
      </c>
      <c r="W36" s="15">
        <v>271</v>
      </c>
      <c r="X36" s="15">
        <v>197</v>
      </c>
      <c r="Y36" s="219">
        <v>244</v>
      </c>
    </row>
    <row r="37" spans="1:89" ht="12.95" customHeight="1" x14ac:dyDescent="0.2">
      <c r="C37" s="132" t="str">
        <f>VLOOKUP(51,Textbausteine_401[],Hilfsgrössen!$D$2,FALSE)</f>
        <v>30-49</v>
      </c>
      <c r="D37" s="1" t="str">
        <f>VLOOKUP(11,Textbausteine_401[],Hilfsgrössen!$D$2,FALSE)</f>
        <v>Anzahl Personen im Monatslohn</v>
      </c>
      <c r="E37" s="9" t="s">
        <v>95</v>
      </c>
      <c r="F37" s="11" t="s">
        <v>168</v>
      </c>
      <c r="G37" s="303"/>
      <c r="H37" s="15">
        <v>689</v>
      </c>
      <c r="I37" s="15">
        <v>613</v>
      </c>
      <c r="J37" s="15">
        <v>577</v>
      </c>
      <c r="K37" s="15">
        <v>698</v>
      </c>
      <c r="L37" s="15">
        <v>774</v>
      </c>
      <c r="M37" s="15">
        <v>475</v>
      </c>
      <c r="N37" s="15">
        <v>419</v>
      </c>
      <c r="O37" s="15">
        <v>488</v>
      </c>
      <c r="P37" s="15">
        <v>426</v>
      </c>
      <c r="Q37" s="15">
        <v>395</v>
      </c>
      <c r="R37" s="15">
        <v>442</v>
      </c>
      <c r="S37" s="15">
        <v>403</v>
      </c>
      <c r="T37" s="15">
        <v>417</v>
      </c>
      <c r="U37" s="15">
        <v>487</v>
      </c>
      <c r="V37" s="15">
        <v>531</v>
      </c>
      <c r="W37" s="15">
        <v>433</v>
      </c>
      <c r="X37" s="15">
        <v>342</v>
      </c>
      <c r="Y37" s="219">
        <v>365</v>
      </c>
    </row>
    <row r="38" spans="1:89" ht="12.95" customHeight="1" x14ac:dyDescent="0.2">
      <c r="C38" s="132" t="str">
        <f>VLOOKUP(52,Textbausteine_401[],Hilfsgrössen!$D$2,FALSE)</f>
        <v>50 und älter</v>
      </c>
      <c r="D38" s="1" t="str">
        <f>VLOOKUP(11,Textbausteine_401[],Hilfsgrössen!$D$2,FALSE)</f>
        <v>Anzahl Personen im Monatslohn</v>
      </c>
      <c r="E38" s="9" t="s">
        <v>95</v>
      </c>
      <c r="F38" s="9" t="s">
        <v>168</v>
      </c>
      <c r="H38" s="15">
        <v>180</v>
      </c>
      <c r="I38" s="15">
        <v>187</v>
      </c>
      <c r="J38" s="15">
        <v>162</v>
      </c>
      <c r="K38" s="15">
        <v>206</v>
      </c>
      <c r="L38" s="15">
        <v>255</v>
      </c>
      <c r="M38" s="15">
        <v>155</v>
      </c>
      <c r="N38" s="15">
        <v>151</v>
      </c>
      <c r="O38" s="15">
        <v>138</v>
      </c>
      <c r="P38" s="15">
        <v>132</v>
      </c>
      <c r="Q38" s="15">
        <v>130</v>
      </c>
      <c r="R38" s="15">
        <v>127</v>
      </c>
      <c r="S38" s="15">
        <v>132</v>
      </c>
      <c r="T38" s="15">
        <v>127</v>
      </c>
      <c r="U38" s="15">
        <v>149</v>
      </c>
      <c r="V38" s="15">
        <v>172</v>
      </c>
      <c r="W38" s="15">
        <v>156</v>
      </c>
      <c r="X38" s="15">
        <v>122</v>
      </c>
      <c r="Y38" s="219">
        <v>152</v>
      </c>
    </row>
    <row r="39" spans="1:89" ht="12.95" customHeight="1" x14ac:dyDescent="0.2">
      <c r="C39" s="26" t="str">
        <f>VLOOKUP(53,Textbausteine_401[],Hilfsgrössen!$D$2,FALSE)</f>
        <v>männlich</v>
      </c>
      <c r="D39" s="1" t="str">
        <f>VLOOKUP(11,Textbausteine_401[],Hilfsgrössen!$D$2,FALSE)</f>
        <v>Anzahl Personen im Monatslohn</v>
      </c>
      <c r="E39" s="9" t="s">
        <v>95</v>
      </c>
      <c r="F39" s="9" t="s">
        <v>168</v>
      </c>
      <c r="H39" s="15">
        <v>754</v>
      </c>
      <c r="I39" s="15">
        <v>704</v>
      </c>
      <c r="J39" s="15">
        <v>686</v>
      </c>
      <c r="K39" s="15">
        <v>879</v>
      </c>
      <c r="L39" s="15">
        <v>993</v>
      </c>
      <c r="M39" s="15">
        <v>572</v>
      </c>
      <c r="N39" s="15">
        <v>702</v>
      </c>
      <c r="O39" s="15">
        <v>769</v>
      </c>
      <c r="P39" s="15">
        <v>750</v>
      </c>
      <c r="Q39" s="15">
        <v>763</v>
      </c>
      <c r="R39" s="15">
        <v>748</v>
      </c>
      <c r="S39" s="15">
        <v>687</v>
      </c>
      <c r="T39" s="15">
        <v>768</v>
      </c>
      <c r="U39" s="15">
        <v>864</v>
      </c>
      <c r="V39" s="15">
        <v>1044</v>
      </c>
      <c r="W39" s="15">
        <v>1027</v>
      </c>
      <c r="X39" s="15">
        <v>846</v>
      </c>
      <c r="Y39" s="219">
        <v>1045</v>
      </c>
    </row>
    <row r="40" spans="1:89" ht="12.95" customHeight="1" x14ac:dyDescent="0.2">
      <c r="C40" s="132" t="str">
        <f>VLOOKUP(54,Textbausteine_401[],Hilfsgrössen!$D$2,FALSE)</f>
        <v>20–29</v>
      </c>
      <c r="D40" s="1" t="str">
        <f>VLOOKUP(11,Textbausteine_401[],Hilfsgrössen!$D$2,FALSE)</f>
        <v>Anzahl Personen im Monatslohn</v>
      </c>
      <c r="E40" s="9" t="s">
        <v>95</v>
      </c>
      <c r="F40" s="11" t="s">
        <v>168</v>
      </c>
      <c r="G40" s="303"/>
      <c r="H40" s="15">
        <v>246</v>
      </c>
      <c r="I40" s="15">
        <v>178</v>
      </c>
      <c r="J40" s="15">
        <v>177</v>
      </c>
      <c r="K40" s="15">
        <v>241</v>
      </c>
      <c r="L40" s="15">
        <v>257</v>
      </c>
      <c r="M40" s="15">
        <v>170</v>
      </c>
      <c r="N40" s="15">
        <v>199</v>
      </c>
      <c r="O40" s="15">
        <v>254</v>
      </c>
      <c r="P40" s="15">
        <v>230</v>
      </c>
      <c r="Q40" s="15">
        <v>270</v>
      </c>
      <c r="R40" s="15">
        <v>291</v>
      </c>
      <c r="S40" s="15">
        <v>232</v>
      </c>
      <c r="T40" s="15">
        <v>287</v>
      </c>
      <c r="U40" s="15">
        <v>282</v>
      </c>
      <c r="V40" s="15">
        <v>338</v>
      </c>
      <c r="W40" s="15">
        <v>355</v>
      </c>
      <c r="X40" s="15">
        <v>306</v>
      </c>
      <c r="Y40" s="219">
        <v>383</v>
      </c>
    </row>
    <row r="41" spans="1:89" ht="12.95" customHeight="1" x14ac:dyDescent="0.2">
      <c r="C41" s="132" t="str">
        <f>VLOOKUP(55,Textbausteine_401[],Hilfsgrössen!$D$2,FALSE)</f>
        <v>30-49</v>
      </c>
      <c r="D41" s="1" t="str">
        <f>VLOOKUP(11,Textbausteine_401[],Hilfsgrössen!$D$2,FALSE)</f>
        <v>Anzahl Personen im Monatslohn</v>
      </c>
      <c r="E41" s="9" t="s">
        <v>95</v>
      </c>
      <c r="F41" s="11" t="s">
        <v>168</v>
      </c>
      <c r="G41" s="303"/>
      <c r="H41" s="15">
        <v>441</v>
      </c>
      <c r="I41" s="15">
        <v>454</v>
      </c>
      <c r="J41" s="15">
        <v>437</v>
      </c>
      <c r="K41" s="15">
        <v>561</v>
      </c>
      <c r="L41" s="15">
        <v>643</v>
      </c>
      <c r="M41" s="15">
        <v>331</v>
      </c>
      <c r="N41" s="15">
        <v>419</v>
      </c>
      <c r="O41" s="15">
        <v>451</v>
      </c>
      <c r="P41" s="15">
        <v>440</v>
      </c>
      <c r="Q41" s="15">
        <v>426</v>
      </c>
      <c r="R41" s="15">
        <v>381</v>
      </c>
      <c r="S41" s="15">
        <v>377</v>
      </c>
      <c r="T41" s="15">
        <v>389</v>
      </c>
      <c r="U41" s="15">
        <v>463</v>
      </c>
      <c r="V41" s="15">
        <v>588</v>
      </c>
      <c r="W41" s="15">
        <v>537</v>
      </c>
      <c r="X41" s="15">
        <v>418</v>
      </c>
      <c r="Y41" s="219">
        <v>524</v>
      </c>
    </row>
    <row r="42" spans="1:89" ht="12.95" customHeight="1" x14ac:dyDescent="0.2">
      <c r="C42" s="132" t="str">
        <f>VLOOKUP(56,Textbausteine_401[],Hilfsgrössen!$D$2,FALSE)</f>
        <v>50 und älter</v>
      </c>
      <c r="D42" s="1" t="str">
        <f>VLOOKUP(11,Textbausteine_401[],Hilfsgrössen!$D$2,FALSE)</f>
        <v>Anzahl Personen im Monatslohn</v>
      </c>
      <c r="E42" s="9" t="s">
        <v>95</v>
      </c>
      <c r="F42" s="9" t="s">
        <v>168</v>
      </c>
      <c r="H42" s="15">
        <v>67</v>
      </c>
      <c r="I42" s="15">
        <v>72</v>
      </c>
      <c r="J42" s="15">
        <v>72</v>
      </c>
      <c r="K42" s="15">
        <v>77</v>
      </c>
      <c r="L42" s="15">
        <v>93</v>
      </c>
      <c r="M42" s="15">
        <v>71</v>
      </c>
      <c r="N42" s="15">
        <v>84</v>
      </c>
      <c r="O42" s="15">
        <v>64</v>
      </c>
      <c r="P42" s="15">
        <v>80</v>
      </c>
      <c r="Q42" s="15">
        <v>67</v>
      </c>
      <c r="R42" s="15">
        <v>76</v>
      </c>
      <c r="S42" s="15">
        <v>78</v>
      </c>
      <c r="T42" s="15">
        <v>92</v>
      </c>
      <c r="U42" s="15">
        <v>119</v>
      </c>
      <c r="V42" s="15">
        <v>118</v>
      </c>
      <c r="W42" s="15">
        <v>135</v>
      </c>
      <c r="X42" s="15">
        <v>122</v>
      </c>
      <c r="Y42" s="219">
        <v>138</v>
      </c>
    </row>
    <row r="43" spans="1:89" ht="12.95" customHeight="1" x14ac:dyDescent="0.2">
      <c r="C43" s="132"/>
      <c r="E43" s="11"/>
      <c r="H43" s="99"/>
      <c r="I43" s="99"/>
      <c r="J43" s="99"/>
      <c r="K43" s="99"/>
      <c r="L43" s="99"/>
      <c r="M43" s="99"/>
      <c r="T43" s="9"/>
      <c r="U43" s="9"/>
      <c r="V43" s="9"/>
      <c r="W43" s="9"/>
      <c r="X43" s="9"/>
      <c r="Y43" s="219"/>
    </row>
    <row r="44" spans="1:89" ht="12.95" customHeight="1" x14ac:dyDescent="0.2">
      <c r="C44" s="1" t="str">
        <f>VLOOKUP(57,Textbausteine_401[],Hilfsgrössen!$D$2,FALSE)</f>
        <v>Gesamtaustrittsrate</v>
      </c>
      <c r="D44" s="105" t="str">
        <f>VLOOKUP(12,Textbausteine_401[],Hilfsgrössen!$D$2,FALSE)</f>
        <v>% des Durchschnittsbestandes an Personen im Monatslohn</v>
      </c>
      <c r="E44" s="11" t="s">
        <v>94</v>
      </c>
      <c r="F44" s="9" t="s">
        <v>168</v>
      </c>
      <c r="H44" s="234">
        <v>9.4388011238612908</v>
      </c>
      <c r="I44" s="234">
        <v>7.774066850134929</v>
      </c>
      <c r="J44" s="234">
        <v>8.703731587200739</v>
      </c>
      <c r="K44" s="234">
        <v>9.7153999950633132</v>
      </c>
      <c r="L44" s="234">
        <v>11.441971492620675</v>
      </c>
      <c r="M44" s="234">
        <v>8.4414649614616888</v>
      </c>
      <c r="N44" s="220">
        <v>8.8000000000000007</v>
      </c>
      <c r="O44" s="220">
        <v>9.4</v>
      </c>
      <c r="P44" s="220">
        <v>9.5</v>
      </c>
      <c r="Q44" s="220">
        <v>9.85</v>
      </c>
      <c r="R44" s="220">
        <v>9.26</v>
      </c>
      <c r="S44" s="220">
        <v>9.15</v>
      </c>
      <c r="T44" s="220">
        <v>8.68</v>
      </c>
      <c r="U44" s="220">
        <v>11.72</v>
      </c>
      <c r="V44" s="220">
        <v>12.31</v>
      </c>
      <c r="W44" s="220">
        <v>12.6</v>
      </c>
      <c r="X44" s="220">
        <v>11.8539033151444</v>
      </c>
      <c r="Y44" s="219">
        <v>13.943149206378299</v>
      </c>
    </row>
    <row r="45" spans="1:89" ht="12.95" customHeight="1" x14ac:dyDescent="0.2">
      <c r="C45" s="16" t="str">
        <f>VLOOKUP(58,Textbausteine_401[],Hilfsgrössen!$D$2,FALSE)</f>
        <v>Fluktuationsrate (freiwillige Austritte)</v>
      </c>
      <c r="D45" s="105" t="str">
        <f>VLOOKUP(12,Textbausteine_401[],Hilfsgrössen!$D$2,FALSE)</f>
        <v>% des Durchschnittsbestandes an Personen im Monatslohn</v>
      </c>
      <c r="E45" s="11" t="s">
        <v>95</v>
      </c>
      <c r="F45" s="9" t="s">
        <v>168</v>
      </c>
      <c r="H45" s="232">
        <v>3.8</v>
      </c>
      <c r="I45" s="232">
        <v>3.6</v>
      </c>
      <c r="J45" s="232">
        <v>3.6</v>
      </c>
      <c r="K45" s="232">
        <v>4.7</v>
      </c>
      <c r="L45" s="232">
        <v>5.3</v>
      </c>
      <c r="M45" s="232">
        <v>3.1</v>
      </c>
      <c r="N45" s="220">
        <v>3.5</v>
      </c>
      <c r="O45" s="220">
        <v>3.9</v>
      </c>
      <c r="P45" s="220">
        <v>3.7</v>
      </c>
      <c r="Q45" s="220">
        <v>3.58</v>
      </c>
      <c r="R45" s="220">
        <v>4.05</v>
      </c>
      <c r="S45" s="220">
        <v>3.78</v>
      </c>
      <c r="T45" s="220">
        <v>3.99</v>
      </c>
      <c r="U45" s="220">
        <v>4.75</v>
      </c>
      <c r="V45" s="220">
        <v>5.48</v>
      </c>
      <c r="W45" s="220">
        <v>5.0999999999999996</v>
      </c>
      <c r="X45" s="220">
        <v>4.1322767281801003</v>
      </c>
      <c r="Y45" s="386">
        <v>4.9716342481183204</v>
      </c>
    </row>
    <row r="46" spans="1:89" ht="12.95" customHeight="1" x14ac:dyDescent="0.2">
      <c r="C46" s="16"/>
      <c r="D46" s="105"/>
      <c r="E46" s="11"/>
      <c r="H46" s="99"/>
      <c r="I46" s="99"/>
      <c r="J46" s="99"/>
      <c r="K46" s="99"/>
      <c r="L46" s="99"/>
      <c r="M46" s="99"/>
      <c r="T46" s="9"/>
      <c r="U46" s="9"/>
      <c r="V46" s="9"/>
      <c r="W46" s="9"/>
      <c r="X46" s="9"/>
      <c r="Y46" s="9"/>
    </row>
    <row r="47" spans="1:89" ht="12.95" customHeight="1" x14ac:dyDescent="0.25">
      <c r="A47" s="47"/>
      <c r="B47" s="18" t="str">
        <f>VLOOKUP(131,Textbausteine_401[],Hilfsgrössen!$D$2,FALSE)</f>
        <v>1) ohne Lernpersonal</v>
      </c>
      <c r="E47" s="29"/>
      <c r="F47" s="29"/>
      <c r="G47" s="303"/>
      <c r="H47" s="99"/>
      <c r="I47" s="99"/>
      <c r="J47" s="99"/>
      <c r="K47" s="99"/>
      <c r="L47" s="99"/>
      <c r="M47" s="99"/>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row>
    <row r="48" spans="1:89" ht="12.95" customHeight="1" x14ac:dyDescent="0.25">
      <c r="A48" s="47"/>
      <c r="B48" s="18" t="str">
        <f>VLOOKUP(132,Textbausteine_401[],Hilfsgrössen!$D$2,FALSE)</f>
        <v>2) Gesamtaustrittsrate = Personen im Monatslohn, die die Post innerhalb eines Kalenderjahres insgesamt verlassen haben, ausgedrückt in % des durchschnittlichen Personalbestandes</v>
      </c>
      <c r="E48" s="29"/>
      <c r="F48" s="29"/>
      <c r="H48" s="99"/>
      <c r="I48" s="99"/>
      <c r="J48" s="99"/>
      <c r="K48" s="99"/>
      <c r="L48" s="99"/>
      <c r="M48" s="99"/>
      <c r="T48" s="9"/>
      <c r="U48" s="9"/>
      <c r="V48" s="9"/>
      <c r="W48" s="9"/>
      <c r="X48" s="9"/>
      <c r="Y48" s="9"/>
    </row>
    <row r="49" spans="1:89" ht="12.95" customHeight="1" x14ac:dyDescent="0.25">
      <c r="A49" s="47"/>
      <c r="B49" s="18" t="str">
        <f>VLOOKUP(133,Textbausteine_401[],Hilfsgrössen!$D$2,FALSE)</f>
        <v>3)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E49" s="29"/>
      <c r="F49" s="29"/>
      <c r="H49" s="99"/>
      <c r="I49" s="99"/>
      <c r="J49" s="99"/>
      <c r="K49" s="99"/>
      <c r="L49" s="99"/>
      <c r="M49" s="99"/>
      <c r="T49" s="9"/>
      <c r="U49" s="9"/>
      <c r="V49" s="9"/>
      <c r="W49" s="9"/>
      <c r="X49" s="9"/>
      <c r="Y49" s="9"/>
    </row>
    <row r="50" spans="1:89" ht="12.95" customHeight="1" x14ac:dyDescent="0.25">
      <c r="A50" s="47"/>
      <c r="B50" s="18" t="str">
        <f>VLOOKUP(134,Textbausteine_401[],Hilfsgrössen!$D$2,FALSE)</f>
        <v>4) Anpassung Wert 2018 aufgrund nachträglicher Mutationen</v>
      </c>
      <c r="E50" s="29"/>
      <c r="F50" s="29"/>
      <c r="H50" s="99"/>
      <c r="I50" s="99"/>
      <c r="J50" s="99"/>
      <c r="K50" s="99"/>
      <c r="L50" s="99"/>
      <c r="M50" s="99"/>
      <c r="T50" s="9"/>
      <c r="U50" s="9"/>
      <c r="V50" s="9"/>
      <c r="W50" s="9"/>
      <c r="X50" s="9"/>
      <c r="Y50" s="9"/>
    </row>
    <row r="51" spans="1:89" ht="12.95" customHeight="1" x14ac:dyDescent="0.2">
      <c r="C51" s="16"/>
      <c r="D51" s="105"/>
      <c r="E51" s="11"/>
      <c r="H51" s="99"/>
      <c r="I51" s="99"/>
      <c r="J51" s="99"/>
      <c r="K51" s="99"/>
      <c r="L51" s="99"/>
      <c r="M51" s="99"/>
      <c r="T51" s="9"/>
      <c r="U51" s="9"/>
      <c r="V51" s="9"/>
      <c r="W51" s="9"/>
      <c r="X51" s="9"/>
      <c r="Y51" s="9"/>
    </row>
    <row r="52" spans="1:89" ht="12.95" customHeight="1" x14ac:dyDescent="0.2">
      <c r="C52" s="16"/>
      <c r="D52" s="105"/>
      <c r="E52" s="11"/>
      <c r="T52" s="9"/>
      <c r="U52" s="9"/>
      <c r="V52" s="9"/>
      <c r="W52" s="9"/>
      <c r="X52" s="9"/>
      <c r="Y52" s="9"/>
    </row>
    <row r="53" spans="1:89" s="6" customFormat="1" ht="12.95" customHeight="1" x14ac:dyDescent="0.2">
      <c r="A53" s="39" t="s">
        <v>27</v>
      </c>
      <c r="B53" s="401" t="str">
        <f>$C$8</f>
        <v>Elternzeit</v>
      </c>
      <c r="C53" s="401"/>
      <c r="D53" s="6" t="str">
        <f>VLOOKUP(32,Textbausteine_Menu[],Hilfsgrössen!$D$2,FALSE)</f>
        <v>Einheit</v>
      </c>
      <c r="E53" s="28" t="str">
        <f>VLOOKUP(33,Textbausteine_Menu[],Hilfsgrössen!$D$2,FALSE)</f>
        <v>Fussnoten</v>
      </c>
      <c r="F53" s="28" t="str">
        <f>VLOOKUP(34,Textbausteine_Menu[],Hilfsgrössen!$D$2,FALSE)</f>
        <v>GRI</v>
      </c>
      <c r="G53" s="34"/>
      <c r="H53" s="72">
        <v>2004</v>
      </c>
      <c r="I53" s="72">
        <v>2005</v>
      </c>
      <c r="J53" s="72">
        <v>2006</v>
      </c>
      <c r="K53" s="72">
        <v>2007</v>
      </c>
      <c r="L53" s="72">
        <v>2008</v>
      </c>
      <c r="M53" s="72">
        <v>2009</v>
      </c>
      <c r="N53" s="28">
        <v>2010</v>
      </c>
      <c r="O53" s="28">
        <v>2011</v>
      </c>
      <c r="P53" s="28">
        <v>2012</v>
      </c>
      <c r="Q53" s="28">
        <v>2013</v>
      </c>
      <c r="R53" s="28">
        <v>2014</v>
      </c>
      <c r="S53" s="28">
        <v>2015</v>
      </c>
      <c r="T53" s="28">
        <v>2016</v>
      </c>
      <c r="U53" s="28">
        <v>2017</v>
      </c>
      <c r="V53" s="28">
        <v>2018</v>
      </c>
      <c r="W53" s="28">
        <v>2019</v>
      </c>
      <c r="X53" s="28">
        <v>2020</v>
      </c>
      <c r="Y53" s="146">
        <v>2021</v>
      </c>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row>
    <row r="54" spans="1:89" s="6" customFormat="1" ht="12.95" customHeight="1" x14ac:dyDescent="0.2">
      <c r="A54" s="65"/>
      <c r="B54" s="401"/>
      <c r="C54" s="401"/>
      <c r="E54" s="9"/>
      <c r="F54" s="9"/>
      <c r="G54" s="34"/>
      <c r="H54" s="99"/>
      <c r="I54" s="99"/>
      <c r="J54" s="99"/>
      <c r="K54" s="99"/>
      <c r="L54" s="99"/>
      <c r="M54" s="99"/>
      <c r="N54" s="9"/>
      <c r="O54" s="9"/>
      <c r="P54" s="9"/>
      <c r="Q54" s="9"/>
      <c r="R54" s="9"/>
      <c r="S54" s="9"/>
      <c r="T54" s="9"/>
      <c r="U54" s="9"/>
      <c r="V54" s="9"/>
      <c r="W54" s="9"/>
      <c r="X54" s="9"/>
      <c r="Y54" s="145"/>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9"/>
      <c r="BZ54" s="9"/>
      <c r="CA54" s="9"/>
      <c r="CB54" s="9"/>
      <c r="CC54" s="9"/>
      <c r="CD54" s="9"/>
      <c r="CE54" s="9"/>
      <c r="CF54" s="9"/>
      <c r="CG54" s="9"/>
      <c r="CH54" s="9"/>
      <c r="CI54" s="9"/>
      <c r="CJ54" s="9"/>
      <c r="CK54" s="9"/>
    </row>
    <row r="55" spans="1:89" ht="12.95" customHeight="1" x14ac:dyDescent="0.2">
      <c r="B55" s="2"/>
      <c r="F55" s="11"/>
      <c r="H55" s="99"/>
      <c r="I55" s="99"/>
      <c r="J55" s="99"/>
      <c r="K55" s="99"/>
      <c r="L55" s="99"/>
      <c r="M55" s="99"/>
      <c r="T55" s="9"/>
      <c r="U55" s="9"/>
      <c r="V55" s="9"/>
      <c r="W55" s="9"/>
      <c r="X55" s="9"/>
      <c r="Y55" s="145"/>
    </row>
    <row r="56" spans="1:89" ht="12.95" customHeight="1" x14ac:dyDescent="0.2">
      <c r="B56" s="2" t="str">
        <f>VLOOKUP(37,Textbausteine_Menu[],Hilfsgrössen!$D$2,FALSE)</f>
        <v>Konzern Schweiz</v>
      </c>
      <c r="C56" s="2"/>
      <c r="H56" s="99"/>
      <c r="I56" s="99"/>
      <c r="J56" s="99"/>
      <c r="K56" s="99"/>
      <c r="L56" s="99"/>
      <c r="M56" s="99"/>
      <c r="T56" s="9"/>
      <c r="U56" s="9"/>
      <c r="V56" s="9"/>
      <c r="W56" s="9"/>
      <c r="X56" s="9"/>
      <c r="Y56" s="145"/>
    </row>
    <row r="57" spans="1:89" ht="12.95" customHeight="1" x14ac:dyDescent="0.2">
      <c r="C57" s="181" t="str">
        <f>VLOOKUP(71,Textbausteine_401[],Hilfsgrössen!$D$2,FALSE)</f>
        <v>Elternzeitbezüger/-innen</v>
      </c>
      <c r="D57" s="130" t="str">
        <f>VLOOKUP(11,Textbausteine_401[],Hilfsgrössen!$D$2,FALSE)</f>
        <v>Anzahl Personen im Monatslohn</v>
      </c>
      <c r="E57" s="9" t="s">
        <v>97</v>
      </c>
      <c r="F57" s="9" t="s">
        <v>169</v>
      </c>
      <c r="H57" s="99" t="s">
        <v>30</v>
      </c>
      <c r="I57" s="99" t="s">
        <v>30</v>
      </c>
      <c r="J57" s="99" t="s">
        <v>30</v>
      </c>
      <c r="K57" s="99" t="s">
        <v>30</v>
      </c>
      <c r="L57" s="99" t="s">
        <v>30</v>
      </c>
      <c r="M57" s="99" t="s">
        <v>30</v>
      </c>
      <c r="N57" s="9">
        <v>1644</v>
      </c>
      <c r="O57" s="9">
        <v>1658</v>
      </c>
      <c r="P57" s="9">
        <v>1643</v>
      </c>
      <c r="Q57" s="9">
        <v>1762</v>
      </c>
      <c r="R57" s="9">
        <v>1689</v>
      </c>
      <c r="S57" s="9">
        <v>1735</v>
      </c>
      <c r="T57" s="9">
        <v>1764</v>
      </c>
      <c r="U57" s="9">
        <v>1745</v>
      </c>
      <c r="V57" s="9">
        <v>1677</v>
      </c>
      <c r="W57" s="9">
        <v>1741</v>
      </c>
      <c r="X57" s="9">
        <v>1688</v>
      </c>
      <c r="Y57" s="145">
        <v>1804</v>
      </c>
    </row>
    <row r="58" spans="1:89" ht="12.95" customHeight="1" x14ac:dyDescent="0.2">
      <c r="H58" s="99"/>
      <c r="I58" s="99"/>
      <c r="J58" s="99"/>
      <c r="K58" s="99"/>
      <c r="L58" s="99"/>
      <c r="M58" s="99"/>
      <c r="T58" s="9"/>
      <c r="U58" s="9"/>
      <c r="V58" s="9"/>
      <c r="W58" s="9"/>
      <c r="X58" s="9"/>
      <c r="Y58" s="9"/>
    </row>
    <row r="59" spans="1:89" ht="12.95" customHeight="1" x14ac:dyDescent="0.25">
      <c r="B59" s="302" t="str">
        <f>VLOOKUP(141,Textbausteine_401[],Hilfsgrössen!$D$2,FALSE)</f>
        <v>1) Umfasst Personen in Elternschaft aufgrund von Mutterschutz, Elternurlaub, Geburt, Mutterschaftsurlaub und Adoption</v>
      </c>
      <c r="H59" s="99"/>
      <c r="I59" s="99"/>
      <c r="J59" s="99"/>
      <c r="K59" s="99"/>
      <c r="L59" s="99"/>
      <c r="M59" s="99"/>
      <c r="T59" s="9"/>
      <c r="U59" s="9"/>
      <c r="V59" s="9"/>
      <c r="W59" s="9"/>
      <c r="X59" s="9"/>
      <c r="Y59" s="9"/>
    </row>
    <row r="60" spans="1:89" ht="12.95" customHeight="1" x14ac:dyDescent="0.25">
      <c r="B60" s="302" t="str">
        <f>VLOOKUP(142,Textbausteine_401[],Hilfsgrössen!$D$2,FALSE)</f>
        <v>2)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H60" s="99"/>
      <c r="I60" s="99"/>
      <c r="J60" s="99"/>
      <c r="K60" s="99"/>
      <c r="L60" s="99"/>
      <c r="M60" s="99"/>
      <c r="T60" s="9"/>
      <c r="U60" s="9"/>
      <c r="V60" s="9"/>
      <c r="W60" s="9"/>
      <c r="X60" s="9"/>
      <c r="Y60" s="9"/>
    </row>
    <row r="61" spans="1:89" ht="12.95" customHeight="1" x14ac:dyDescent="0.2">
      <c r="H61" s="99"/>
      <c r="I61" s="99"/>
      <c r="J61" s="99"/>
      <c r="K61" s="99"/>
      <c r="L61" s="99"/>
      <c r="M61" s="99"/>
      <c r="T61" s="9"/>
      <c r="U61" s="9"/>
      <c r="V61" s="9"/>
      <c r="W61" s="9"/>
      <c r="X61" s="9"/>
      <c r="Y61" s="9"/>
    </row>
    <row r="62" spans="1:89" ht="12.95" customHeight="1" x14ac:dyDescent="0.2">
      <c r="G62" s="35"/>
      <c r="H62" s="99"/>
      <c r="I62" s="99"/>
      <c r="J62" s="99"/>
      <c r="K62" s="99"/>
      <c r="L62" s="99"/>
      <c r="M62" s="99"/>
      <c r="T62" s="9"/>
      <c r="U62" s="9"/>
      <c r="V62" s="9"/>
      <c r="W62" s="9"/>
      <c r="X62" s="9"/>
      <c r="Y62" s="9"/>
    </row>
    <row r="63" spans="1:89" s="6" customFormat="1" ht="12.95" customHeight="1" x14ac:dyDescent="0.2">
      <c r="A63" s="39" t="s">
        <v>27</v>
      </c>
      <c r="B63" s="401" t="str">
        <f>$C$9</f>
        <v>Personalzufriedenheit, Motivation und Engagement</v>
      </c>
      <c r="C63" s="401"/>
      <c r="D63" s="6" t="str">
        <f>VLOOKUP(32,Textbausteine_Menu[],Hilfsgrössen!$D$2,FALSE)</f>
        <v>Einheit</v>
      </c>
      <c r="E63" s="28" t="str">
        <f>VLOOKUP(33,Textbausteine_Menu[],Hilfsgrössen!$D$2,FALSE)</f>
        <v>Fussnoten</v>
      </c>
      <c r="F63" s="28" t="str">
        <f>VLOOKUP(34,Textbausteine_Menu[],Hilfsgrössen!$D$2,FALSE)</f>
        <v>GRI</v>
      </c>
      <c r="G63" s="34"/>
      <c r="H63" s="28">
        <v>2004</v>
      </c>
      <c r="I63" s="28">
        <v>2005</v>
      </c>
      <c r="J63" s="28">
        <v>2006</v>
      </c>
      <c r="K63" s="28">
        <v>2007</v>
      </c>
      <c r="L63" s="28">
        <v>2008</v>
      </c>
      <c r="M63" s="28">
        <v>2009</v>
      </c>
      <c r="N63" s="28">
        <v>2010</v>
      </c>
      <c r="O63" s="28">
        <v>2011</v>
      </c>
      <c r="P63" s="28">
        <v>2012</v>
      </c>
      <c r="Q63" s="28">
        <v>2013</v>
      </c>
      <c r="R63" s="28">
        <v>2014</v>
      </c>
      <c r="S63" s="28">
        <v>2015</v>
      </c>
      <c r="T63" s="28">
        <v>2016</v>
      </c>
      <c r="U63" s="28">
        <v>2017</v>
      </c>
      <c r="V63" s="28">
        <v>2018</v>
      </c>
      <c r="W63" s="28">
        <v>2019</v>
      </c>
      <c r="X63" s="28">
        <v>2020</v>
      </c>
      <c r="Y63" s="146">
        <v>2021</v>
      </c>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row>
    <row r="64" spans="1:89" s="6" customFormat="1" ht="12.95" customHeight="1" x14ac:dyDescent="0.2">
      <c r="A64" s="65"/>
      <c r="B64" s="401"/>
      <c r="C64" s="401"/>
      <c r="E64" s="9"/>
      <c r="F64" s="9"/>
      <c r="G64" s="34"/>
      <c r="H64" s="99"/>
      <c r="I64" s="99"/>
      <c r="J64" s="99"/>
      <c r="K64" s="99"/>
      <c r="L64" s="99"/>
      <c r="M64" s="99"/>
      <c r="N64" s="9"/>
      <c r="O64" s="9"/>
      <c r="P64" s="9"/>
      <c r="Q64" s="9"/>
      <c r="R64" s="9"/>
      <c r="S64" s="9"/>
      <c r="T64" s="9"/>
      <c r="U64" s="9"/>
      <c r="V64" s="9"/>
      <c r="W64" s="9"/>
      <c r="X64" s="9"/>
      <c r="Y64" s="145"/>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row>
    <row r="65" spans="2:25" ht="12.95" customHeight="1" x14ac:dyDescent="0.2">
      <c r="B65" s="2"/>
      <c r="F65" s="11"/>
      <c r="H65" s="99"/>
      <c r="I65" s="99"/>
      <c r="J65" s="99"/>
      <c r="K65" s="99"/>
      <c r="L65" s="99"/>
      <c r="M65" s="99"/>
      <c r="T65" s="9"/>
      <c r="U65" s="9"/>
      <c r="V65" s="9"/>
      <c r="W65" s="9"/>
      <c r="X65" s="9"/>
      <c r="Y65" s="145"/>
    </row>
    <row r="66" spans="2:25" ht="12.95" customHeight="1" x14ac:dyDescent="0.2">
      <c r="B66" s="291" t="str">
        <f>VLOOKUP(37,Textbausteine_Menu[],Hilfsgrössen!$D$2,FALSE)</f>
        <v>Konzern Schweiz</v>
      </c>
      <c r="C66" s="291"/>
      <c r="H66" s="99"/>
      <c r="I66" s="99"/>
      <c r="J66" s="99"/>
      <c r="K66" s="99"/>
      <c r="L66" s="99"/>
      <c r="M66" s="99"/>
      <c r="T66" s="9"/>
      <c r="U66" s="9"/>
      <c r="V66" s="9"/>
      <c r="W66" s="9"/>
      <c r="X66" s="9"/>
      <c r="Y66" s="145"/>
    </row>
    <row r="67" spans="2:25" ht="12.95" customHeight="1" x14ac:dyDescent="0.2">
      <c r="B67" s="292"/>
      <c r="C67" s="295" t="str">
        <f>VLOOKUP(81,Textbausteine_401[],Hilfsgrössen!$D$2,FALSE)</f>
        <v>Nettorücklauf der Umfrage</v>
      </c>
      <c r="D67" s="130" t="str">
        <f>VLOOKUP(13,Textbausteine_401[],Hilfsgrössen!$D$2,FALSE)</f>
        <v>%</v>
      </c>
      <c r="E67" s="9">
        <v>1</v>
      </c>
      <c r="F67" s="9">
        <v>401</v>
      </c>
      <c r="H67" s="99" t="s">
        <v>30</v>
      </c>
      <c r="I67" s="99" t="s">
        <v>30</v>
      </c>
      <c r="J67" s="99" t="s">
        <v>30</v>
      </c>
      <c r="K67" s="99" t="s">
        <v>30</v>
      </c>
      <c r="L67" s="99" t="s">
        <v>30</v>
      </c>
      <c r="M67" s="99" t="s">
        <v>30</v>
      </c>
      <c r="N67" s="99" t="s">
        <v>30</v>
      </c>
      <c r="O67" s="99" t="s">
        <v>30</v>
      </c>
      <c r="P67" s="99" t="s">
        <v>30</v>
      </c>
      <c r="Q67" s="99" t="s">
        <v>30</v>
      </c>
      <c r="R67" s="99" t="s">
        <v>30</v>
      </c>
      <c r="S67" s="99" t="s">
        <v>30</v>
      </c>
      <c r="T67" s="99" t="s">
        <v>30</v>
      </c>
      <c r="U67" s="99" t="s">
        <v>30</v>
      </c>
      <c r="V67" s="99" t="s">
        <v>30</v>
      </c>
      <c r="W67" s="99" t="s">
        <v>30</v>
      </c>
      <c r="X67" s="99" t="s">
        <v>30</v>
      </c>
      <c r="Y67" s="145">
        <v>73.400000000000006</v>
      </c>
    </row>
    <row r="68" spans="2:25" ht="12.95" customHeight="1" x14ac:dyDescent="0.2">
      <c r="B68" s="292"/>
      <c r="C68" s="296" t="str">
        <f>VLOOKUP(82,Textbausteine_401[],Hilfsgrössen!$D$2,FALSE)</f>
        <v>Meine Arbeit</v>
      </c>
      <c r="D68" s="1" t="str">
        <f>VLOOKUP(14,Textbausteine_401[],Hilfsgrössen!$D$2,FALSE)</f>
        <v>Index</v>
      </c>
      <c r="E68" s="307">
        <v>1</v>
      </c>
      <c r="F68" s="9">
        <v>401</v>
      </c>
      <c r="H68" s="99" t="s">
        <v>30</v>
      </c>
      <c r="I68" s="99" t="s">
        <v>30</v>
      </c>
      <c r="J68" s="99" t="s">
        <v>30</v>
      </c>
      <c r="K68" s="99" t="s">
        <v>30</v>
      </c>
      <c r="L68" s="99" t="s">
        <v>30</v>
      </c>
      <c r="M68" s="99" t="s">
        <v>30</v>
      </c>
      <c r="N68" s="99" t="s">
        <v>30</v>
      </c>
      <c r="O68" s="99" t="s">
        <v>30</v>
      </c>
      <c r="P68" s="99" t="s">
        <v>30</v>
      </c>
      <c r="Q68" s="99" t="s">
        <v>30</v>
      </c>
      <c r="R68" s="99" t="s">
        <v>30</v>
      </c>
      <c r="S68" s="99" t="s">
        <v>30</v>
      </c>
      <c r="T68" s="99" t="s">
        <v>30</v>
      </c>
      <c r="U68" s="99" t="s">
        <v>30</v>
      </c>
      <c r="V68" s="99" t="s">
        <v>30</v>
      </c>
      <c r="W68" s="99" t="s">
        <v>30</v>
      </c>
      <c r="X68" s="99" t="s">
        <v>30</v>
      </c>
      <c r="Y68" s="145">
        <v>78</v>
      </c>
    </row>
    <row r="69" spans="2:25" ht="12.95" customHeight="1" x14ac:dyDescent="0.2">
      <c r="B69" s="292"/>
      <c r="C69" s="297" t="str">
        <f>VLOOKUP(83,Textbausteine_401[],Hilfsgrössen!$D$2,FALSE)</f>
        <v>Mein Team</v>
      </c>
      <c r="D69" s="130" t="str">
        <f>VLOOKUP(14,Textbausteine_401[],Hilfsgrössen!$D$2,FALSE)</f>
        <v>Index</v>
      </c>
      <c r="E69" s="294">
        <v>1</v>
      </c>
      <c r="F69" s="9">
        <v>401</v>
      </c>
      <c r="H69" s="99" t="s">
        <v>30</v>
      </c>
      <c r="I69" s="99" t="s">
        <v>30</v>
      </c>
      <c r="J69" s="99" t="s">
        <v>30</v>
      </c>
      <c r="K69" s="99" t="s">
        <v>30</v>
      </c>
      <c r="L69" s="99" t="s">
        <v>30</v>
      </c>
      <c r="M69" s="99" t="s">
        <v>30</v>
      </c>
      <c r="N69" s="99" t="s">
        <v>30</v>
      </c>
      <c r="O69" s="99" t="s">
        <v>30</v>
      </c>
      <c r="P69" s="99" t="s">
        <v>30</v>
      </c>
      <c r="Q69" s="99" t="s">
        <v>30</v>
      </c>
      <c r="R69" s="99" t="s">
        <v>30</v>
      </c>
      <c r="S69" s="99" t="s">
        <v>30</v>
      </c>
      <c r="T69" s="99" t="s">
        <v>30</v>
      </c>
      <c r="U69" s="99" t="s">
        <v>30</v>
      </c>
      <c r="V69" s="99" t="s">
        <v>30</v>
      </c>
      <c r="W69" s="99" t="s">
        <v>30</v>
      </c>
      <c r="X69" s="99" t="s">
        <v>30</v>
      </c>
      <c r="Y69" s="145">
        <v>81</v>
      </c>
    </row>
    <row r="70" spans="2:25" ht="12.95" customHeight="1" x14ac:dyDescent="0.2">
      <c r="B70" s="292"/>
      <c r="C70" s="297" t="str">
        <f>VLOOKUP(84,Textbausteine_401[],Hilfsgrössen!$D$2,FALSE)</f>
        <v>Meine direkte Führung</v>
      </c>
      <c r="D70" s="130" t="str">
        <f>VLOOKUP(14,Textbausteine_401[],Hilfsgrössen!$D$2,FALSE)</f>
        <v>Index</v>
      </c>
      <c r="E70" s="294">
        <v>1</v>
      </c>
      <c r="F70" s="9">
        <v>401</v>
      </c>
      <c r="H70" s="99" t="s">
        <v>30</v>
      </c>
      <c r="I70" s="99" t="s">
        <v>30</v>
      </c>
      <c r="J70" s="99" t="s">
        <v>30</v>
      </c>
      <c r="K70" s="99" t="s">
        <v>30</v>
      </c>
      <c r="L70" s="99" t="s">
        <v>30</v>
      </c>
      <c r="M70" s="99" t="s">
        <v>30</v>
      </c>
      <c r="N70" s="99" t="s">
        <v>30</v>
      </c>
      <c r="O70" s="99" t="s">
        <v>30</v>
      </c>
      <c r="P70" s="99" t="s">
        <v>30</v>
      </c>
      <c r="Q70" s="99" t="s">
        <v>30</v>
      </c>
      <c r="R70" s="99" t="s">
        <v>30</v>
      </c>
      <c r="S70" s="99" t="s">
        <v>30</v>
      </c>
      <c r="T70" s="99" t="s">
        <v>30</v>
      </c>
      <c r="U70" s="99" t="s">
        <v>30</v>
      </c>
      <c r="V70" s="99" t="s">
        <v>30</v>
      </c>
      <c r="W70" s="99" t="s">
        <v>30</v>
      </c>
      <c r="X70" s="99" t="s">
        <v>30</v>
      </c>
      <c r="Y70" s="145">
        <v>84</v>
      </c>
    </row>
    <row r="71" spans="2:25" ht="12.95" customHeight="1" x14ac:dyDescent="0.2">
      <c r="B71" s="292"/>
      <c r="C71" s="296" t="str">
        <f>VLOOKUP(85,Textbausteine_401[],Hilfsgrössen!$D$2,FALSE)</f>
        <v>Unsere Unternehmenskultur</v>
      </c>
      <c r="D71" s="130" t="str">
        <f>VLOOKUP(14,Textbausteine_401[],Hilfsgrössen!$D$2,FALSE)</f>
        <v>Index</v>
      </c>
      <c r="E71" s="294">
        <v>1</v>
      </c>
      <c r="F71" s="9">
        <v>401</v>
      </c>
      <c r="H71" s="99" t="s">
        <v>30</v>
      </c>
      <c r="I71" s="99" t="s">
        <v>30</v>
      </c>
      <c r="J71" s="99" t="s">
        <v>30</v>
      </c>
      <c r="K71" s="99" t="s">
        <v>30</v>
      </c>
      <c r="L71" s="99" t="s">
        <v>30</v>
      </c>
      <c r="M71" s="99" t="s">
        <v>30</v>
      </c>
      <c r="N71" s="99" t="s">
        <v>30</v>
      </c>
      <c r="O71" s="99" t="s">
        <v>30</v>
      </c>
      <c r="P71" s="99" t="s">
        <v>30</v>
      </c>
      <c r="Q71" s="99" t="s">
        <v>30</v>
      </c>
      <c r="R71" s="99" t="s">
        <v>30</v>
      </c>
      <c r="S71" s="99" t="s">
        <v>30</v>
      </c>
      <c r="T71" s="99" t="s">
        <v>30</v>
      </c>
      <c r="U71" s="99" t="s">
        <v>30</v>
      </c>
      <c r="V71" s="99" t="s">
        <v>30</v>
      </c>
      <c r="W71" s="99" t="s">
        <v>30</v>
      </c>
      <c r="X71" s="99" t="s">
        <v>30</v>
      </c>
      <c r="Y71" s="145">
        <v>77</v>
      </c>
    </row>
    <row r="72" spans="2:25" ht="12.95" customHeight="1" x14ac:dyDescent="0.2">
      <c r="B72" s="292"/>
      <c r="C72" s="296" t="str">
        <f>VLOOKUP(86,Textbausteine_401[],Hilfsgrössen!$D$2,FALSE)</f>
        <v>Unsere Post</v>
      </c>
      <c r="D72" s="130" t="str">
        <f>VLOOKUP(14,Textbausteine_401[],Hilfsgrössen!$D$2,FALSE)</f>
        <v>Index</v>
      </c>
      <c r="E72" s="294">
        <v>1</v>
      </c>
      <c r="F72" s="9">
        <v>401</v>
      </c>
      <c r="H72" s="99" t="s">
        <v>30</v>
      </c>
      <c r="I72" s="99" t="s">
        <v>30</v>
      </c>
      <c r="J72" s="99" t="s">
        <v>30</v>
      </c>
      <c r="K72" s="99" t="s">
        <v>30</v>
      </c>
      <c r="L72" s="99" t="s">
        <v>30</v>
      </c>
      <c r="M72" s="99" t="s">
        <v>30</v>
      </c>
      <c r="N72" s="99" t="s">
        <v>30</v>
      </c>
      <c r="O72" s="99" t="s">
        <v>30</v>
      </c>
      <c r="P72" s="99" t="s">
        <v>30</v>
      </c>
      <c r="Q72" s="99" t="s">
        <v>30</v>
      </c>
      <c r="R72" s="99" t="s">
        <v>30</v>
      </c>
      <c r="S72" s="99" t="s">
        <v>30</v>
      </c>
      <c r="T72" s="99" t="s">
        <v>30</v>
      </c>
      <c r="U72" s="99" t="s">
        <v>30</v>
      </c>
      <c r="V72" s="99" t="s">
        <v>30</v>
      </c>
      <c r="W72" s="99" t="s">
        <v>30</v>
      </c>
      <c r="X72" s="99" t="s">
        <v>30</v>
      </c>
      <c r="Y72" s="145">
        <v>77</v>
      </c>
    </row>
    <row r="73" spans="2:25" ht="12.95" customHeight="1" x14ac:dyDescent="0.2">
      <c r="B73" s="292"/>
      <c r="C73" s="296" t="str">
        <f>VLOOKUP(87,Textbausteine_401[],Hilfsgrössen!$D$2,FALSE)</f>
        <v>Mein Engagement</v>
      </c>
      <c r="D73" s="130" t="str">
        <f>VLOOKUP(14,Textbausteine_401[],Hilfsgrössen!$D$2,FALSE)</f>
        <v>Index</v>
      </c>
      <c r="E73" s="294">
        <v>1</v>
      </c>
      <c r="F73" s="9">
        <v>401</v>
      </c>
      <c r="H73" s="99" t="s">
        <v>30</v>
      </c>
      <c r="I73" s="99" t="s">
        <v>30</v>
      </c>
      <c r="J73" s="99" t="s">
        <v>30</v>
      </c>
      <c r="K73" s="99" t="s">
        <v>30</v>
      </c>
      <c r="L73" s="99" t="s">
        <v>30</v>
      </c>
      <c r="M73" s="99" t="s">
        <v>30</v>
      </c>
      <c r="N73" s="99" t="s">
        <v>30</v>
      </c>
      <c r="O73" s="99" t="s">
        <v>30</v>
      </c>
      <c r="P73" s="99" t="s">
        <v>30</v>
      </c>
      <c r="Q73" s="99" t="s">
        <v>30</v>
      </c>
      <c r="R73" s="99" t="s">
        <v>30</v>
      </c>
      <c r="S73" s="99" t="s">
        <v>30</v>
      </c>
      <c r="T73" s="99" t="s">
        <v>30</v>
      </c>
      <c r="U73" s="99" t="s">
        <v>30</v>
      </c>
      <c r="V73" s="99" t="s">
        <v>30</v>
      </c>
      <c r="W73" s="99" t="s">
        <v>30</v>
      </c>
      <c r="X73" s="99" t="s">
        <v>30</v>
      </c>
      <c r="Y73" s="145">
        <v>79</v>
      </c>
    </row>
    <row r="74" spans="2:25" ht="12.95" customHeight="1" x14ac:dyDescent="0.2">
      <c r="B74" s="292"/>
      <c r="C74" s="295"/>
      <c r="D74" s="130"/>
      <c r="E74" s="307"/>
      <c r="H74" s="99"/>
      <c r="I74" s="99"/>
      <c r="J74" s="99"/>
      <c r="K74" s="99"/>
      <c r="L74" s="99"/>
      <c r="M74" s="99"/>
      <c r="T74" s="9"/>
      <c r="U74" s="9"/>
      <c r="V74" s="9"/>
      <c r="W74" s="9"/>
      <c r="X74" s="9"/>
      <c r="Y74" s="145"/>
    </row>
    <row r="75" spans="2:25" ht="12.95" customHeight="1" x14ac:dyDescent="0.2">
      <c r="B75" s="292"/>
      <c r="C75" s="298" t="str">
        <f>VLOOKUP(45,Textbausteine_Menu[],Hilfsgrössen!$D$2,FALSE)</f>
        <v>Logistik-Services</v>
      </c>
      <c r="D75" s="130"/>
      <c r="E75" s="307"/>
      <c r="H75" s="99"/>
      <c r="I75" s="99"/>
      <c r="J75" s="99"/>
      <c r="K75" s="99"/>
      <c r="L75" s="99"/>
      <c r="M75" s="99"/>
      <c r="T75" s="9"/>
      <c r="U75" s="9"/>
      <c r="V75" s="9"/>
      <c r="W75" s="9"/>
      <c r="X75" s="9"/>
      <c r="Y75" s="145"/>
    </row>
    <row r="76" spans="2:25" ht="12.95" customHeight="1" x14ac:dyDescent="0.2">
      <c r="B76" s="292"/>
      <c r="C76" s="299" t="str">
        <f>VLOOKUP(82,Textbausteine_401[],Hilfsgrössen!$D$2,FALSE)</f>
        <v>Meine Arbeit</v>
      </c>
      <c r="D76" s="1" t="str">
        <f>VLOOKUP(14,Textbausteine_401[],Hilfsgrössen!$D$2,FALSE)</f>
        <v>Index</v>
      </c>
      <c r="E76" s="307">
        <v>1</v>
      </c>
      <c r="F76" s="9">
        <v>401</v>
      </c>
      <c r="H76" s="99" t="s">
        <v>30</v>
      </c>
      <c r="I76" s="99" t="s">
        <v>30</v>
      </c>
      <c r="J76" s="99" t="s">
        <v>30</v>
      </c>
      <c r="K76" s="99" t="s">
        <v>30</v>
      </c>
      <c r="L76" s="99" t="s">
        <v>30</v>
      </c>
      <c r="M76" s="99" t="s">
        <v>30</v>
      </c>
      <c r="N76" s="99" t="s">
        <v>30</v>
      </c>
      <c r="O76" s="99" t="s">
        <v>30</v>
      </c>
      <c r="P76" s="99" t="s">
        <v>30</v>
      </c>
      <c r="Q76" s="99" t="s">
        <v>30</v>
      </c>
      <c r="R76" s="99" t="s">
        <v>30</v>
      </c>
      <c r="S76" s="99" t="s">
        <v>30</v>
      </c>
      <c r="T76" s="99" t="s">
        <v>30</v>
      </c>
      <c r="U76" s="99" t="s">
        <v>30</v>
      </c>
      <c r="V76" s="99" t="s">
        <v>30</v>
      </c>
      <c r="W76" s="99" t="s">
        <v>30</v>
      </c>
      <c r="X76" s="99" t="s">
        <v>30</v>
      </c>
      <c r="Y76" s="145">
        <v>77</v>
      </c>
    </row>
    <row r="77" spans="2:25" ht="12.95" customHeight="1" x14ac:dyDescent="0.2">
      <c r="B77" s="292"/>
      <c r="C77" s="300" t="str">
        <f>VLOOKUP(83,Textbausteine_401[],Hilfsgrössen!$D$2,FALSE)</f>
        <v>Mein Team</v>
      </c>
      <c r="D77" s="130" t="str">
        <f>VLOOKUP(14,Textbausteine_401[],Hilfsgrössen!$D$2,FALSE)</f>
        <v>Index</v>
      </c>
      <c r="E77" s="294">
        <v>1</v>
      </c>
      <c r="F77" s="9">
        <v>401</v>
      </c>
      <c r="H77" s="99" t="s">
        <v>30</v>
      </c>
      <c r="I77" s="99" t="s">
        <v>30</v>
      </c>
      <c r="J77" s="99" t="s">
        <v>30</v>
      </c>
      <c r="K77" s="99" t="s">
        <v>30</v>
      </c>
      <c r="L77" s="99" t="s">
        <v>30</v>
      </c>
      <c r="M77" s="99" t="s">
        <v>30</v>
      </c>
      <c r="N77" s="99" t="s">
        <v>30</v>
      </c>
      <c r="O77" s="99" t="s">
        <v>30</v>
      </c>
      <c r="P77" s="99" t="s">
        <v>30</v>
      </c>
      <c r="Q77" s="99" t="s">
        <v>30</v>
      </c>
      <c r="R77" s="99" t="s">
        <v>30</v>
      </c>
      <c r="S77" s="99" t="s">
        <v>30</v>
      </c>
      <c r="T77" s="99" t="s">
        <v>30</v>
      </c>
      <c r="U77" s="99" t="s">
        <v>30</v>
      </c>
      <c r="V77" s="99" t="s">
        <v>30</v>
      </c>
      <c r="W77" s="99" t="s">
        <v>30</v>
      </c>
      <c r="X77" s="99" t="s">
        <v>30</v>
      </c>
      <c r="Y77" s="145">
        <v>78</v>
      </c>
    </row>
    <row r="78" spans="2:25" ht="12.95" customHeight="1" x14ac:dyDescent="0.2">
      <c r="B78" s="292"/>
      <c r="C78" s="299" t="str">
        <f>VLOOKUP(84,Textbausteine_401[],Hilfsgrössen!$D$2,FALSE)</f>
        <v>Meine direkte Führung</v>
      </c>
      <c r="D78" s="1" t="str">
        <f>VLOOKUP(14,Textbausteine_401[],Hilfsgrössen!$D$2,FALSE)</f>
        <v>Index</v>
      </c>
      <c r="E78" s="294">
        <v>1</v>
      </c>
      <c r="F78" s="9">
        <v>401</v>
      </c>
      <c r="H78" s="99" t="s">
        <v>30</v>
      </c>
      <c r="I78" s="99" t="s">
        <v>30</v>
      </c>
      <c r="J78" s="99" t="s">
        <v>30</v>
      </c>
      <c r="K78" s="99" t="s">
        <v>30</v>
      </c>
      <c r="L78" s="99" t="s">
        <v>30</v>
      </c>
      <c r="M78" s="99" t="s">
        <v>30</v>
      </c>
      <c r="N78" s="99" t="s">
        <v>30</v>
      </c>
      <c r="O78" s="99" t="s">
        <v>30</v>
      </c>
      <c r="P78" s="99" t="s">
        <v>30</v>
      </c>
      <c r="Q78" s="99" t="s">
        <v>30</v>
      </c>
      <c r="R78" s="99" t="s">
        <v>30</v>
      </c>
      <c r="S78" s="99" t="s">
        <v>30</v>
      </c>
      <c r="T78" s="99" t="s">
        <v>30</v>
      </c>
      <c r="U78" s="99" t="s">
        <v>30</v>
      </c>
      <c r="V78" s="99" t="s">
        <v>30</v>
      </c>
      <c r="W78" s="99" t="s">
        <v>30</v>
      </c>
      <c r="X78" s="99" t="s">
        <v>30</v>
      </c>
      <c r="Y78" s="145">
        <v>82</v>
      </c>
    </row>
    <row r="79" spans="2:25" ht="12.95" customHeight="1" x14ac:dyDescent="0.25">
      <c r="B79" s="293"/>
      <c r="C79" s="299" t="str">
        <f>VLOOKUP(85,Textbausteine_401[],Hilfsgrössen!$D$2,FALSE)</f>
        <v>Unsere Unternehmenskultur</v>
      </c>
      <c r="D79" s="1" t="str">
        <f>VLOOKUP(14,Textbausteine_401[],Hilfsgrössen!$D$2,FALSE)</f>
        <v>Index</v>
      </c>
      <c r="E79" s="294">
        <v>1</v>
      </c>
      <c r="F79" s="9">
        <v>401</v>
      </c>
      <c r="H79" s="99" t="s">
        <v>30</v>
      </c>
      <c r="I79" s="99" t="s">
        <v>30</v>
      </c>
      <c r="J79" s="99" t="s">
        <v>30</v>
      </c>
      <c r="K79" s="99" t="s">
        <v>30</v>
      </c>
      <c r="L79" s="99" t="s">
        <v>30</v>
      </c>
      <c r="M79" s="99" t="s">
        <v>30</v>
      </c>
      <c r="N79" s="99" t="s">
        <v>30</v>
      </c>
      <c r="O79" s="99" t="s">
        <v>30</v>
      </c>
      <c r="P79" s="99" t="s">
        <v>30</v>
      </c>
      <c r="Q79" s="99" t="s">
        <v>30</v>
      </c>
      <c r="R79" s="99" t="s">
        <v>30</v>
      </c>
      <c r="S79" s="99" t="s">
        <v>30</v>
      </c>
      <c r="T79" s="99" t="s">
        <v>30</v>
      </c>
      <c r="U79" s="99" t="s">
        <v>30</v>
      </c>
      <c r="V79" s="99" t="s">
        <v>30</v>
      </c>
      <c r="W79" s="99" t="s">
        <v>30</v>
      </c>
      <c r="X79" s="99" t="s">
        <v>30</v>
      </c>
      <c r="Y79" s="145">
        <v>77</v>
      </c>
    </row>
    <row r="80" spans="2:25" ht="12.95" customHeight="1" x14ac:dyDescent="0.25">
      <c r="B80" s="293"/>
      <c r="C80" s="299" t="str">
        <f>VLOOKUP(86,Textbausteine_401[],Hilfsgrössen!$D$2,FALSE)</f>
        <v>Unsere Post</v>
      </c>
      <c r="D80" s="1" t="str">
        <f>VLOOKUP(14,Textbausteine_401[],Hilfsgrössen!$D$2,FALSE)</f>
        <v>Index</v>
      </c>
      <c r="E80" s="294">
        <v>1</v>
      </c>
      <c r="F80" s="9">
        <v>401</v>
      </c>
      <c r="H80" s="99" t="s">
        <v>30</v>
      </c>
      <c r="I80" s="99" t="s">
        <v>30</v>
      </c>
      <c r="J80" s="99" t="s">
        <v>30</v>
      </c>
      <c r="K80" s="99" t="s">
        <v>30</v>
      </c>
      <c r="L80" s="99" t="s">
        <v>30</v>
      </c>
      <c r="M80" s="99" t="s">
        <v>30</v>
      </c>
      <c r="N80" s="99" t="s">
        <v>30</v>
      </c>
      <c r="O80" s="99" t="s">
        <v>30</v>
      </c>
      <c r="P80" s="99" t="s">
        <v>30</v>
      </c>
      <c r="Q80" s="99" t="s">
        <v>30</v>
      </c>
      <c r="R80" s="99" t="s">
        <v>30</v>
      </c>
      <c r="S80" s="99" t="s">
        <v>30</v>
      </c>
      <c r="T80" s="99" t="s">
        <v>30</v>
      </c>
      <c r="U80" s="99" t="s">
        <v>30</v>
      </c>
      <c r="V80" s="99" t="s">
        <v>30</v>
      </c>
      <c r="W80" s="99" t="s">
        <v>30</v>
      </c>
      <c r="X80" s="99" t="s">
        <v>30</v>
      </c>
      <c r="Y80" s="145">
        <v>77</v>
      </c>
    </row>
    <row r="81" spans="2:25" ht="12.95" customHeight="1" x14ac:dyDescent="0.25">
      <c r="B81" s="293"/>
      <c r="C81" s="299" t="str">
        <f>VLOOKUP(87,Textbausteine_401[],Hilfsgrössen!$D$2,FALSE)</f>
        <v>Mein Engagement</v>
      </c>
      <c r="D81" s="1" t="str">
        <f>VLOOKUP(14,Textbausteine_401[],Hilfsgrössen!$D$2,FALSE)</f>
        <v>Index</v>
      </c>
      <c r="E81" s="294">
        <v>1</v>
      </c>
      <c r="F81" s="9">
        <v>401</v>
      </c>
      <c r="H81" s="99" t="s">
        <v>30</v>
      </c>
      <c r="I81" s="99" t="s">
        <v>30</v>
      </c>
      <c r="J81" s="99" t="s">
        <v>30</v>
      </c>
      <c r="K81" s="99" t="s">
        <v>30</v>
      </c>
      <c r="L81" s="99" t="s">
        <v>30</v>
      </c>
      <c r="M81" s="99" t="s">
        <v>30</v>
      </c>
      <c r="N81" s="99" t="s">
        <v>30</v>
      </c>
      <c r="O81" s="99" t="s">
        <v>30</v>
      </c>
      <c r="P81" s="99" t="s">
        <v>30</v>
      </c>
      <c r="Q81" s="99" t="s">
        <v>30</v>
      </c>
      <c r="R81" s="99" t="s">
        <v>30</v>
      </c>
      <c r="S81" s="99" t="s">
        <v>30</v>
      </c>
      <c r="T81" s="99" t="s">
        <v>30</v>
      </c>
      <c r="U81" s="99" t="s">
        <v>30</v>
      </c>
      <c r="V81" s="99" t="s">
        <v>30</v>
      </c>
      <c r="W81" s="99" t="s">
        <v>30</v>
      </c>
      <c r="X81" s="99" t="s">
        <v>30</v>
      </c>
      <c r="Y81" s="145">
        <v>79</v>
      </c>
    </row>
    <row r="82" spans="2:25" ht="12.95" customHeight="1" x14ac:dyDescent="0.2">
      <c r="B82" s="292"/>
      <c r="C82" s="299"/>
      <c r="E82" s="272"/>
      <c r="G82" s="35"/>
      <c r="H82" s="99"/>
      <c r="I82" s="99"/>
      <c r="J82" s="99"/>
      <c r="K82" s="99"/>
      <c r="L82" s="99"/>
      <c r="M82" s="99"/>
      <c r="T82" s="9"/>
      <c r="U82" s="9"/>
      <c r="V82" s="9"/>
      <c r="W82" s="9"/>
      <c r="X82" s="9"/>
      <c r="Y82" s="145"/>
    </row>
    <row r="83" spans="2:25" ht="12.95" customHeight="1" x14ac:dyDescent="0.2">
      <c r="B83" s="292"/>
      <c r="C83" s="298" t="str">
        <f>VLOOKUP(48,Textbausteine_Menu[],Hilfsgrössen!$D$2,FALSE)</f>
        <v>Kommunikations-Services</v>
      </c>
      <c r="D83" s="130"/>
      <c r="E83" s="307"/>
      <c r="H83" s="99"/>
      <c r="I83" s="99"/>
      <c r="J83" s="99"/>
      <c r="K83" s="99"/>
      <c r="L83" s="99"/>
      <c r="M83" s="99"/>
      <c r="T83" s="9"/>
      <c r="U83" s="9"/>
      <c r="V83" s="9"/>
      <c r="W83" s="9"/>
      <c r="X83" s="9"/>
      <c r="Y83" s="145"/>
    </row>
    <row r="84" spans="2:25" ht="12.95" customHeight="1" x14ac:dyDescent="0.2">
      <c r="B84" s="292"/>
      <c r="C84" s="299" t="str">
        <f>VLOOKUP(82,Textbausteine_401[],Hilfsgrössen!$D$2,FALSE)</f>
        <v>Meine Arbeit</v>
      </c>
      <c r="D84" s="1" t="str">
        <f>VLOOKUP(14,Textbausteine_401[],Hilfsgrössen!$D$2,FALSE)</f>
        <v>Index</v>
      </c>
      <c r="E84" s="307">
        <v>1</v>
      </c>
      <c r="F84" s="9">
        <v>401</v>
      </c>
      <c r="H84" s="99" t="s">
        <v>30</v>
      </c>
      <c r="I84" s="99" t="s">
        <v>30</v>
      </c>
      <c r="J84" s="99" t="s">
        <v>30</v>
      </c>
      <c r="K84" s="99" t="s">
        <v>30</v>
      </c>
      <c r="L84" s="99" t="s">
        <v>30</v>
      </c>
      <c r="M84" s="99" t="s">
        <v>30</v>
      </c>
      <c r="N84" s="99" t="s">
        <v>30</v>
      </c>
      <c r="O84" s="99" t="s">
        <v>30</v>
      </c>
      <c r="P84" s="99" t="s">
        <v>30</v>
      </c>
      <c r="Q84" s="99" t="s">
        <v>30</v>
      </c>
      <c r="R84" s="99" t="s">
        <v>30</v>
      </c>
      <c r="S84" s="99" t="s">
        <v>30</v>
      </c>
      <c r="T84" s="99" t="s">
        <v>30</v>
      </c>
      <c r="U84" s="99" t="s">
        <v>30</v>
      </c>
      <c r="V84" s="99" t="s">
        <v>30</v>
      </c>
      <c r="W84" s="99" t="s">
        <v>30</v>
      </c>
      <c r="X84" s="99" t="s">
        <v>30</v>
      </c>
      <c r="Y84" s="145">
        <v>79</v>
      </c>
    </row>
    <row r="85" spans="2:25" ht="12.95" customHeight="1" x14ac:dyDescent="0.2">
      <c r="B85" s="292"/>
      <c r="C85" s="300" t="str">
        <f>VLOOKUP(83,Textbausteine_401[],Hilfsgrössen!$D$2,FALSE)</f>
        <v>Mein Team</v>
      </c>
      <c r="D85" s="130" t="str">
        <f>VLOOKUP(14,Textbausteine_401[],Hilfsgrössen!$D$2,FALSE)</f>
        <v>Index</v>
      </c>
      <c r="E85" s="294">
        <v>1</v>
      </c>
      <c r="F85" s="9">
        <v>401</v>
      </c>
      <c r="H85" s="99" t="s">
        <v>30</v>
      </c>
      <c r="I85" s="99" t="s">
        <v>30</v>
      </c>
      <c r="J85" s="99" t="s">
        <v>30</v>
      </c>
      <c r="K85" s="99" t="s">
        <v>30</v>
      </c>
      <c r="L85" s="99" t="s">
        <v>30</v>
      </c>
      <c r="M85" s="99" t="s">
        <v>30</v>
      </c>
      <c r="N85" s="99" t="s">
        <v>30</v>
      </c>
      <c r="O85" s="99" t="s">
        <v>30</v>
      </c>
      <c r="P85" s="99" t="s">
        <v>30</v>
      </c>
      <c r="Q85" s="99" t="s">
        <v>30</v>
      </c>
      <c r="R85" s="99" t="s">
        <v>30</v>
      </c>
      <c r="S85" s="99" t="s">
        <v>30</v>
      </c>
      <c r="T85" s="99" t="s">
        <v>30</v>
      </c>
      <c r="U85" s="99" t="s">
        <v>30</v>
      </c>
      <c r="V85" s="99" t="s">
        <v>30</v>
      </c>
      <c r="W85" s="99" t="s">
        <v>30</v>
      </c>
      <c r="X85" s="99" t="s">
        <v>30</v>
      </c>
      <c r="Y85" s="145">
        <v>84</v>
      </c>
    </row>
    <row r="86" spans="2:25" ht="12.95" customHeight="1" x14ac:dyDescent="0.2">
      <c r="B86" s="292"/>
      <c r="C86" s="299" t="str">
        <f>VLOOKUP(84,Textbausteine_401[],Hilfsgrössen!$D$2,FALSE)</f>
        <v>Meine direkte Führung</v>
      </c>
      <c r="D86" s="1" t="str">
        <f>VLOOKUP(14,Textbausteine_401[],Hilfsgrössen!$D$2,FALSE)</f>
        <v>Index</v>
      </c>
      <c r="E86" s="294">
        <v>1</v>
      </c>
      <c r="F86" s="9">
        <v>401</v>
      </c>
      <c r="H86" s="99" t="s">
        <v>30</v>
      </c>
      <c r="I86" s="99" t="s">
        <v>30</v>
      </c>
      <c r="J86" s="99" t="s">
        <v>30</v>
      </c>
      <c r="K86" s="99" t="s">
        <v>30</v>
      </c>
      <c r="L86" s="99" t="s">
        <v>30</v>
      </c>
      <c r="M86" s="99" t="s">
        <v>30</v>
      </c>
      <c r="N86" s="99" t="s">
        <v>30</v>
      </c>
      <c r="O86" s="99" t="s">
        <v>30</v>
      </c>
      <c r="P86" s="99" t="s">
        <v>30</v>
      </c>
      <c r="Q86" s="99" t="s">
        <v>30</v>
      </c>
      <c r="R86" s="99" t="s">
        <v>30</v>
      </c>
      <c r="S86" s="99" t="s">
        <v>30</v>
      </c>
      <c r="T86" s="99" t="s">
        <v>30</v>
      </c>
      <c r="U86" s="99" t="s">
        <v>30</v>
      </c>
      <c r="V86" s="99" t="s">
        <v>30</v>
      </c>
      <c r="W86" s="99" t="s">
        <v>30</v>
      </c>
      <c r="X86" s="99" t="s">
        <v>30</v>
      </c>
      <c r="Y86" s="145">
        <v>85</v>
      </c>
    </row>
    <row r="87" spans="2:25" ht="12.95" customHeight="1" x14ac:dyDescent="0.25">
      <c r="B87" s="293"/>
      <c r="C87" s="299" t="str">
        <f>VLOOKUP(85,Textbausteine_401[],Hilfsgrössen!$D$2,FALSE)</f>
        <v>Unsere Unternehmenskultur</v>
      </c>
      <c r="D87" s="1" t="str">
        <f>VLOOKUP(14,Textbausteine_401[],Hilfsgrössen!$D$2,FALSE)</f>
        <v>Index</v>
      </c>
      <c r="E87" s="294">
        <v>1</v>
      </c>
      <c r="F87" s="9">
        <v>401</v>
      </c>
      <c r="H87" s="99" t="s">
        <v>30</v>
      </c>
      <c r="I87" s="99" t="s">
        <v>30</v>
      </c>
      <c r="J87" s="99" t="s">
        <v>30</v>
      </c>
      <c r="K87" s="99" t="s">
        <v>30</v>
      </c>
      <c r="L87" s="99" t="s">
        <v>30</v>
      </c>
      <c r="M87" s="99" t="s">
        <v>30</v>
      </c>
      <c r="N87" s="99" t="s">
        <v>30</v>
      </c>
      <c r="O87" s="99" t="s">
        <v>30</v>
      </c>
      <c r="P87" s="99" t="s">
        <v>30</v>
      </c>
      <c r="Q87" s="99" t="s">
        <v>30</v>
      </c>
      <c r="R87" s="99" t="s">
        <v>30</v>
      </c>
      <c r="S87" s="99" t="s">
        <v>30</v>
      </c>
      <c r="T87" s="99" t="s">
        <v>30</v>
      </c>
      <c r="U87" s="99" t="s">
        <v>30</v>
      </c>
      <c r="V87" s="99" t="s">
        <v>30</v>
      </c>
      <c r="W87" s="99" t="s">
        <v>30</v>
      </c>
      <c r="X87" s="99" t="s">
        <v>30</v>
      </c>
      <c r="Y87" s="145">
        <v>71</v>
      </c>
    </row>
    <row r="88" spans="2:25" ht="12.95" customHeight="1" x14ac:dyDescent="0.25">
      <c r="B88" s="293"/>
      <c r="C88" s="299" t="str">
        <f>VLOOKUP(86,Textbausteine_401[],Hilfsgrössen!$D$2,FALSE)</f>
        <v>Unsere Post</v>
      </c>
      <c r="D88" s="1" t="str">
        <f>VLOOKUP(14,Textbausteine_401[],Hilfsgrössen!$D$2,FALSE)</f>
        <v>Index</v>
      </c>
      <c r="E88" s="294">
        <v>1</v>
      </c>
      <c r="F88" s="9">
        <v>401</v>
      </c>
      <c r="H88" s="99" t="s">
        <v>30</v>
      </c>
      <c r="I88" s="99" t="s">
        <v>30</v>
      </c>
      <c r="J88" s="99" t="s">
        <v>30</v>
      </c>
      <c r="K88" s="99" t="s">
        <v>30</v>
      </c>
      <c r="L88" s="99" t="s">
        <v>30</v>
      </c>
      <c r="M88" s="99" t="s">
        <v>30</v>
      </c>
      <c r="N88" s="99" t="s">
        <v>30</v>
      </c>
      <c r="O88" s="99" t="s">
        <v>30</v>
      </c>
      <c r="P88" s="99" t="s">
        <v>30</v>
      </c>
      <c r="Q88" s="99" t="s">
        <v>30</v>
      </c>
      <c r="R88" s="99" t="s">
        <v>30</v>
      </c>
      <c r="S88" s="99" t="s">
        <v>30</v>
      </c>
      <c r="T88" s="99" t="s">
        <v>30</v>
      </c>
      <c r="U88" s="99" t="s">
        <v>30</v>
      </c>
      <c r="V88" s="99" t="s">
        <v>30</v>
      </c>
      <c r="W88" s="99" t="s">
        <v>30</v>
      </c>
      <c r="X88" s="99" t="s">
        <v>30</v>
      </c>
      <c r="Y88" s="145">
        <v>79</v>
      </c>
    </row>
    <row r="89" spans="2:25" ht="12.95" customHeight="1" x14ac:dyDescent="0.25">
      <c r="B89" s="293"/>
      <c r="C89" s="299" t="str">
        <f>VLOOKUP(87,Textbausteine_401[],Hilfsgrössen!$D$2,FALSE)</f>
        <v>Mein Engagement</v>
      </c>
      <c r="D89" s="1" t="str">
        <f>VLOOKUP(14,Textbausteine_401[],Hilfsgrössen!$D$2,FALSE)</f>
        <v>Index</v>
      </c>
      <c r="E89" s="294">
        <v>1</v>
      </c>
      <c r="F89" s="9">
        <v>401</v>
      </c>
      <c r="H89" s="99" t="s">
        <v>30</v>
      </c>
      <c r="I89" s="99" t="s">
        <v>30</v>
      </c>
      <c r="J89" s="99" t="s">
        <v>30</v>
      </c>
      <c r="K89" s="99" t="s">
        <v>30</v>
      </c>
      <c r="L89" s="99" t="s">
        <v>30</v>
      </c>
      <c r="M89" s="99" t="s">
        <v>30</v>
      </c>
      <c r="N89" s="99" t="s">
        <v>30</v>
      </c>
      <c r="O89" s="99" t="s">
        <v>30</v>
      </c>
      <c r="P89" s="99" t="s">
        <v>30</v>
      </c>
      <c r="Q89" s="99" t="s">
        <v>30</v>
      </c>
      <c r="R89" s="99" t="s">
        <v>30</v>
      </c>
      <c r="S89" s="99" t="s">
        <v>30</v>
      </c>
      <c r="T89" s="99" t="s">
        <v>30</v>
      </c>
      <c r="U89" s="99" t="s">
        <v>30</v>
      </c>
      <c r="V89" s="99" t="s">
        <v>30</v>
      </c>
      <c r="W89" s="99" t="s">
        <v>30</v>
      </c>
      <c r="X89" s="99" t="s">
        <v>30</v>
      </c>
      <c r="Y89" s="145">
        <v>82</v>
      </c>
    </row>
    <row r="90" spans="2:25" ht="12.95" customHeight="1" x14ac:dyDescent="0.2">
      <c r="B90" s="292"/>
      <c r="C90" s="299"/>
      <c r="E90" s="307"/>
      <c r="H90" s="99"/>
      <c r="I90" s="99"/>
      <c r="J90" s="99"/>
      <c r="K90" s="99"/>
      <c r="L90" s="99"/>
      <c r="M90" s="99"/>
      <c r="T90" s="9"/>
      <c r="U90" s="9"/>
      <c r="V90" s="9"/>
      <c r="W90" s="9"/>
      <c r="X90" s="9"/>
      <c r="Y90" s="145"/>
    </row>
    <row r="91" spans="2:25" ht="12.95" customHeight="1" x14ac:dyDescent="0.2">
      <c r="B91" s="292"/>
      <c r="C91" s="298" t="str">
        <f>VLOOKUP(46,Textbausteine_Menu[],Hilfsgrössen!$D$2,FALSE)</f>
        <v>Swiss Post Solutions</v>
      </c>
      <c r="D91" s="130"/>
      <c r="E91" s="307"/>
      <c r="H91" s="99"/>
      <c r="I91" s="99"/>
      <c r="J91" s="99"/>
      <c r="K91" s="99"/>
      <c r="L91" s="99"/>
      <c r="M91" s="99"/>
      <c r="T91" s="9"/>
      <c r="U91" s="9"/>
      <c r="V91" s="9"/>
      <c r="W91" s="9"/>
      <c r="X91" s="9"/>
      <c r="Y91" s="145"/>
    </row>
    <row r="92" spans="2:25" ht="12.95" customHeight="1" x14ac:dyDescent="0.2">
      <c r="B92" s="292"/>
      <c r="C92" s="299" t="str">
        <f>VLOOKUP(82,Textbausteine_401[],Hilfsgrössen!$D$2,FALSE)</f>
        <v>Meine Arbeit</v>
      </c>
      <c r="D92" s="1" t="str">
        <f>VLOOKUP(14,Textbausteine_401[],Hilfsgrössen!$D$2,FALSE)</f>
        <v>Index</v>
      </c>
      <c r="E92" s="307">
        <v>1</v>
      </c>
      <c r="F92" s="9">
        <v>401</v>
      </c>
      <c r="H92" s="99" t="s">
        <v>30</v>
      </c>
      <c r="I92" s="99" t="s">
        <v>30</v>
      </c>
      <c r="J92" s="99" t="s">
        <v>30</v>
      </c>
      <c r="K92" s="99" t="s">
        <v>30</v>
      </c>
      <c r="L92" s="99" t="s">
        <v>30</v>
      </c>
      <c r="M92" s="99" t="s">
        <v>30</v>
      </c>
      <c r="N92" s="99" t="s">
        <v>30</v>
      </c>
      <c r="O92" s="99" t="s">
        <v>30</v>
      </c>
      <c r="P92" s="99" t="s">
        <v>30</v>
      </c>
      <c r="Q92" s="99" t="s">
        <v>30</v>
      </c>
      <c r="R92" s="99" t="s">
        <v>30</v>
      </c>
      <c r="S92" s="99" t="s">
        <v>30</v>
      </c>
      <c r="T92" s="99" t="s">
        <v>30</v>
      </c>
      <c r="U92" s="99" t="s">
        <v>30</v>
      </c>
      <c r="V92" s="99" t="s">
        <v>30</v>
      </c>
      <c r="W92" s="99" t="s">
        <v>30</v>
      </c>
      <c r="X92" s="99" t="s">
        <v>30</v>
      </c>
      <c r="Y92" s="145">
        <v>83</v>
      </c>
    </row>
    <row r="93" spans="2:25" ht="12.95" customHeight="1" x14ac:dyDescent="0.2">
      <c r="B93" s="292"/>
      <c r="C93" s="300" t="str">
        <f>VLOOKUP(83,Textbausteine_401[],Hilfsgrössen!$D$2,FALSE)</f>
        <v>Mein Team</v>
      </c>
      <c r="D93" s="130" t="str">
        <f>VLOOKUP(14,Textbausteine_401[],Hilfsgrössen!$D$2,FALSE)</f>
        <v>Index</v>
      </c>
      <c r="E93" s="294">
        <v>1</v>
      </c>
      <c r="F93" s="9">
        <v>401</v>
      </c>
      <c r="H93" s="99" t="s">
        <v>30</v>
      </c>
      <c r="I93" s="99" t="s">
        <v>30</v>
      </c>
      <c r="J93" s="99" t="s">
        <v>30</v>
      </c>
      <c r="K93" s="99" t="s">
        <v>30</v>
      </c>
      <c r="L93" s="99" t="s">
        <v>30</v>
      </c>
      <c r="M93" s="99" t="s">
        <v>30</v>
      </c>
      <c r="N93" s="99" t="s">
        <v>30</v>
      </c>
      <c r="O93" s="99" t="s">
        <v>30</v>
      </c>
      <c r="P93" s="99" t="s">
        <v>30</v>
      </c>
      <c r="Q93" s="99" t="s">
        <v>30</v>
      </c>
      <c r="R93" s="99" t="s">
        <v>30</v>
      </c>
      <c r="S93" s="99" t="s">
        <v>30</v>
      </c>
      <c r="T93" s="99" t="s">
        <v>30</v>
      </c>
      <c r="U93" s="99" t="s">
        <v>30</v>
      </c>
      <c r="V93" s="99" t="s">
        <v>30</v>
      </c>
      <c r="W93" s="99" t="s">
        <v>30</v>
      </c>
      <c r="X93" s="99" t="s">
        <v>30</v>
      </c>
      <c r="Y93" s="145">
        <v>85</v>
      </c>
    </row>
    <row r="94" spans="2:25" ht="12.95" customHeight="1" x14ac:dyDescent="0.2">
      <c r="B94" s="292"/>
      <c r="C94" s="299" t="str">
        <f>VLOOKUP(84,Textbausteine_401[],Hilfsgrössen!$D$2,FALSE)</f>
        <v>Meine direkte Führung</v>
      </c>
      <c r="D94" s="1" t="str">
        <f>VLOOKUP(14,Textbausteine_401[],Hilfsgrössen!$D$2,FALSE)</f>
        <v>Index</v>
      </c>
      <c r="E94" s="294">
        <v>1</v>
      </c>
      <c r="F94" s="9">
        <v>401</v>
      </c>
      <c r="H94" s="99" t="s">
        <v>30</v>
      </c>
      <c r="I94" s="99" t="s">
        <v>30</v>
      </c>
      <c r="J94" s="99" t="s">
        <v>30</v>
      </c>
      <c r="K94" s="99" t="s">
        <v>30</v>
      </c>
      <c r="L94" s="99" t="s">
        <v>30</v>
      </c>
      <c r="M94" s="99" t="s">
        <v>30</v>
      </c>
      <c r="N94" s="99" t="s">
        <v>30</v>
      </c>
      <c r="O94" s="99" t="s">
        <v>30</v>
      </c>
      <c r="P94" s="99" t="s">
        <v>30</v>
      </c>
      <c r="Q94" s="99" t="s">
        <v>30</v>
      </c>
      <c r="R94" s="99" t="s">
        <v>30</v>
      </c>
      <c r="S94" s="99" t="s">
        <v>30</v>
      </c>
      <c r="T94" s="99" t="s">
        <v>30</v>
      </c>
      <c r="U94" s="99" t="s">
        <v>30</v>
      </c>
      <c r="V94" s="99" t="s">
        <v>30</v>
      </c>
      <c r="W94" s="99" t="s">
        <v>30</v>
      </c>
      <c r="X94" s="99" t="s">
        <v>30</v>
      </c>
      <c r="Y94" s="145">
        <v>87</v>
      </c>
    </row>
    <row r="95" spans="2:25" ht="12.95" customHeight="1" x14ac:dyDescent="0.25">
      <c r="B95" s="293"/>
      <c r="C95" s="299" t="str">
        <f>VLOOKUP(85,Textbausteine_401[],Hilfsgrössen!$D$2,FALSE)</f>
        <v>Unsere Unternehmenskultur</v>
      </c>
      <c r="D95" s="1" t="str">
        <f>VLOOKUP(14,Textbausteine_401[],Hilfsgrössen!$D$2,FALSE)</f>
        <v>Index</v>
      </c>
      <c r="E95" s="294">
        <v>1</v>
      </c>
      <c r="F95" s="9">
        <v>401</v>
      </c>
      <c r="H95" s="99" t="s">
        <v>30</v>
      </c>
      <c r="I95" s="99" t="s">
        <v>30</v>
      </c>
      <c r="J95" s="99" t="s">
        <v>30</v>
      </c>
      <c r="K95" s="99" t="s">
        <v>30</v>
      </c>
      <c r="L95" s="99" t="s">
        <v>30</v>
      </c>
      <c r="M95" s="99" t="s">
        <v>30</v>
      </c>
      <c r="N95" s="99" t="s">
        <v>30</v>
      </c>
      <c r="O95" s="99" t="s">
        <v>30</v>
      </c>
      <c r="P95" s="99" t="s">
        <v>30</v>
      </c>
      <c r="Q95" s="99" t="s">
        <v>30</v>
      </c>
      <c r="R95" s="99" t="s">
        <v>30</v>
      </c>
      <c r="S95" s="99" t="s">
        <v>30</v>
      </c>
      <c r="T95" s="99" t="s">
        <v>30</v>
      </c>
      <c r="U95" s="99" t="s">
        <v>30</v>
      </c>
      <c r="V95" s="99" t="s">
        <v>30</v>
      </c>
      <c r="W95" s="99" t="s">
        <v>30</v>
      </c>
      <c r="X95" s="99" t="s">
        <v>30</v>
      </c>
      <c r="Y95" s="145">
        <v>83</v>
      </c>
    </row>
    <row r="96" spans="2:25" ht="12.95" customHeight="1" x14ac:dyDescent="0.25">
      <c r="B96" s="293"/>
      <c r="C96" s="299" t="str">
        <f>VLOOKUP(86,Textbausteine_401[],Hilfsgrössen!$D$2,FALSE)</f>
        <v>Unsere Post</v>
      </c>
      <c r="D96" s="1" t="str">
        <f>VLOOKUP(14,Textbausteine_401[],Hilfsgrössen!$D$2,FALSE)</f>
        <v>Index</v>
      </c>
      <c r="E96" s="294">
        <v>1</v>
      </c>
      <c r="F96" s="9">
        <v>401</v>
      </c>
      <c r="H96" s="99" t="s">
        <v>30</v>
      </c>
      <c r="I96" s="99" t="s">
        <v>30</v>
      </c>
      <c r="J96" s="99" t="s">
        <v>30</v>
      </c>
      <c r="K96" s="99" t="s">
        <v>30</v>
      </c>
      <c r="L96" s="99" t="s">
        <v>30</v>
      </c>
      <c r="M96" s="99" t="s">
        <v>30</v>
      </c>
      <c r="N96" s="99" t="s">
        <v>30</v>
      </c>
      <c r="O96" s="99" t="s">
        <v>30</v>
      </c>
      <c r="P96" s="99" t="s">
        <v>30</v>
      </c>
      <c r="Q96" s="99" t="s">
        <v>30</v>
      </c>
      <c r="R96" s="99" t="s">
        <v>30</v>
      </c>
      <c r="S96" s="99" t="s">
        <v>30</v>
      </c>
      <c r="T96" s="99" t="s">
        <v>30</v>
      </c>
      <c r="U96" s="99" t="s">
        <v>30</v>
      </c>
      <c r="V96" s="99" t="s">
        <v>30</v>
      </c>
      <c r="W96" s="99" t="s">
        <v>30</v>
      </c>
      <c r="X96" s="99" t="s">
        <v>30</v>
      </c>
      <c r="Y96" s="145">
        <v>83</v>
      </c>
    </row>
    <row r="97" spans="2:25" ht="12.95" customHeight="1" x14ac:dyDescent="0.25">
      <c r="B97" s="293"/>
      <c r="C97" s="299" t="str">
        <f>VLOOKUP(87,Textbausteine_401[],Hilfsgrössen!$D$2,FALSE)</f>
        <v>Mein Engagement</v>
      </c>
      <c r="D97" s="1" t="str">
        <f>VLOOKUP(14,Textbausteine_401[],Hilfsgrössen!$D$2,FALSE)</f>
        <v>Index</v>
      </c>
      <c r="E97" s="294">
        <v>1</v>
      </c>
      <c r="F97" s="9">
        <v>401</v>
      </c>
      <c r="H97" s="99" t="s">
        <v>30</v>
      </c>
      <c r="I97" s="99" t="s">
        <v>30</v>
      </c>
      <c r="J97" s="99" t="s">
        <v>30</v>
      </c>
      <c r="K97" s="99" t="s">
        <v>30</v>
      </c>
      <c r="L97" s="99" t="s">
        <v>30</v>
      </c>
      <c r="M97" s="99" t="s">
        <v>30</v>
      </c>
      <c r="N97" s="99" t="s">
        <v>30</v>
      </c>
      <c r="O97" s="99" t="s">
        <v>30</v>
      </c>
      <c r="P97" s="99" t="s">
        <v>30</v>
      </c>
      <c r="Q97" s="99" t="s">
        <v>30</v>
      </c>
      <c r="R97" s="99" t="s">
        <v>30</v>
      </c>
      <c r="S97" s="99" t="s">
        <v>30</v>
      </c>
      <c r="T97" s="99" t="s">
        <v>30</v>
      </c>
      <c r="U97" s="99" t="s">
        <v>30</v>
      </c>
      <c r="V97" s="99" t="s">
        <v>30</v>
      </c>
      <c r="W97" s="99" t="s">
        <v>30</v>
      </c>
      <c r="X97" s="99" t="s">
        <v>30</v>
      </c>
      <c r="Y97" s="145">
        <v>80</v>
      </c>
    </row>
    <row r="98" spans="2:25" ht="12.95" customHeight="1" x14ac:dyDescent="0.2">
      <c r="B98" s="292"/>
      <c r="C98" s="299"/>
      <c r="E98" s="307"/>
      <c r="G98" s="35"/>
      <c r="H98" s="99"/>
      <c r="I98" s="99"/>
      <c r="J98" s="99"/>
      <c r="K98" s="99"/>
      <c r="L98" s="99"/>
      <c r="M98" s="99"/>
      <c r="T98" s="9"/>
      <c r="U98" s="9"/>
      <c r="V98" s="9"/>
      <c r="W98" s="9"/>
      <c r="X98" s="9"/>
      <c r="Y98" s="145"/>
    </row>
    <row r="99" spans="2:25" ht="12.95" customHeight="1" x14ac:dyDescent="0.2">
      <c r="B99" s="292"/>
      <c r="C99" s="298" t="str">
        <f>VLOOKUP(47,Textbausteine_Menu[],Hilfsgrössen!$D$2,FALSE)</f>
        <v>PostNetz</v>
      </c>
      <c r="D99" s="130"/>
      <c r="E99" s="307"/>
      <c r="H99" s="99"/>
      <c r="I99" s="99"/>
      <c r="J99" s="99"/>
      <c r="K99" s="99"/>
      <c r="L99" s="99"/>
      <c r="M99" s="99"/>
      <c r="T99" s="9"/>
      <c r="U99" s="9"/>
      <c r="V99" s="9"/>
      <c r="W99" s="9"/>
      <c r="X99" s="9"/>
      <c r="Y99" s="145"/>
    </row>
    <row r="100" spans="2:25" ht="12.95" customHeight="1" x14ac:dyDescent="0.2">
      <c r="B100" s="292"/>
      <c r="C100" s="299" t="str">
        <f>VLOOKUP(82,Textbausteine_401[],Hilfsgrössen!$D$2,FALSE)</f>
        <v>Meine Arbeit</v>
      </c>
      <c r="D100" s="1" t="str">
        <f>VLOOKUP(14,Textbausteine_401[],Hilfsgrössen!$D$2,FALSE)</f>
        <v>Index</v>
      </c>
      <c r="E100" s="307">
        <v>1</v>
      </c>
      <c r="F100" s="9">
        <v>401</v>
      </c>
      <c r="H100" s="99" t="s">
        <v>30</v>
      </c>
      <c r="I100" s="99" t="s">
        <v>30</v>
      </c>
      <c r="J100" s="99" t="s">
        <v>30</v>
      </c>
      <c r="K100" s="99" t="s">
        <v>30</v>
      </c>
      <c r="L100" s="99" t="s">
        <v>30</v>
      </c>
      <c r="M100" s="99" t="s">
        <v>30</v>
      </c>
      <c r="N100" s="99" t="s">
        <v>30</v>
      </c>
      <c r="O100" s="99" t="s">
        <v>30</v>
      </c>
      <c r="P100" s="99" t="s">
        <v>30</v>
      </c>
      <c r="Q100" s="99" t="s">
        <v>30</v>
      </c>
      <c r="R100" s="99" t="s">
        <v>30</v>
      </c>
      <c r="S100" s="99" t="s">
        <v>30</v>
      </c>
      <c r="T100" s="99" t="s">
        <v>30</v>
      </c>
      <c r="U100" s="99" t="s">
        <v>30</v>
      </c>
      <c r="V100" s="99" t="s">
        <v>30</v>
      </c>
      <c r="W100" s="99" t="s">
        <v>30</v>
      </c>
      <c r="X100" s="99" t="s">
        <v>30</v>
      </c>
      <c r="Y100" s="145">
        <v>73</v>
      </c>
    </row>
    <row r="101" spans="2:25" ht="12.95" customHeight="1" x14ac:dyDescent="0.2">
      <c r="B101" s="292"/>
      <c r="C101" s="300" t="str">
        <f>VLOOKUP(83,Textbausteine_401[],Hilfsgrössen!$D$2,FALSE)</f>
        <v>Mein Team</v>
      </c>
      <c r="D101" s="130" t="str">
        <f>VLOOKUP(14,Textbausteine_401[],Hilfsgrössen!$D$2,FALSE)</f>
        <v>Index</v>
      </c>
      <c r="E101" s="294">
        <v>1</v>
      </c>
      <c r="F101" s="9">
        <v>401</v>
      </c>
      <c r="H101" s="99" t="s">
        <v>30</v>
      </c>
      <c r="I101" s="99" t="s">
        <v>30</v>
      </c>
      <c r="J101" s="99" t="s">
        <v>30</v>
      </c>
      <c r="K101" s="99" t="s">
        <v>30</v>
      </c>
      <c r="L101" s="99" t="s">
        <v>30</v>
      </c>
      <c r="M101" s="99" t="s">
        <v>30</v>
      </c>
      <c r="N101" s="99" t="s">
        <v>30</v>
      </c>
      <c r="O101" s="99" t="s">
        <v>30</v>
      </c>
      <c r="P101" s="99" t="s">
        <v>30</v>
      </c>
      <c r="Q101" s="99" t="s">
        <v>30</v>
      </c>
      <c r="R101" s="99" t="s">
        <v>30</v>
      </c>
      <c r="S101" s="99" t="s">
        <v>30</v>
      </c>
      <c r="T101" s="99" t="s">
        <v>30</v>
      </c>
      <c r="U101" s="99" t="s">
        <v>30</v>
      </c>
      <c r="V101" s="99" t="s">
        <v>30</v>
      </c>
      <c r="W101" s="99" t="s">
        <v>30</v>
      </c>
      <c r="X101" s="99" t="s">
        <v>30</v>
      </c>
      <c r="Y101" s="145">
        <v>80</v>
      </c>
    </row>
    <row r="102" spans="2:25" ht="12.95" customHeight="1" x14ac:dyDescent="0.2">
      <c r="B102" s="292"/>
      <c r="C102" s="299" t="str">
        <f>VLOOKUP(84,Textbausteine_401[],Hilfsgrössen!$D$2,FALSE)</f>
        <v>Meine direkte Führung</v>
      </c>
      <c r="D102" s="1" t="str">
        <f>VLOOKUP(14,Textbausteine_401[],Hilfsgrössen!$D$2,FALSE)</f>
        <v>Index</v>
      </c>
      <c r="E102" s="294">
        <v>1</v>
      </c>
      <c r="F102" s="9">
        <v>401</v>
      </c>
      <c r="H102" s="99" t="s">
        <v>30</v>
      </c>
      <c r="I102" s="99" t="s">
        <v>30</v>
      </c>
      <c r="J102" s="99" t="s">
        <v>30</v>
      </c>
      <c r="K102" s="99" t="s">
        <v>30</v>
      </c>
      <c r="L102" s="99" t="s">
        <v>30</v>
      </c>
      <c r="M102" s="99" t="s">
        <v>30</v>
      </c>
      <c r="N102" s="99" t="s">
        <v>30</v>
      </c>
      <c r="O102" s="99" t="s">
        <v>30</v>
      </c>
      <c r="P102" s="99" t="s">
        <v>30</v>
      </c>
      <c r="Q102" s="99" t="s">
        <v>30</v>
      </c>
      <c r="R102" s="99" t="s">
        <v>30</v>
      </c>
      <c r="S102" s="99" t="s">
        <v>30</v>
      </c>
      <c r="T102" s="99" t="s">
        <v>30</v>
      </c>
      <c r="U102" s="99" t="s">
        <v>30</v>
      </c>
      <c r="V102" s="99" t="s">
        <v>30</v>
      </c>
      <c r="W102" s="99" t="s">
        <v>30</v>
      </c>
      <c r="X102" s="99" t="s">
        <v>30</v>
      </c>
      <c r="Y102" s="145">
        <v>82</v>
      </c>
    </row>
    <row r="103" spans="2:25" ht="12.95" customHeight="1" x14ac:dyDescent="0.25">
      <c r="B103" s="293"/>
      <c r="C103" s="299" t="str">
        <f>VLOOKUP(85,Textbausteine_401[],Hilfsgrössen!$D$2,FALSE)</f>
        <v>Unsere Unternehmenskultur</v>
      </c>
      <c r="D103" s="1" t="str">
        <f>VLOOKUP(14,Textbausteine_401[],Hilfsgrössen!$D$2,FALSE)</f>
        <v>Index</v>
      </c>
      <c r="E103" s="294">
        <v>1</v>
      </c>
      <c r="F103" s="9">
        <v>401</v>
      </c>
      <c r="H103" s="99" t="s">
        <v>30</v>
      </c>
      <c r="I103" s="99" t="s">
        <v>30</v>
      </c>
      <c r="J103" s="99" t="s">
        <v>30</v>
      </c>
      <c r="K103" s="99" t="s">
        <v>30</v>
      </c>
      <c r="L103" s="99" t="s">
        <v>30</v>
      </c>
      <c r="M103" s="99" t="s">
        <v>30</v>
      </c>
      <c r="N103" s="99" t="s">
        <v>30</v>
      </c>
      <c r="O103" s="99" t="s">
        <v>30</v>
      </c>
      <c r="P103" s="99" t="s">
        <v>30</v>
      </c>
      <c r="Q103" s="99" t="s">
        <v>30</v>
      </c>
      <c r="R103" s="99" t="s">
        <v>30</v>
      </c>
      <c r="S103" s="99" t="s">
        <v>30</v>
      </c>
      <c r="T103" s="99" t="s">
        <v>30</v>
      </c>
      <c r="U103" s="99" t="s">
        <v>30</v>
      </c>
      <c r="V103" s="99" t="s">
        <v>30</v>
      </c>
      <c r="W103" s="99" t="s">
        <v>30</v>
      </c>
      <c r="X103" s="99" t="s">
        <v>30</v>
      </c>
      <c r="Y103" s="145">
        <v>75</v>
      </c>
    </row>
    <row r="104" spans="2:25" ht="12.95" customHeight="1" x14ac:dyDescent="0.25">
      <c r="B104" s="293"/>
      <c r="C104" s="299" t="str">
        <f>VLOOKUP(86,Textbausteine_401[],Hilfsgrössen!$D$2,FALSE)</f>
        <v>Unsere Post</v>
      </c>
      <c r="D104" s="1" t="str">
        <f>VLOOKUP(14,Textbausteine_401[],Hilfsgrössen!$D$2,FALSE)</f>
        <v>Index</v>
      </c>
      <c r="E104" s="294">
        <v>1</v>
      </c>
      <c r="F104" s="9">
        <v>401</v>
      </c>
      <c r="H104" s="99" t="s">
        <v>30</v>
      </c>
      <c r="I104" s="99" t="s">
        <v>30</v>
      </c>
      <c r="J104" s="99" t="s">
        <v>30</v>
      </c>
      <c r="K104" s="99" t="s">
        <v>30</v>
      </c>
      <c r="L104" s="99" t="s">
        <v>30</v>
      </c>
      <c r="M104" s="99" t="s">
        <v>30</v>
      </c>
      <c r="N104" s="99" t="s">
        <v>30</v>
      </c>
      <c r="O104" s="99" t="s">
        <v>30</v>
      </c>
      <c r="P104" s="99" t="s">
        <v>30</v>
      </c>
      <c r="Q104" s="99" t="s">
        <v>30</v>
      </c>
      <c r="R104" s="99" t="s">
        <v>30</v>
      </c>
      <c r="S104" s="99" t="s">
        <v>30</v>
      </c>
      <c r="T104" s="99" t="s">
        <v>30</v>
      </c>
      <c r="U104" s="99" t="s">
        <v>30</v>
      </c>
      <c r="V104" s="99" t="s">
        <v>30</v>
      </c>
      <c r="W104" s="99" t="s">
        <v>30</v>
      </c>
      <c r="X104" s="99" t="s">
        <v>30</v>
      </c>
      <c r="Y104" s="145">
        <v>73</v>
      </c>
    </row>
    <row r="105" spans="2:25" ht="12.95" customHeight="1" x14ac:dyDescent="0.25">
      <c r="B105" s="293"/>
      <c r="C105" s="299" t="str">
        <f>VLOOKUP(87,Textbausteine_401[],Hilfsgrössen!$D$2,FALSE)</f>
        <v>Mein Engagement</v>
      </c>
      <c r="D105" s="1" t="str">
        <f>VLOOKUP(14,Textbausteine_401[],Hilfsgrössen!$D$2,FALSE)</f>
        <v>Index</v>
      </c>
      <c r="E105" s="294">
        <v>1</v>
      </c>
      <c r="F105" s="9">
        <v>401</v>
      </c>
      <c r="H105" s="99" t="s">
        <v>30</v>
      </c>
      <c r="I105" s="99" t="s">
        <v>30</v>
      </c>
      <c r="J105" s="99" t="s">
        <v>30</v>
      </c>
      <c r="K105" s="99" t="s">
        <v>30</v>
      </c>
      <c r="L105" s="99" t="s">
        <v>30</v>
      </c>
      <c r="M105" s="99" t="s">
        <v>30</v>
      </c>
      <c r="N105" s="99" t="s">
        <v>30</v>
      </c>
      <c r="O105" s="99" t="s">
        <v>30</v>
      </c>
      <c r="P105" s="99" t="s">
        <v>30</v>
      </c>
      <c r="Q105" s="99" t="s">
        <v>30</v>
      </c>
      <c r="R105" s="99" t="s">
        <v>30</v>
      </c>
      <c r="S105" s="99" t="s">
        <v>30</v>
      </c>
      <c r="T105" s="99" t="s">
        <v>30</v>
      </c>
      <c r="U105" s="99" t="s">
        <v>30</v>
      </c>
      <c r="V105" s="99" t="s">
        <v>30</v>
      </c>
      <c r="W105" s="99" t="s">
        <v>30</v>
      </c>
      <c r="X105" s="99" t="s">
        <v>30</v>
      </c>
      <c r="Y105" s="145">
        <v>72</v>
      </c>
    </row>
    <row r="106" spans="2:25" ht="12.95" customHeight="1" x14ac:dyDescent="0.2">
      <c r="B106" s="292"/>
      <c r="C106" s="299"/>
      <c r="E106" s="272"/>
      <c r="G106" s="35"/>
      <c r="H106" s="99"/>
      <c r="I106" s="99"/>
      <c r="J106" s="99"/>
      <c r="K106" s="99"/>
      <c r="L106" s="99"/>
      <c r="M106" s="99"/>
      <c r="T106" s="9"/>
      <c r="U106" s="9"/>
      <c r="V106" s="9"/>
      <c r="W106" s="9"/>
      <c r="X106" s="9"/>
      <c r="Y106" s="145"/>
    </row>
    <row r="107" spans="2:25" ht="12.95" customHeight="1" x14ac:dyDescent="0.2">
      <c r="B107" s="292"/>
      <c r="C107" s="298" t="str">
        <f>VLOOKUP(49,Textbausteine_Menu[],Hilfsgrössen!$D$2,FALSE)</f>
        <v>PostFinance</v>
      </c>
      <c r="D107" s="130"/>
      <c r="E107" s="307"/>
      <c r="H107" s="99"/>
      <c r="I107" s="99"/>
      <c r="J107" s="99"/>
      <c r="K107" s="99"/>
      <c r="L107" s="99"/>
      <c r="M107" s="99"/>
      <c r="T107" s="9"/>
      <c r="U107" s="9"/>
      <c r="V107" s="9"/>
      <c r="W107" s="9"/>
      <c r="X107" s="9"/>
      <c r="Y107" s="145"/>
    </row>
    <row r="108" spans="2:25" ht="12.95" customHeight="1" x14ac:dyDescent="0.2">
      <c r="B108" s="292"/>
      <c r="C108" s="299" t="str">
        <f>VLOOKUP(82,Textbausteine_401[],Hilfsgrössen!$D$2,FALSE)</f>
        <v>Meine Arbeit</v>
      </c>
      <c r="D108" s="1" t="str">
        <f>VLOOKUP(14,Textbausteine_401[],Hilfsgrössen!$D$2,FALSE)</f>
        <v>Index</v>
      </c>
      <c r="E108" s="307">
        <v>1</v>
      </c>
      <c r="F108" s="9">
        <v>401</v>
      </c>
      <c r="H108" s="99" t="s">
        <v>30</v>
      </c>
      <c r="I108" s="99" t="s">
        <v>30</v>
      </c>
      <c r="J108" s="99" t="s">
        <v>30</v>
      </c>
      <c r="K108" s="99" t="s">
        <v>30</v>
      </c>
      <c r="L108" s="99" t="s">
        <v>30</v>
      </c>
      <c r="M108" s="99" t="s">
        <v>30</v>
      </c>
      <c r="N108" s="99" t="s">
        <v>30</v>
      </c>
      <c r="O108" s="99" t="s">
        <v>30</v>
      </c>
      <c r="P108" s="99" t="s">
        <v>30</v>
      </c>
      <c r="Q108" s="99" t="s">
        <v>30</v>
      </c>
      <c r="R108" s="99" t="s">
        <v>30</v>
      </c>
      <c r="S108" s="99" t="s">
        <v>30</v>
      </c>
      <c r="T108" s="99" t="s">
        <v>30</v>
      </c>
      <c r="U108" s="99" t="s">
        <v>30</v>
      </c>
      <c r="V108" s="99" t="s">
        <v>30</v>
      </c>
      <c r="W108" s="99" t="s">
        <v>30</v>
      </c>
      <c r="X108" s="99" t="s">
        <v>30</v>
      </c>
      <c r="Y108" s="145">
        <v>77</v>
      </c>
    </row>
    <row r="109" spans="2:25" ht="12.95" customHeight="1" x14ac:dyDescent="0.2">
      <c r="B109" s="292"/>
      <c r="C109" s="300" t="str">
        <f>VLOOKUP(83,Textbausteine_401[],Hilfsgrössen!$D$2,FALSE)</f>
        <v>Mein Team</v>
      </c>
      <c r="D109" s="130" t="str">
        <f>VLOOKUP(14,Textbausteine_401[],Hilfsgrössen!$D$2,FALSE)</f>
        <v>Index</v>
      </c>
      <c r="E109" s="294">
        <v>1</v>
      </c>
      <c r="F109" s="9">
        <v>401</v>
      </c>
      <c r="H109" s="99" t="s">
        <v>30</v>
      </c>
      <c r="I109" s="99" t="s">
        <v>30</v>
      </c>
      <c r="J109" s="99" t="s">
        <v>30</v>
      </c>
      <c r="K109" s="99" t="s">
        <v>30</v>
      </c>
      <c r="L109" s="99" t="s">
        <v>30</v>
      </c>
      <c r="M109" s="99" t="s">
        <v>30</v>
      </c>
      <c r="N109" s="99" t="s">
        <v>30</v>
      </c>
      <c r="O109" s="99" t="s">
        <v>30</v>
      </c>
      <c r="P109" s="99" t="s">
        <v>30</v>
      </c>
      <c r="Q109" s="99" t="s">
        <v>30</v>
      </c>
      <c r="R109" s="99" t="s">
        <v>30</v>
      </c>
      <c r="S109" s="99" t="s">
        <v>30</v>
      </c>
      <c r="T109" s="99" t="s">
        <v>30</v>
      </c>
      <c r="U109" s="99" t="s">
        <v>30</v>
      </c>
      <c r="V109" s="99" t="s">
        <v>30</v>
      </c>
      <c r="W109" s="99" t="s">
        <v>30</v>
      </c>
      <c r="X109" s="99" t="s">
        <v>30</v>
      </c>
      <c r="Y109" s="145">
        <v>82</v>
      </c>
    </row>
    <row r="110" spans="2:25" ht="12.95" customHeight="1" x14ac:dyDescent="0.2">
      <c r="B110" s="292"/>
      <c r="C110" s="299" t="str">
        <f>VLOOKUP(84,Textbausteine_401[],Hilfsgrössen!$D$2,FALSE)</f>
        <v>Meine direkte Führung</v>
      </c>
      <c r="D110" s="1" t="str">
        <f>VLOOKUP(14,Textbausteine_401[],Hilfsgrössen!$D$2,FALSE)</f>
        <v>Index</v>
      </c>
      <c r="E110" s="294">
        <v>1</v>
      </c>
      <c r="F110" s="9">
        <v>401</v>
      </c>
      <c r="H110" s="99" t="s">
        <v>30</v>
      </c>
      <c r="I110" s="99" t="s">
        <v>30</v>
      </c>
      <c r="J110" s="99" t="s">
        <v>30</v>
      </c>
      <c r="K110" s="99" t="s">
        <v>30</v>
      </c>
      <c r="L110" s="99" t="s">
        <v>30</v>
      </c>
      <c r="M110" s="99" t="s">
        <v>30</v>
      </c>
      <c r="N110" s="99" t="s">
        <v>30</v>
      </c>
      <c r="O110" s="99" t="s">
        <v>30</v>
      </c>
      <c r="P110" s="99" t="s">
        <v>30</v>
      </c>
      <c r="Q110" s="99" t="s">
        <v>30</v>
      </c>
      <c r="R110" s="99" t="s">
        <v>30</v>
      </c>
      <c r="S110" s="99" t="s">
        <v>30</v>
      </c>
      <c r="T110" s="99" t="s">
        <v>30</v>
      </c>
      <c r="U110" s="99" t="s">
        <v>30</v>
      </c>
      <c r="V110" s="99" t="s">
        <v>30</v>
      </c>
      <c r="W110" s="99" t="s">
        <v>30</v>
      </c>
      <c r="X110" s="99" t="s">
        <v>30</v>
      </c>
      <c r="Y110" s="145">
        <v>87</v>
      </c>
    </row>
    <row r="111" spans="2:25" ht="12.95" customHeight="1" x14ac:dyDescent="0.25">
      <c r="B111" s="293"/>
      <c r="C111" s="299" t="str">
        <f>VLOOKUP(85,Textbausteine_401[],Hilfsgrössen!$D$2,FALSE)</f>
        <v>Unsere Unternehmenskultur</v>
      </c>
      <c r="D111" s="1" t="str">
        <f>VLOOKUP(14,Textbausteine_401[],Hilfsgrössen!$D$2,FALSE)</f>
        <v>Index</v>
      </c>
      <c r="E111" s="294">
        <v>1</v>
      </c>
      <c r="F111" s="9">
        <v>401</v>
      </c>
      <c r="H111" s="99" t="s">
        <v>30</v>
      </c>
      <c r="I111" s="99" t="s">
        <v>30</v>
      </c>
      <c r="J111" s="99" t="s">
        <v>30</v>
      </c>
      <c r="K111" s="99" t="s">
        <v>30</v>
      </c>
      <c r="L111" s="99" t="s">
        <v>30</v>
      </c>
      <c r="M111" s="99" t="s">
        <v>30</v>
      </c>
      <c r="N111" s="99" t="s">
        <v>30</v>
      </c>
      <c r="O111" s="99" t="s">
        <v>30</v>
      </c>
      <c r="P111" s="99" t="s">
        <v>30</v>
      </c>
      <c r="Q111" s="99" t="s">
        <v>30</v>
      </c>
      <c r="R111" s="99" t="s">
        <v>30</v>
      </c>
      <c r="S111" s="99" t="s">
        <v>30</v>
      </c>
      <c r="T111" s="99" t="s">
        <v>30</v>
      </c>
      <c r="U111" s="99" t="s">
        <v>30</v>
      </c>
      <c r="V111" s="99" t="s">
        <v>30</v>
      </c>
      <c r="W111" s="99" t="s">
        <v>30</v>
      </c>
      <c r="X111" s="99" t="s">
        <v>30</v>
      </c>
      <c r="Y111" s="145">
        <v>73</v>
      </c>
    </row>
    <row r="112" spans="2:25" ht="12.95" customHeight="1" x14ac:dyDescent="0.25">
      <c r="B112" s="293"/>
      <c r="C112" s="299" t="str">
        <f>VLOOKUP(86,Textbausteine_401[],Hilfsgrössen!$D$2,FALSE)</f>
        <v>Unsere Post</v>
      </c>
      <c r="D112" s="1" t="str">
        <f>VLOOKUP(14,Textbausteine_401[],Hilfsgrössen!$D$2,FALSE)</f>
        <v>Index</v>
      </c>
      <c r="E112" s="294">
        <v>1</v>
      </c>
      <c r="F112" s="9">
        <v>401</v>
      </c>
      <c r="H112" s="99" t="s">
        <v>30</v>
      </c>
      <c r="I112" s="99" t="s">
        <v>30</v>
      </c>
      <c r="J112" s="99" t="s">
        <v>30</v>
      </c>
      <c r="K112" s="99" t="s">
        <v>30</v>
      </c>
      <c r="L112" s="99" t="s">
        <v>30</v>
      </c>
      <c r="M112" s="99" t="s">
        <v>30</v>
      </c>
      <c r="N112" s="99" t="s">
        <v>30</v>
      </c>
      <c r="O112" s="99" t="s">
        <v>30</v>
      </c>
      <c r="P112" s="99" t="s">
        <v>30</v>
      </c>
      <c r="Q112" s="99" t="s">
        <v>30</v>
      </c>
      <c r="R112" s="99" t="s">
        <v>30</v>
      </c>
      <c r="S112" s="99" t="s">
        <v>30</v>
      </c>
      <c r="T112" s="99" t="s">
        <v>30</v>
      </c>
      <c r="U112" s="99" t="s">
        <v>30</v>
      </c>
      <c r="V112" s="99" t="s">
        <v>30</v>
      </c>
      <c r="W112" s="99" t="s">
        <v>30</v>
      </c>
      <c r="X112" s="99" t="s">
        <v>30</v>
      </c>
      <c r="Y112" s="145">
        <v>75</v>
      </c>
    </row>
    <row r="113" spans="1:25" ht="12.95" customHeight="1" x14ac:dyDescent="0.25">
      <c r="B113" s="293"/>
      <c r="C113" s="299" t="str">
        <f>VLOOKUP(87,Textbausteine_401[],Hilfsgrössen!$D$2,FALSE)</f>
        <v>Mein Engagement</v>
      </c>
      <c r="D113" s="1" t="str">
        <f>VLOOKUP(14,Textbausteine_401[],Hilfsgrössen!$D$2,FALSE)</f>
        <v>Index</v>
      </c>
      <c r="E113" s="294">
        <v>1</v>
      </c>
      <c r="F113" s="9">
        <v>401</v>
      </c>
      <c r="H113" s="99" t="s">
        <v>30</v>
      </c>
      <c r="I113" s="99" t="s">
        <v>30</v>
      </c>
      <c r="J113" s="99" t="s">
        <v>30</v>
      </c>
      <c r="K113" s="99" t="s">
        <v>30</v>
      </c>
      <c r="L113" s="99" t="s">
        <v>30</v>
      </c>
      <c r="M113" s="99" t="s">
        <v>30</v>
      </c>
      <c r="N113" s="99" t="s">
        <v>30</v>
      </c>
      <c r="O113" s="99" t="s">
        <v>30</v>
      </c>
      <c r="P113" s="99" t="s">
        <v>30</v>
      </c>
      <c r="Q113" s="99" t="s">
        <v>30</v>
      </c>
      <c r="R113" s="99" t="s">
        <v>30</v>
      </c>
      <c r="S113" s="99" t="s">
        <v>30</v>
      </c>
      <c r="T113" s="99" t="s">
        <v>30</v>
      </c>
      <c r="U113" s="99" t="s">
        <v>30</v>
      </c>
      <c r="V113" s="99" t="s">
        <v>30</v>
      </c>
      <c r="W113" s="99" t="s">
        <v>30</v>
      </c>
      <c r="X113" s="99" t="s">
        <v>30</v>
      </c>
      <c r="Y113" s="145">
        <v>79</v>
      </c>
    </row>
    <row r="114" spans="1:25" ht="12.95" customHeight="1" x14ac:dyDescent="0.2">
      <c r="B114" s="292"/>
      <c r="C114" s="299"/>
      <c r="E114" s="272"/>
      <c r="G114" s="35"/>
      <c r="H114" s="99"/>
      <c r="I114" s="99"/>
      <c r="J114" s="99"/>
      <c r="K114" s="99"/>
      <c r="L114" s="99"/>
      <c r="M114" s="99"/>
      <c r="T114" s="9"/>
      <c r="U114" s="9"/>
      <c r="V114" s="9"/>
      <c r="W114" s="9"/>
      <c r="X114" s="9"/>
      <c r="Y114" s="145"/>
    </row>
    <row r="115" spans="1:25" ht="12.95" customHeight="1" x14ac:dyDescent="0.2">
      <c r="B115" s="292"/>
      <c r="C115" s="298" t="str">
        <f>VLOOKUP(55,Textbausteine_Menu[],Hilfsgrössen!$D$2,FALSE)</f>
        <v>Mobilitäts-Services</v>
      </c>
      <c r="D115" s="130"/>
      <c r="E115" s="307"/>
      <c r="H115" s="99"/>
      <c r="I115" s="99"/>
      <c r="J115" s="99"/>
      <c r="K115" s="99"/>
      <c r="L115" s="99"/>
      <c r="M115" s="99"/>
      <c r="T115" s="9"/>
      <c r="U115" s="9"/>
      <c r="V115" s="9"/>
      <c r="W115" s="9"/>
      <c r="X115" s="9"/>
      <c r="Y115" s="145"/>
    </row>
    <row r="116" spans="1:25" ht="12.95" customHeight="1" x14ac:dyDescent="0.2">
      <c r="B116" s="292"/>
      <c r="C116" s="299" t="str">
        <f>VLOOKUP(82,Textbausteine_401[],Hilfsgrössen!$D$2,FALSE)</f>
        <v>Meine Arbeit</v>
      </c>
      <c r="D116" s="1" t="str">
        <f>VLOOKUP(14,Textbausteine_401[],Hilfsgrössen!$D$2,FALSE)</f>
        <v>Index</v>
      </c>
      <c r="E116" s="307">
        <v>1</v>
      </c>
      <c r="F116" s="9">
        <v>401</v>
      </c>
      <c r="H116" s="99" t="s">
        <v>30</v>
      </c>
      <c r="I116" s="99" t="s">
        <v>30</v>
      </c>
      <c r="J116" s="99" t="s">
        <v>30</v>
      </c>
      <c r="K116" s="99" t="s">
        <v>30</v>
      </c>
      <c r="L116" s="99" t="s">
        <v>30</v>
      </c>
      <c r="M116" s="99" t="s">
        <v>30</v>
      </c>
      <c r="N116" s="99" t="s">
        <v>30</v>
      </c>
      <c r="O116" s="99" t="s">
        <v>30</v>
      </c>
      <c r="P116" s="99" t="s">
        <v>30</v>
      </c>
      <c r="Q116" s="99" t="s">
        <v>30</v>
      </c>
      <c r="R116" s="99" t="s">
        <v>30</v>
      </c>
      <c r="S116" s="99" t="s">
        <v>30</v>
      </c>
      <c r="T116" s="99" t="s">
        <v>30</v>
      </c>
      <c r="U116" s="99" t="s">
        <v>30</v>
      </c>
      <c r="V116" s="99" t="s">
        <v>30</v>
      </c>
      <c r="W116" s="99" t="s">
        <v>30</v>
      </c>
      <c r="X116" s="99" t="s">
        <v>30</v>
      </c>
      <c r="Y116" s="145">
        <v>76</v>
      </c>
    </row>
    <row r="117" spans="1:25" ht="12.95" customHeight="1" x14ac:dyDescent="0.2">
      <c r="B117" s="292"/>
      <c r="C117" s="300" t="str">
        <f>VLOOKUP(83,Textbausteine_401[],Hilfsgrössen!$D$2,FALSE)</f>
        <v>Mein Team</v>
      </c>
      <c r="D117" s="130" t="str">
        <f>VLOOKUP(14,Textbausteine_401[],Hilfsgrössen!$D$2,FALSE)</f>
        <v>Index</v>
      </c>
      <c r="E117" s="294">
        <v>1</v>
      </c>
      <c r="F117" s="9">
        <v>401</v>
      </c>
      <c r="H117" s="99" t="s">
        <v>30</v>
      </c>
      <c r="I117" s="99" t="s">
        <v>30</v>
      </c>
      <c r="J117" s="99" t="s">
        <v>30</v>
      </c>
      <c r="K117" s="99" t="s">
        <v>30</v>
      </c>
      <c r="L117" s="99" t="s">
        <v>30</v>
      </c>
      <c r="M117" s="99" t="s">
        <v>30</v>
      </c>
      <c r="N117" s="99" t="s">
        <v>30</v>
      </c>
      <c r="O117" s="99" t="s">
        <v>30</v>
      </c>
      <c r="P117" s="99" t="s">
        <v>30</v>
      </c>
      <c r="Q117" s="99" t="s">
        <v>30</v>
      </c>
      <c r="R117" s="99" t="s">
        <v>30</v>
      </c>
      <c r="S117" s="99" t="s">
        <v>30</v>
      </c>
      <c r="T117" s="99" t="s">
        <v>30</v>
      </c>
      <c r="U117" s="99" t="s">
        <v>30</v>
      </c>
      <c r="V117" s="99" t="s">
        <v>30</v>
      </c>
      <c r="W117" s="99" t="s">
        <v>30</v>
      </c>
      <c r="X117" s="99" t="s">
        <v>30</v>
      </c>
      <c r="Y117" s="145">
        <v>78</v>
      </c>
    </row>
    <row r="118" spans="1:25" ht="12.95" customHeight="1" x14ac:dyDescent="0.2">
      <c r="B118" s="292"/>
      <c r="C118" s="299" t="str">
        <f>VLOOKUP(84,Textbausteine_401[],Hilfsgrössen!$D$2,FALSE)</f>
        <v>Meine direkte Führung</v>
      </c>
      <c r="D118" s="1" t="str">
        <f>VLOOKUP(14,Textbausteine_401[],Hilfsgrössen!$D$2,FALSE)</f>
        <v>Index</v>
      </c>
      <c r="E118" s="294">
        <v>1</v>
      </c>
      <c r="F118" s="9">
        <v>401</v>
      </c>
      <c r="H118" s="99" t="s">
        <v>30</v>
      </c>
      <c r="I118" s="99" t="s">
        <v>30</v>
      </c>
      <c r="J118" s="99" t="s">
        <v>30</v>
      </c>
      <c r="K118" s="99" t="s">
        <v>30</v>
      </c>
      <c r="L118" s="99" t="s">
        <v>30</v>
      </c>
      <c r="M118" s="99" t="s">
        <v>30</v>
      </c>
      <c r="N118" s="99" t="s">
        <v>30</v>
      </c>
      <c r="O118" s="99" t="s">
        <v>30</v>
      </c>
      <c r="P118" s="99" t="s">
        <v>30</v>
      </c>
      <c r="Q118" s="99" t="s">
        <v>30</v>
      </c>
      <c r="R118" s="99" t="s">
        <v>30</v>
      </c>
      <c r="S118" s="99" t="s">
        <v>30</v>
      </c>
      <c r="T118" s="99" t="s">
        <v>30</v>
      </c>
      <c r="U118" s="99" t="s">
        <v>30</v>
      </c>
      <c r="V118" s="99" t="s">
        <v>30</v>
      </c>
      <c r="W118" s="99" t="s">
        <v>30</v>
      </c>
      <c r="X118" s="99" t="s">
        <v>30</v>
      </c>
      <c r="Y118" s="145">
        <v>79</v>
      </c>
    </row>
    <row r="119" spans="1:25" ht="12.95" customHeight="1" x14ac:dyDescent="0.25">
      <c r="B119" s="293"/>
      <c r="C119" s="299" t="str">
        <f>VLOOKUP(85,Textbausteine_401[],Hilfsgrössen!$D$2,FALSE)</f>
        <v>Unsere Unternehmenskultur</v>
      </c>
      <c r="D119" s="1" t="str">
        <f>VLOOKUP(14,Textbausteine_401[],Hilfsgrössen!$D$2,FALSE)</f>
        <v>Index</v>
      </c>
      <c r="E119" s="294">
        <v>1</v>
      </c>
      <c r="F119" s="9">
        <v>401</v>
      </c>
      <c r="H119" s="99" t="s">
        <v>30</v>
      </c>
      <c r="I119" s="99" t="s">
        <v>30</v>
      </c>
      <c r="J119" s="99" t="s">
        <v>30</v>
      </c>
      <c r="K119" s="99" t="s">
        <v>30</v>
      </c>
      <c r="L119" s="99" t="s">
        <v>30</v>
      </c>
      <c r="M119" s="99" t="s">
        <v>30</v>
      </c>
      <c r="N119" s="99" t="s">
        <v>30</v>
      </c>
      <c r="O119" s="99" t="s">
        <v>30</v>
      </c>
      <c r="P119" s="99" t="s">
        <v>30</v>
      </c>
      <c r="Q119" s="99" t="s">
        <v>30</v>
      </c>
      <c r="R119" s="99" t="s">
        <v>30</v>
      </c>
      <c r="S119" s="99" t="s">
        <v>30</v>
      </c>
      <c r="T119" s="99" t="s">
        <v>30</v>
      </c>
      <c r="U119" s="99" t="s">
        <v>30</v>
      </c>
      <c r="V119" s="99" t="s">
        <v>30</v>
      </c>
      <c r="W119" s="99" t="s">
        <v>30</v>
      </c>
      <c r="X119" s="99" t="s">
        <v>30</v>
      </c>
      <c r="Y119" s="145">
        <v>74</v>
      </c>
    </row>
    <row r="120" spans="1:25" ht="12.95" customHeight="1" x14ac:dyDescent="0.25">
      <c r="B120" s="293"/>
      <c r="C120" s="299" t="str">
        <f>VLOOKUP(86,Textbausteine_401[],Hilfsgrössen!$D$2,FALSE)</f>
        <v>Unsere Post</v>
      </c>
      <c r="D120" s="1" t="str">
        <f>VLOOKUP(14,Textbausteine_401[],Hilfsgrössen!$D$2,FALSE)</f>
        <v>Index</v>
      </c>
      <c r="E120" s="294">
        <v>1</v>
      </c>
      <c r="F120" s="9">
        <v>401</v>
      </c>
      <c r="H120" s="99" t="s">
        <v>30</v>
      </c>
      <c r="I120" s="99" t="s">
        <v>30</v>
      </c>
      <c r="J120" s="99" t="s">
        <v>30</v>
      </c>
      <c r="K120" s="99" t="s">
        <v>30</v>
      </c>
      <c r="L120" s="99" t="s">
        <v>30</v>
      </c>
      <c r="M120" s="99" t="s">
        <v>30</v>
      </c>
      <c r="N120" s="99" t="s">
        <v>30</v>
      </c>
      <c r="O120" s="99" t="s">
        <v>30</v>
      </c>
      <c r="P120" s="99" t="s">
        <v>30</v>
      </c>
      <c r="Q120" s="99" t="s">
        <v>30</v>
      </c>
      <c r="R120" s="99" t="s">
        <v>30</v>
      </c>
      <c r="S120" s="99" t="s">
        <v>30</v>
      </c>
      <c r="T120" s="99" t="s">
        <v>30</v>
      </c>
      <c r="U120" s="99" t="s">
        <v>30</v>
      </c>
      <c r="V120" s="99" t="s">
        <v>30</v>
      </c>
      <c r="W120" s="99" t="s">
        <v>30</v>
      </c>
      <c r="X120" s="99" t="s">
        <v>30</v>
      </c>
      <c r="Y120" s="145">
        <v>72</v>
      </c>
    </row>
    <row r="121" spans="1:25" ht="12.95" customHeight="1" x14ac:dyDescent="0.25">
      <c r="B121" s="293"/>
      <c r="C121" s="299" t="str">
        <f>VLOOKUP(87,Textbausteine_401[],Hilfsgrössen!$D$2,FALSE)</f>
        <v>Mein Engagement</v>
      </c>
      <c r="D121" s="1" t="str">
        <f>VLOOKUP(14,Textbausteine_401[],Hilfsgrössen!$D$2,FALSE)</f>
        <v>Index</v>
      </c>
      <c r="E121" s="294">
        <v>1</v>
      </c>
      <c r="F121" s="9">
        <v>401</v>
      </c>
      <c r="H121" s="99" t="s">
        <v>30</v>
      </c>
      <c r="I121" s="99" t="s">
        <v>30</v>
      </c>
      <c r="J121" s="99" t="s">
        <v>30</v>
      </c>
      <c r="K121" s="99" t="s">
        <v>30</v>
      </c>
      <c r="L121" s="99" t="s">
        <v>30</v>
      </c>
      <c r="M121" s="99" t="s">
        <v>30</v>
      </c>
      <c r="N121" s="99" t="s">
        <v>30</v>
      </c>
      <c r="O121" s="99" t="s">
        <v>30</v>
      </c>
      <c r="P121" s="99" t="s">
        <v>30</v>
      </c>
      <c r="Q121" s="99" t="s">
        <v>30</v>
      </c>
      <c r="R121" s="99" t="s">
        <v>30</v>
      </c>
      <c r="S121" s="99" t="s">
        <v>30</v>
      </c>
      <c r="T121" s="99" t="s">
        <v>30</v>
      </c>
      <c r="U121" s="99" t="s">
        <v>30</v>
      </c>
      <c r="V121" s="99" t="s">
        <v>30</v>
      </c>
      <c r="W121" s="99" t="s">
        <v>30</v>
      </c>
      <c r="X121" s="99" t="s">
        <v>30</v>
      </c>
      <c r="Y121" s="145">
        <v>82</v>
      </c>
    </row>
    <row r="122" spans="1:25" ht="12.75" x14ac:dyDescent="0.2">
      <c r="E122" s="294"/>
      <c r="T122" s="9"/>
      <c r="U122" s="9"/>
      <c r="V122" s="9"/>
      <c r="W122" s="9"/>
      <c r="X122" s="9"/>
      <c r="Y122" s="9"/>
    </row>
    <row r="123" spans="1:25" ht="12.6" customHeight="1" x14ac:dyDescent="0.25">
      <c r="A123" s="56"/>
      <c r="B123" s="330" t="str">
        <f>VLOOKUP(151,Textbausteine_401[],Hilfsgrössen!$D$2,FALSE)</f>
        <v>1) Die Personalumfrage wurde per 2021 neu konzipiert. Das Bewertungsschema ist wie folgt: 0-49 Punkte; negative Bewertung; 50-64 Punkte: gering positive Bewertung; 65-84 Punkte: mittlere positive Bewertung; 85-100 Punkte: hohe positive Bewertung.</v>
      </c>
      <c r="C123" s="48"/>
      <c r="H123" s="107"/>
      <c r="I123" s="107"/>
      <c r="J123" s="107"/>
      <c r="K123" s="107"/>
      <c r="L123" s="107"/>
      <c r="M123" s="107"/>
      <c r="N123" s="99"/>
      <c r="O123" s="99"/>
      <c r="P123" s="99"/>
      <c r="Q123" s="99"/>
      <c r="R123" s="99"/>
      <c r="S123" s="99"/>
      <c r="T123" s="9"/>
      <c r="U123" s="9"/>
      <c r="V123" s="9"/>
      <c r="W123" s="9"/>
      <c r="X123" s="9"/>
      <c r="Y123" s="9"/>
    </row>
    <row r="124" spans="1:25" ht="12.95" customHeight="1" x14ac:dyDescent="0.2">
      <c r="T124" s="9"/>
      <c r="U124" s="9"/>
      <c r="V124" s="9"/>
      <c r="W124" s="9"/>
      <c r="X124" s="9"/>
      <c r="Y124" s="9"/>
    </row>
    <row r="125" spans="1:25" ht="12.95" customHeight="1" x14ac:dyDescent="0.2">
      <c r="G125" s="33"/>
      <c r="T125" s="9"/>
      <c r="U125" s="9"/>
      <c r="V125" s="9"/>
      <c r="W125" s="9"/>
      <c r="X125" s="9"/>
      <c r="Y125" s="9"/>
    </row>
    <row r="126" spans="1:25" ht="12.95" customHeight="1" x14ac:dyDescent="0.2">
      <c r="G126" s="33"/>
      <c r="T126" s="9"/>
      <c r="U126" s="9"/>
      <c r="V126" s="9"/>
      <c r="W126" s="9"/>
      <c r="X126" s="9"/>
      <c r="Y126" s="9"/>
    </row>
    <row r="127" spans="1:25" ht="12.95" customHeight="1" x14ac:dyDescent="0.2">
      <c r="T127" s="9"/>
      <c r="U127" s="9"/>
      <c r="V127" s="9"/>
      <c r="W127" s="9"/>
      <c r="X127" s="9"/>
      <c r="Y127" s="9"/>
    </row>
    <row r="128" spans="1:25" ht="12.95" customHeight="1" x14ac:dyDescent="0.2">
      <c r="G128" s="33"/>
      <c r="T128" s="9"/>
      <c r="U128" s="9"/>
      <c r="V128" s="9"/>
      <c r="W128" s="9"/>
      <c r="X128" s="9"/>
      <c r="Y128" s="9"/>
    </row>
    <row r="133" spans="7:25" ht="12.95" customHeight="1" x14ac:dyDescent="0.2">
      <c r="G133" s="37"/>
      <c r="H133" s="72"/>
      <c r="I133" s="72"/>
      <c r="J133" s="72"/>
      <c r="K133" s="72"/>
      <c r="L133" s="72"/>
      <c r="M133" s="72"/>
    </row>
    <row r="134" spans="7:25" ht="12.95" customHeight="1" x14ac:dyDescent="0.2">
      <c r="G134" s="37"/>
      <c r="H134" s="72"/>
      <c r="I134" s="72"/>
      <c r="J134" s="72"/>
      <c r="K134" s="72"/>
      <c r="L134" s="72"/>
      <c r="M134" s="72"/>
    </row>
    <row r="135" spans="7:25" ht="12.95" customHeight="1" x14ac:dyDescent="0.2">
      <c r="G135" s="37"/>
      <c r="T135" s="75"/>
      <c r="U135" s="75"/>
      <c r="V135" s="75"/>
      <c r="W135" s="75"/>
      <c r="X135" s="75"/>
      <c r="Y135" s="75"/>
    </row>
    <row r="136" spans="7:25" ht="12.95" customHeight="1" x14ac:dyDescent="0.2">
      <c r="H136" s="7"/>
      <c r="I136" s="7"/>
      <c r="J136" s="7"/>
      <c r="K136" s="7"/>
      <c r="L136" s="7"/>
      <c r="M136" s="7"/>
      <c r="T136" s="75"/>
      <c r="U136" s="75"/>
      <c r="V136" s="75"/>
      <c r="W136" s="75"/>
      <c r="X136" s="75"/>
      <c r="Y136" s="75"/>
    </row>
    <row r="140" spans="7:25" ht="12.95" customHeight="1" x14ac:dyDescent="0.2">
      <c r="T140" s="88"/>
      <c r="U140" s="88"/>
      <c r="V140" s="88"/>
      <c r="W140" s="88"/>
      <c r="X140" s="88"/>
      <c r="Y140" s="88"/>
    </row>
    <row r="141" spans="7:25" ht="12.95" customHeight="1" x14ac:dyDescent="0.2">
      <c r="T141" s="88"/>
      <c r="U141" s="88"/>
      <c r="V141" s="88"/>
      <c r="W141" s="88"/>
      <c r="X141" s="88"/>
      <c r="Y141" s="88"/>
    </row>
    <row r="142" spans="7:25" ht="12.95" customHeight="1" x14ac:dyDescent="0.2">
      <c r="T142" s="88"/>
      <c r="U142" s="88"/>
      <c r="V142" s="88"/>
      <c r="W142" s="88"/>
      <c r="X142" s="88"/>
      <c r="Y142" s="88"/>
    </row>
    <row r="143" spans="7:25" ht="12.95" customHeight="1" x14ac:dyDescent="0.2">
      <c r="T143" s="88"/>
      <c r="U143" s="88"/>
      <c r="V143" s="88"/>
      <c r="W143" s="88"/>
      <c r="X143" s="88"/>
      <c r="Y143" s="88"/>
    </row>
    <row r="144" spans="7:25" ht="12.95" customHeight="1" x14ac:dyDescent="0.2">
      <c r="T144" s="88"/>
      <c r="U144" s="88"/>
      <c r="V144" s="88"/>
      <c r="W144" s="88"/>
      <c r="X144" s="88"/>
      <c r="Y144" s="88"/>
    </row>
    <row r="145" spans="8:25" ht="12.95" customHeight="1" x14ac:dyDescent="0.2">
      <c r="T145" s="88"/>
      <c r="U145" s="88"/>
      <c r="V145" s="88"/>
      <c r="W145" s="88"/>
      <c r="X145" s="88"/>
      <c r="Y145" s="88"/>
    </row>
    <row r="146" spans="8:25" ht="12.95" customHeight="1" x14ac:dyDescent="0.2">
      <c r="T146" s="88"/>
      <c r="U146" s="88"/>
      <c r="V146" s="88"/>
      <c r="W146" s="88"/>
      <c r="X146" s="88"/>
      <c r="Y146" s="88"/>
    </row>
    <row r="147" spans="8:25" ht="12.95" customHeight="1" x14ac:dyDescent="0.2">
      <c r="T147" s="88"/>
      <c r="U147" s="88"/>
      <c r="V147" s="88"/>
      <c r="W147" s="88"/>
      <c r="X147" s="88"/>
      <c r="Y147" s="88"/>
    </row>
    <row r="155" spans="8:25" ht="12.95" customHeight="1" x14ac:dyDescent="0.2">
      <c r="H155" s="72"/>
      <c r="I155" s="72"/>
      <c r="J155" s="72"/>
      <c r="K155" s="72"/>
      <c r="L155" s="72"/>
      <c r="M155" s="72"/>
    </row>
    <row r="156" spans="8:25" ht="12.95" customHeight="1" x14ac:dyDescent="0.2">
      <c r="H156" s="73"/>
      <c r="I156" s="73"/>
      <c r="J156" s="73"/>
      <c r="K156" s="73"/>
      <c r="L156" s="73"/>
      <c r="M156" s="73"/>
    </row>
  </sheetData>
  <sheetProtection algorithmName="SHA-512" hashValue="O2wnomGNMCnp/tEV5ZlZk2NY2up7DNaLjd6HYpMZ8GRwHC77tjE/sQaQnQoMpKuLZSIwVYgElVLxpxuqnytmkA==" saltValue="XknlJN9+2Mj09FDOB36YLg==" spinCount="100000" sheet="1" objects="1" scenarios="1"/>
  <mergeCells count="6">
    <mergeCell ref="D2:E2"/>
    <mergeCell ref="B63:C64"/>
    <mergeCell ref="B2:C2"/>
    <mergeCell ref="B3:C3"/>
    <mergeCell ref="B12:C13"/>
    <mergeCell ref="B53:C54"/>
  </mergeCells>
  <conditionalFormatting sqref="H12:U19 H25:U27 H21:U23 H29:U30 H28:T28 H43:U43 H34:U41 H32:U32 H46:U66 H74:U75 Z68:CE73 H82:U83 Z76:CE81 H90:U91 Z84:CE87 Z116:CE119 H114:U115 Z108:CE111 H106:U107 Z100:CE103 H98:U99 Z92:CE95 X98:CE99 X106:CE107 X114:CE115 X90:CE91 X82:CE83 X74:CE75 X46:CE56 X32 X34:X41 X43 X21:X23 X12:CE15 X25:CE25 Y67:CE67 H122:CE10010 X16:X19 Z16:CE24 X26:X30 Z26:CE45 X58:CE66 X57 Z57:CE57">
    <cfRule type="expression" dxfId="355" priority="183">
      <formula>AND($D12&lt;&gt;"",H$12&lt;&gt;"",H12="")</formula>
    </cfRule>
    <cfRule type="expression" dxfId="354" priority="184">
      <formula>AND($A12="",ABS(H12)=0)</formula>
    </cfRule>
    <cfRule type="expression" dxfId="353" priority="185">
      <formula>AND($A12="",ABS(H12)&lt;10)</formula>
    </cfRule>
    <cfRule type="expression" dxfId="352" priority="186">
      <formula>AND($A12="",ABS(H12)&lt;100)</formula>
    </cfRule>
    <cfRule type="expression" dxfId="351" priority="187">
      <formula>AND($A12="",ABS(H12)&gt;=100)</formula>
    </cfRule>
  </conditionalFormatting>
  <conditionalFormatting sqref="V12:W19 V25:W27 V21:W23 V29:W30 V43:W43 V34:W41 V32:W32 V46:W66 V74:W75 V82:W83 V90:W91 V114:W115 V106:W107 V98:W99">
    <cfRule type="expression" dxfId="350" priority="171">
      <formula>AND($D12&lt;&gt;"",V$12&lt;&gt;"",V12="")</formula>
    </cfRule>
    <cfRule type="expression" dxfId="349" priority="172">
      <formula>AND($A12="",ABS(V12)=0)</formula>
    </cfRule>
    <cfRule type="expression" dxfId="348" priority="173">
      <formula>AND($A12="",ABS(V12)&lt;10)</formula>
    </cfRule>
    <cfRule type="expression" dxfId="347" priority="174">
      <formula>AND($A12="",ABS(V12)&lt;100)</formula>
    </cfRule>
    <cfRule type="expression" dxfId="346" priority="175">
      <formula>AND($A12="",ABS(V12)&gt;=100)</formula>
    </cfRule>
  </conditionalFormatting>
  <conditionalFormatting sqref="Y43">
    <cfRule type="expression" dxfId="345" priority="166">
      <formula>AND($D43&lt;&gt;"",Y$12&lt;&gt;"",Y43="")</formula>
    </cfRule>
    <cfRule type="expression" dxfId="344" priority="167">
      <formula>AND($A43="",ABS(Y43)=0)</formula>
    </cfRule>
    <cfRule type="expression" dxfId="343" priority="168">
      <formula>AND($A43="",ABS(Y43)&lt;10)</formula>
    </cfRule>
    <cfRule type="expression" dxfId="342" priority="169">
      <formula>AND($A43="",ABS(Y43)&lt;100)</formula>
    </cfRule>
    <cfRule type="expression" dxfId="341" priority="170">
      <formula>AND($A43="",ABS(Y43)&gt;=100)</formula>
    </cfRule>
  </conditionalFormatting>
  <conditionalFormatting sqref="Y108:Y111">
    <cfRule type="expression" dxfId="340" priority="126">
      <formula>AND($D108&lt;&gt;"",Y$12&lt;&gt;"",Y108="")</formula>
    </cfRule>
    <cfRule type="expression" dxfId="339" priority="127">
      <formula>AND($A108="",ABS(Y108)=0)</formula>
    </cfRule>
    <cfRule type="expression" dxfId="338" priority="128">
      <formula>AND($A108="",ABS(Y108)&lt;10)</formula>
    </cfRule>
    <cfRule type="expression" dxfId="337" priority="129">
      <formula>AND($A108="",ABS(Y108)&lt;100)</formula>
    </cfRule>
    <cfRule type="expression" dxfId="336" priority="130">
      <formula>AND($A108="",ABS(Y108)&gt;=100)</formula>
    </cfRule>
  </conditionalFormatting>
  <conditionalFormatting sqref="Y116:Y119">
    <cfRule type="expression" dxfId="335" priority="121">
      <formula>AND($D116&lt;&gt;"",Y$12&lt;&gt;"",Y116="")</formula>
    </cfRule>
    <cfRule type="expression" dxfId="334" priority="122">
      <formula>AND($A116="",ABS(Y116)=0)</formula>
    </cfRule>
    <cfRule type="expression" dxfId="333" priority="123">
      <formula>AND($A116="",ABS(Y116)&lt;10)</formula>
    </cfRule>
    <cfRule type="expression" dxfId="332" priority="124">
      <formula>AND($A116="",ABS(Y116)&lt;100)</formula>
    </cfRule>
    <cfRule type="expression" dxfId="331" priority="125">
      <formula>AND($A116="",ABS(Y116)&gt;=100)</formula>
    </cfRule>
  </conditionalFormatting>
  <conditionalFormatting sqref="Y68:Y73">
    <cfRule type="expression" dxfId="330" priority="151">
      <formula>AND($D68&lt;&gt;"",Y$12&lt;&gt;"",Y68="")</formula>
    </cfRule>
    <cfRule type="expression" dxfId="329" priority="152">
      <formula>AND($A68="",ABS(Y68)=0)</formula>
    </cfRule>
    <cfRule type="expression" dxfId="328" priority="153">
      <formula>AND($A68="",ABS(Y68)&lt;10)</formula>
    </cfRule>
    <cfRule type="expression" dxfId="327" priority="154">
      <formula>AND($A68="",ABS(Y68)&lt;100)</formula>
    </cfRule>
    <cfRule type="expression" dxfId="326" priority="155">
      <formula>AND($A68="",ABS(Y68)&gt;=100)</formula>
    </cfRule>
  </conditionalFormatting>
  <conditionalFormatting sqref="Y76:Y81">
    <cfRule type="expression" dxfId="325" priority="146">
      <formula>AND($D76&lt;&gt;"",Y$12&lt;&gt;"",Y76="")</formula>
    </cfRule>
    <cfRule type="expression" dxfId="324" priority="147">
      <formula>AND($A76="",ABS(Y76)=0)</formula>
    </cfRule>
    <cfRule type="expression" dxfId="323" priority="148">
      <formula>AND($A76="",ABS(Y76)&lt;10)</formula>
    </cfRule>
    <cfRule type="expression" dxfId="322" priority="149">
      <formula>AND($A76="",ABS(Y76)&lt;100)</formula>
    </cfRule>
    <cfRule type="expression" dxfId="321" priority="150">
      <formula>AND($A76="",ABS(Y76)&gt;=100)</formula>
    </cfRule>
  </conditionalFormatting>
  <conditionalFormatting sqref="Y84:Y87">
    <cfRule type="expression" dxfId="320" priority="141">
      <formula>AND($D84&lt;&gt;"",Y$12&lt;&gt;"",Y84="")</formula>
    </cfRule>
    <cfRule type="expression" dxfId="319" priority="142">
      <formula>AND($A84="",ABS(Y84)=0)</formula>
    </cfRule>
    <cfRule type="expression" dxfId="318" priority="143">
      <formula>AND($A84="",ABS(Y84)&lt;10)</formula>
    </cfRule>
    <cfRule type="expression" dxfId="317" priority="144">
      <formula>AND($A84="",ABS(Y84)&lt;100)</formula>
    </cfRule>
    <cfRule type="expression" dxfId="316" priority="145">
      <formula>AND($A84="",ABS(Y84)&gt;=100)</formula>
    </cfRule>
  </conditionalFormatting>
  <conditionalFormatting sqref="Y92:Y95">
    <cfRule type="expression" dxfId="315" priority="136">
      <formula>AND($D92&lt;&gt;"",Y$12&lt;&gt;"",Y92="")</formula>
    </cfRule>
    <cfRule type="expression" dxfId="314" priority="137">
      <formula>AND($A92="",ABS(Y92)=0)</formula>
    </cfRule>
    <cfRule type="expression" dxfId="313" priority="138">
      <formula>AND($A92="",ABS(Y92)&lt;10)</formula>
    </cfRule>
    <cfRule type="expression" dxfId="312" priority="139">
      <formula>AND($A92="",ABS(Y92)&lt;100)</formula>
    </cfRule>
    <cfRule type="expression" dxfId="311" priority="140">
      <formula>AND($A92="",ABS(Y92)&gt;=100)</formula>
    </cfRule>
  </conditionalFormatting>
  <conditionalFormatting sqref="Y100:Y103">
    <cfRule type="expression" dxfId="310" priority="131">
      <formula>AND($D100&lt;&gt;"",Y$12&lt;&gt;"",Y100="")</formula>
    </cfRule>
    <cfRule type="expression" dxfId="309" priority="132">
      <formula>AND($A100="",ABS(Y100)=0)</formula>
    </cfRule>
    <cfRule type="expression" dxfId="308" priority="133">
      <formula>AND($A100="",ABS(Y100)&lt;10)</formula>
    </cfRule>
    <cfRule type="expression" dxfId="307" priority="134">
      <formula>AND($A100="",ABS(Y100)&lt;100)</formula>
    </cfRule>
    <cfRule type="expression" dxfId="306" priority="135">
      <formula>AND($A100="",ABS(Y100)&gt;=100)</formula>
    </cfRule>
  </conditionalFormatting>
  <conditionalFormatting sqref="Z88:CE89">
    <cfRule type="expression" dxfId="305" priority="116">
      <formula>AND($D88&lt;&gt;"",Z$12&lt;&gt;"",Z88="")</formula>
    </cfRule>
    <cfRule type="expression" dxfId="304" priority="117">
      <formula>AND($A88="",ABS(Z88)=0)</formula>
    </cfRule>
    <cfRule type="expression" dxfId="303" priority="118">
      <formula>AND($A88="",ABS(Z88)&lt;10)</formula>
    </cfRule>
    <cfRule type="expression" dxfId="302" priority="119">
      <formula>AND($A88="",ABS(Z88)&lt;100)</formula>
    </cfRule>
    <cfRule type="expression" dxfId="301" priority="120">
      <formula>AND($A88="",ABS(Z88)&gt;=100)</formula>
    </cfRule>
  </conditionalFormatting>
  <conditionalFormatting sqref="Y88:Y89">
    <cfRule type="expression" dxfId="300" priority="111">
      <formula>AND($D88&lt;&gt;"",Y$12&lt;&gt;"",Y88="")</formula>
    </cfRule>
    <cfRule type="expression" dxfId="299" priority="112">
      <formula>AND($A88="",ABS(Y88)=0)</formula>
    </cfRule>
    <cfRule type="expression" dxfId="298" priority="113">
      <formula>AND($A88="",ABS(Y88)&lt;10)</formula>
    </cfRule>
    <cfRule type="expression" dxfId="297" priority="114">
      <formula>AND($A88="",ABS(Y88)&lt;100)</formula>
    </cfRule>
    <cfRule type="expression" dxfId="296" priority="115">
      <formula>AND($A88="",ABS(Y88)&gt;=100)</formula>
    </cfRule>
  </conditionalFormatting>
  <conditionalFormatting sqref="Z96:CE97">
    <cfRule type="expression" dxfId="295" priority="106">
      <formula>AND($D96&lt;&gt;"",Z$12&lt;&gt;"",Z96="")</formula>
    </cfRule>
    <cfRule type="expression" dxfId="294" priority="107">
      <formula>AND($A96="",ABS(Z96)=0)</formula>
    </cfRule>
    <cfRule type="expression" dxfId="293" priority="108">
      <formula>AND($A96="",ABS(Z96)&lt;10)</formula>
    </cfRule>
    <cfRule type="expression" dxfId="292" priority="109">
      <formula>AND($A96="",ABS(Z96)&lt;100)</formula>
    </cfRule>
    <cfRule type="expression" dxfId="291" priority="110">
      <formula>AND($A96="",ABS(Z96)&gt;=100)</formula>
    </cfRule>
  </conditionalFormatting>
  <conditionalFormatting sqref="Y96:Y97">
    <cfRule type="expression" dxfId="290" priority="101">
      <formula>AND($D96&lt;&gt;"",Y$12&lt;&gt;"",Y96="")</formula>
    </cfRule>
    <cfRule type="expression" dxfId="289" priority="102">
      <formula>AND($A96="",ABS(Y96)=0)</formula>
    </cfRule>
    <cfRule type="expression" dxfId="288" priority="103">
      <formula>AND($A96="",ABS(Y96)&lt;10)</formula>
    </cfRule>
    <cfRule type="expression" dxfId="287" priority="104">
      <formula>AND($A96="",ABS(Y96)&lt;100)</formula>
    </cfRule>
    <cfRule type="expression" dxfId="286" priority="105">
      <formula>AND($A96="",ABS(Y96)&gt;=100)</formula>
    </cfRule>
  </conditionalFormatting>
  <conditionalFormatting sqref="Y104:Y105">
    <cfRule type="expression" dxfId="285" priority="91">
      <formula>AND($D104&lt;&gt;"",Y$12&lt;&gt;"",Y104="")</formula>
    </cfRule>
    <cfRule type="expression" dxfId="284" priority="92">
      <formula>AND($A104="",ABS(Y104)=0)</formula>
    </cfRule>
    <cfRule type="expression" dxfId="283" priority="93">
      <formula>AND($A104="",ABS(Y104)&lt;10)</formula>
    </cfRule>
    <cfRule type="expression" dxfId="282" priority="94">
      <formula>AND($A104="",ABS(Y104)&lt;100)</formula>
    </cfRule>
    <cfRule type="expression" dxfId="281" priority="95">
      <formula>AND($A104="",ABS(Y104)&gt;=100)</formula>
    </cfRule>
  </conditionalFormatting>
  <conditionalFormatting sqref="Y112:Y113">
    <cfRule type="expression" dxfId="280" priority="81">
      <formula>AND($D112&lt;&gt;"",Y$12&lt;&gt;"",Y112="")</formula>
    </cfRule>
    <cfRule type="expression" dxfId="279" priority="82">
      <formula>AND($A112="",ABS(Y112)=0)</formula>
    </cfRule>
    <cfRule type="expression" dxfId="278" priority="83">
      <formula>AND($A112="",ABS(Y112)&lt;10)</formula>
    </cfRule>
    <cfRule type="expression" dxfId="277" priority="84">
      <formula>AND($A112="",ABS(Y112)&lt;100)</formula>
    </cfRule>
    <cfRule type="expression" dxfId="276" priority="85">
      <formula>AND($A112="",ABS(Y112)&gt;=100)</formula>
    </cfRule>
  </conditionalFormatting>
  <conditionalFormatting sqref="Z104:CE105">
    <cfRule type="expression" dxfId="275" priority="96">
      <formula>AND($D104&lt;&gt;"",Z$12&lt;&gt;"",Z104="")</formula>
    </cfRule>
    <cfRule type="expression" dxfId="274" priority="97">
      <formula>AND($A104="",ABS(Z104)=0)</formula>
    </cfRule>
    <cfRule type="expression" dxfId="273" priority="98">
      <formula>AND($A104="",ABS(Z104)&lt;10)</formula>
    </cfRule>
    <cfRule type="expression" dxfId="272" priority="99">
      <formula>AND($A104="",ABS(Z104)&lt;100)</formula>
    </cfRule>
    <cfRule type="expression" dxfId="271" priority="100">
      <formula>AND($A104="",ABS(Z104)&gt;=100)</formula>
    </cfRule>
  </conditionalFormatting>
  <conditionalFormatting sqref="H116:X121">
    <cfRule type="expression" dxfId="270" priority="36">
      <formula>AND($D116&lt;&gt;"",H$12&lt;&gt;"",H116="")</formula>
    </cfRule>
    <cfRule type="expression" dxfId="269" priority="37">
      <formula>AND($A116="",ABS(H116)=0)</formula>
    </cfRule>
    <cfRule type="expression" dxfId="268" priority="38">
      <formula>AND($A116="",ABS(H116)&lt;10)</formula>
    </cfRule>
    <cfRule type="expression" dxfId="267" priority="39">
      <formula>AND($A116="",ABS(H116)&lt;100)</formula>
    </cfRule>
    <cfRule type="expression" dxfId="266" priority="40">
      <formula>AND($A116="",ABS(H116)&gt;=100)</formula>
    </cfRule>
  </conditionalFormatting>
  <conditionalFormatting sqref="Z112:CE113">
    <cfRule type="expression" dxfId="265" priority="86">
      <formula>AND($D112&lt;&gt;"",Z$12&lt;&gt;"",Z112="")</formula>
    </cfRule>
    <cfRule type="expression" dxfId="264" priority="87">
      <formula>AND($A112="",ABS(Z112)=0)</formula>
    </cfRule>
    <cfRule type="expression" dxfId="263" priority="88">
      <formula>AND($A112="",ABS(Z112)&lt;10)</formula>
    </cfRule>
    <cfRule type="expression" dxfId="262" priority="89">
      <formula>AND($A112="",ABS(Z112)&lt;100)</formula>
    </cfRule>
    <cfRule type="expression" dxfId="261" priority="90">
      <formula>AND($A112="",ABS(Z112)&gt;=100)</formula>
    </cfRule>
  </conditionalFormatting>
  <conditionalFormatting sqref="Y120:Y121">
    <cfRule type="expression" dxfId="260" priority="71">
      <formula>AND($D120&lt;&gt;"",Y$12&lt;&gt;"",Y120="")</formula>
    </cfRule>
    <cfRule type="expression" dxfId="259" priority="72">
      <formula>AND($A120="",ABS(Y120)=0)</formula>
    </cfRule>
    <cfRule type="expression" dxfId="258" priority="73">
      <formula>AND($A120="",ABS(Y120)&lt;10)</formula>
    </cfRule>
    <cfRule type="expression" dxfId="257" priority="74">
      <formula>AND($A120="",ABS(Y120)&lt;100)</formula>
    </cfRule>
    <cfRule type="expression" dxfId="256" priority="75">
      <formula>AND($A120="",ABS(Y120)&gt;=100)</formula>
    </cfRule>
  </conditionalFormatting>
  <conditionalFormatting sqref="Z120:CE121">
    <cfRule type="expression" dxfId="255" priority="76">
      <formula>AND($D120&lt;&gt;"",Z$12&lt;&gt;"",Z120="")</formula>
    </cfRule>
    <cfRule type="expression" dxfId="254" priority="77">
      <formula>AND($A120="",ABS(Z120)=0)</formula>
    </cfRule>
    <cfRule type="expression" dxfId="253" priority="78">
      <formula>AND($A120="",ABS(Z120)&lt;10)</formula>
    </cfRule>
    <cfRule type="expression" dxfId="252" priority="79">
      <formula>AND($A120="",ABS(Z120)&lt;100)</formula>
    </cfRule>
    <cfRule type="expression" dxfId="251" priority="80">
      <formula>AND($A120="",ABS(Z120)&gt;=100)</formula>
    </cfRule>
  </conditionalFormatting>
  <conditionalFormatting sqref="H67:X73">
    <cfRule type="expression" dxfId="250" priority="66">
      <formula>AND($D67&lt;&gt;"",H$12&lt;&gt;"",H67="")</formula>
    </cfRule>
    <cfRule type="expression" dxfId="249" priority="67">
      <formula>AND($A67="",ABS(H67)=0)</formula>
    </cfRule>
    <cfRule type="expression" dxfId="248" priority="68">
      <formula>AND($A67="",ABS(H67)&lt;10)</formula>
    </cfRule>
    <cfRule type="expression" dxfId="247" priority="69">
      <formula>AND($A67="",ABS(H67)&lt;100)</formula>
    </cfRule>
    <cfRule type="expression" dxfId="246" priority="70">
      <formula>AND($A67="",ABS(H67)&gt;=100)</formula>
    </cfRule>
  </conditionalFormatting>
  <conditionalFormatting sqref="H76:X81">
    <cfRule type="expression" dxfId="245" priority="61">
      <formula>AND($D76&lt;&gt;"",H$12&lt;&gt;"",H76="")</formula>
    </cfRule>
    <cfRule type="expression" dxfId="244" priority="62">
      <formula>AND($A76="",ABS(H76)=0)</formula>
    </cfRule>
    <cfRule type="expression" dxfId="243" priority="63">
      <formula>AND($A76="",ABS(H76)&lt;10)</formula>
    </cfRule>
    <cfRule type="expression" dxfId="242" priority="64">
      <formula>AND($A76="",ABS(H76)&lt;100)</formula>
    </cfRule>
    <cfRule type="expression" dxfId="241" priority="65">
      <formula>AND($A76="",ABS(H76)&gt;=100)</formula>
    </cfRule>
  </conditionalFormatting>
  <conditionalFormatting sqref="H84:X89">
    <cfRule type="expression" dxfId="240" priority="56">
      <formula>AND($D84&lt;&gt;"",H$12&lt;&gt;"",H84="")</formula>
    </cfRule>
    <cfRule type="expression" dxfId="239" priority="57">
      <formula>AND($A84="",ABS(H84)=0)</formula>
    </cfRule>
    <cfRule type="expression" dxfId="238" priority="58">
      <formula>AND($A84="",ABS(H84)&lt;10)</formula>
    </cfRule>
    <cfRule type="expression" dxfId="237" priority="59">
      <formula>AND($A84="",ABS(H84)&lt;100)</formula>
    </cfRule>
    <cfRule type="expression" dxfId="236" priority="60">
      <formula>AND($A84="",ABS(H84)&gt;=100)</formula>
    </cfRule>
  </conditionalFormatting>
  <conditionalFormatting sqref="H92:X97">
    <cfRule type="expression" dxfId="235" priority="51">
      <formula>AND($D92&lt;&gt;"",H$12&lt;&gt;"",H92="")</formula>
    </cfRule>
    <cfRule type="expression" dxfId="234" priority="52">
      <formula>AND($A92="",ABS(H92)=0)</formula>
    </cfRule>
    <cfRule type="expression" dxfId="233" priority="53">
      <formula>AND($A92="",ABS(H92)&lt;10)</formula>
    </cfRule>
    <cfRule type="expression" dxfId="232" priority="54">
      <formula>AND($A92="",ABS(H92)&lt;100)</formula>
    </cfRule>
    <cfRule type="expression" dxfId="231" priority="55">
      <formula>AND($A92="",ABS(H92)&gt;=100)</formula>
    </cfRule>
  </conditionalFormatting>
  <conditionalFormatting sqref="H100:X105">
    <cfRule type="expression" dxfId="230" priority="46">
      <formula>AND($D100&lt;&gt;"",H$12&lt;&gt;"",H100="")</formula>
    </cfRule>
    <cfRule type="expression" dxfId="229" priority="47">
      <formula>AND($A100="",ABS(H100)=0)</formula>
    </cfRule>
    <cfRule type="expression" dxfId="228" priority="48">
      <formula>AND($A100="",ABS(H100)&lt;10)</formula>
    </cfRule>
    <cfRule type="expression" dxfId="227" priority="49">
      <formula>AND($A100="",ABS(H100)&lt;100)</formula>
    </cfRule>
    <cfRule type="expression" dxfId="226" priority="50">
      <formula>AND($A100="",ABS(H100)&gt;=100)</formula>
    </cfRule>
  </conditionalFormatting>
  <conditionalFormatting sqref="H108:X113">
    <cfRule type="expression" dxfId="225" priority="41">
      <formula>AND($D108&lt;&gt;"",H$12&lt;&gt;"",H108="")</formula>
    </cfRule>
    <cfRule type="expression" dxfId="224" priority="42">
      <formula>AND($A108="",ABS(H108)=0)</formula>
    </cfRule>
    <cfRule type="expression" dxfId="223" priority="43">
      <formula>AND($A108="",ABS(H108)&lt;10)</formula>
    </cfRule>
    <cfRule type="expression" dxfId="222" priority="44">
      <formula>AND($A108="",ABS(H108)&lt;100)</formula>
    </cfRule>
    <cfRule type="expression" dxfId="221" priority="45">
      <formula>AND($A108="",ABS(H108)&gt;=100)</formula>
    </cfRule>
  </conditionalFormatting>
  <conditionalFormatting sqref="Y21:Y23 Y16:Y19">
    <cfRule type="expression" dxfId="220" priority="31">
      <formula>AND($D16&lt;&gt;"",Y$12&lt;&gt;"",Y16="")</formula>
    </cfRule>
    <cfRule type="expression" dxfId="219" priority="32">
      <formula>AND($A16="",ABS(Y16)=0)</formula>
    </cfRule>
    <cfRule type="expression" dxfId="218" priority="33">
      <formula>AND($A16="",ABS(Y16)&lt;10)</formula>
    </cfRule>
    <cfRule type="expression" dxfId="217" priority="34">
      <formula>AND($A16="",ABS(Y16)&lt;100)</formula>
    </cfRule>
    <cfRule type="expression" dxfId="216" priority="35">
      <formula>AND($A16="",ABS(Y16)&gt;=100)</formula>
    </cfRule>
  </conditionalFormatting>
  <conditionalFormatting sqref="Y24">
    <cfRule type="expression" dxfId="215" priority="26">
      <formula>AND($D24&lt;&gt;"",Y$12&lt;&gt;"",Y24="")</formula>
    </cfRule>
    <cfRule type="expression" dxfId="214" priority="27">
      <formula>AND($A24="",ABS(Y24)=0)</formula>
    </cfRule>
    <cfRule type="expression" dxfId="213" priority="28">
      <formula>AND($A24="",ABS(Y24)&lt;10)</formula>
    </cfRule>
    <cfRule type="expression" dxfId="212" priority="29">
      <formula>AND($A24="",ABS(Y24)&lt;100)</formula>
    </cfRule>
    <cfRule type="expression" dxfId="211" priority="30">
      <formula>AND($A24="",ABS(Y24)&gt;=100)</formula>
    </cfRule>
  </conditionalFormatting>
  <conditionalFormatting sqref="Y20">
    <cfRule type="expression" dxfId="210" priority="21">
      <formula>AND($D20&lt;&gt;"",Y$12&lt;&gt;"",Y20="")</formula>
    </cfRule>
    <cfRule type="expression" dxfId="209" priority="22">
      <formula>AND($A20="",ABS(Y20)=0)</formula>
    </cfRule>
    <cfRule type="expression" dxfId="208" priority="23">
      <formula>AND($A20="",ABS(Y20)&lt;10)</formula>
    </cfRule>
    <cfRule type="expression" dxfId="207" priority="24">
      <formula>AND($A20="",ABS(Y20)&lt;100)</formula>
    </cfRule>
    <cfRule type="expression" dxfId="206" priority="25">
      <formula>AND($A20="",ABS(Y20)&gt;=100)</formula>
    </cfRule>
  </conditionalFormatting>
  <conditionalFormatting sqref="Y26:Y30">
    <cfRule type="expression" dxfId="205" priority="16">
      <formula>AND($D26&lt;&gt;"",Y$12&lt;&gt;"",Y26="")</formula>
    </cfRule>
    <cfRule type="expression" dxfId="204" priority="17">
      <formula>AND($A26="",ABS(Y26)=0)</formula>
    </cfRule>
    <cfRule type="expression" dxfId="203" priority="18">
      <formula>AND($A26="",ABS(Y26)&lt;10)</formula>
    </cfRule>
    <cfRule type="expression" dxfId="202" priority="19">
      <formula>AND($A26="",ABS(Y26)&lt;100)</formula>
    </cfRule>
    <cfRule type="expression" dxfId="201" priority="20">
      <formula>AND($A26="",ABS(Y26)&gt;=100)</formula>
    </cfRule>
  </conditionalFormatting>
  <conditionalFormatting sqref="Y31:Y42">
    <cfRule type="expression" dxfId="200" priority="11">
      <formula>AND($D31&lt;&gt;"",Y$12&lt;&gt;"",Y31="")</formula>
    </cfRule>
    <cfRule type="expression" dxfId="199" priority="12">
      <formula>AND($A31="",ABS(Y31)=0)</formula>
    </cfRule>
    <cfRule type="expression" dxfId="198" priority="13">
      <formula>AND($A31="",ABS(Y31)&lt;10)</formula>
    </cfRule>
    <cfRule type="expression" dxfId="197" priority="14">
      <formula>AND($A31="",ABS(Y31)&lt;100)</formula>
    </cfRule>
    <cfRule type="expression" dxfId="196" priority="15">
      <formula>AND($A31="",ABS(Y31)&gt;=100)</formula>
    </cfRule>
  </conditionalFormatting>
  <conditionalFormatting sqref="Y44">
    <cfRule type="expression" dxfId="195" priority="6">
      <formula>AND($D44&lt;&gt;"",Y$12&lt;&gt;"",Y44="")</formula>
    </cfRule>
    <cfRule type="expression" dxfId="194" priority="7">
      <formula>AND($A44="",ABS(Y44)=0)</formula>
    </cfRule>
    <cfRule type="expression" dxfId="193" priority="8">
      <formula>AND($A44="",ABS(Y44)&lt;10)</formula>
    </cfRule>
    <cfRule type="expression" dxfId="192" priority="9">
      <formula>AND($A44="",ABS(Y44)&lt;100)</formula>
    </cfRule>
    <cfRule type="expression" dxfId="191" priority="10">
      <formula>AND($A44="",ABS(Y44)&gt;=100)</formula>
    </cfRule>
  </conditionalFormatting>
  <conditionalFormatting sqref="Y57">
    <cfRule type="expression" dxfId="190" priority="1">
      <formula>AND($D57&lt;&gt;"",Y$12&lt;&gt;"",Y57="")</formula>
    </cfRule>
    <cfRule type="expression" dxfId="189" priority="2">
      <formula>AND($A57="",ABS(Y57)=0)</formula>
    </cfRule>
    <cfRule type="expression" dxfId="188" priority="3">
      <formula>AND($A57="",ABS(Y57)&lt;10)</formula>
    </cfRule>
    <cfRule type="expression" dxfId="187" priority="4">
      <formula>AND($A57="",ABS(Y57)&lt;100)</formula>
    </cfRule>
    <cfRule type="expression" dxfId="186" priority="5">
      <formula>AND($A57="",ABS(Y57)&gt;=100)</formula>
    </cfRule>
  </conditionalFormatting>
  <dataValidations count="2">
    <dataValidation type="list" allowBlank="1" showInputMessage="1" showErrorMessage="1" sqref="G2" xr:uid="{00000000-0002-0000-0700-000000000000}">
      <formula1>Sprache</formula1>
    </dataValidation>
    <dataValidation allowBlank="1" showInputMessage="1" showErrorMessage="1" sqref="F2" xr:uid="{542EFCEA-D1FD-472C-9F97-F234423EBACA}"/>
  </dataValidations>
  <hyperlinks>
    <hyperlink ref="A12" location="GRI_401" display="Ó" xr:uid="{00000000-0004-0000-0700-000000000000}"/>
    <hyperlink ref="A53" location="GRI_401" display="Ó" xr:uid="{00000000-0004-0000-0700-000001000000}"/>
    <hyperlink ref="C7" location="GRI_401_1" display="GRI_401_1" xr:uid="{00000000-0004-0000-0700-000002000000}"/>
    <hyperlink ref="C8" location="GRI_401_3" display="GRI_401_3" xr:uid="{00000000-0004-0000-0700-000003000000}"/>
    <hyperlink ref="D2" location="Home" display="Home" xr:uid="{00000000-0004-0000-0700-000004000000}"/>
    <hyperlink ref="A63" location="GRI_401" display="Ó" xr:uid="{00000000-0004-0000-0700-000005000000}"/>
    <hyperlink ref="C9" location="GRI_401_a" display="Personalumfrage" xr:uid="{00000000-0004-0000-0700-000006000000}"/>
  </hyperlinks>
  <pageMargins left="0.7" right="0.7" top="0.78740157499999996" bottom="0.78740157499999996" header="0.3" footer="0.3"/>
  <pageSetup paperSize="9" orientation="portrait" r:id="rId1"/>
  <ignoredErrors>
    <ignoredError sqref="E44 E16:E24" twoDigitTextYea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14">
    <tabColor rgb="FF9E2A2F"/>
  </sheetPr>
  <dimension ref="A2:CK146"/>
  <sheetViews>
    <sheetView showGridLines="0" showRowColHeaders="0" zoomScaleNormal="100" workbookViewId="0">
      <pane xSplit="7" topLeftCell="O1" activePane="topRight" state="frozen"/>
      <selection activeCell="B3" sqref="B3:C3"/>
      <selection pane="topRight" activeCell="B2" sqref="B2:C2"/>
    </sheetView>
  </sheetViews>
  <sheetFormatPr baseColWidth="10" defaultColWidth="10.85546875" defaultRowHeight="12.95" customHeight="1" x14ac:dyDescent="0.2"/>
  <cols>
    <col min="1" max="1" width="2.42578125" style="66" customWidth="1"/>
    <col min="2" max="2" width="2.42578125" style="1" customWidth="1"/>
    <col min="3" max="3" width="68.85546875" style="1" customWidth="1"/>
    <col min="4" max="4" width="30.7109375" style="1" customWidth="1"/>
    <col min="5" max="5" width="9.42578125" style="9" customWidth="1"/>
    <col min="6" max="6" width="14.140625" style="9" customWidth="1"/>
    <col min="7" max="7" width="2.42578125" style="34" customWidth="1"/>
    <col min="8" max="13" width="12" style="9" customWidth="1"/>
    <col min="14" max="19" width="11.7109375" style="9" customWidth="1"/>
    <col min="20" max="25" width="11.7109375" style="11" customWidth="1"/>
    <col min="26" max="89" width="11.7109375" style="9" customWidth="1"/>
    <col min="90" max="16384" width="10.85546875" style="1"/>
  </cols>
  <sheetData>
    <row r="2" spans="1:89" s="97" customFormat="1" ht="26.1" customHeight="1" x14ac:dyDescent="0.2">
      <c r="A2" s="63"/>
      <c r="B2" s="406" t="str">
        <f>UPPER(RIGHT(Inhaltsverzeichnis!$C$29,LEN(Inhaltsverzeichnis!$C$29)-FIND(" – ",Inhaltsverzeichnis!$C$29,1)-2))</f>
        <v>ARBEITSSICHERHEIT UND GESUNDHEITSSCHUTZ</v>
      </c>
      <c r="C2" s="406"/>
      <c r="D2" s="402" t="str">
        <f>VLOOKUP(35,Textbausteine_Menu[],Hilfsgrössen!$D$2,FALSE)</f>
        <v>zurück zum Inhaltsverzeichnis</v>
      </c>
      <c r="E2" s="403"/>
      <c r="F2" s="91" t="s">
        <v>0</v>
      </c>
      <c r="G2" s="104"/>
      <c r="H2" s="67"/>
      <c r="I2" s="67"/>
      <c r="J2" s="67"/>
      <c r="K2" s="67"/>
      <c r="L2" s="67"/>
      <c r="M2" s="67"/>
      <c r="N2" s="27"/>
      <c r="O2" s="27"/>
      <c r="P2" s="27"/>
      <c r="Q2" s="27"/>
      <c r="R2" s="27"/>
      <c r="S2" s="27"/>
      <c r="T2" s="71"/>
      <c r="U2" s="71"/>
      <c r="V2" s="71"/>
      <c r="W2" s="71"/>
      <c r="X2" s="71"/>
      <c r="Y2" s="71"/>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row>
    <row r="3" spans="1:89" s="98" customFormat="1" ht="26.1" customHeight="1" x14ac:dyDescent="0.2">
      <c r="A3" s="64"/>
      <c r="B3" s="407" t="str">
        <f>UPPER("GRI "&amp;LEFT(Inhaltsverzeichnis!$C$29,3))</f>
        <v>GRI 403</v>
      </c>
      <c r="C3" s="407"/>
      <c r="E3" s="27"/>
      <c r="F3" s="27"/>
      <c r="G3" s="32"/>
      <c r="H3" s="27"/>
      <c r="I3" s="27"/>
      <c r="J3" s="27"/>
      <c r="K3" s="27"/>
      <c r="L3" s="27"/>
      <c r="M3" s="27"/>
      <c r="N3" s="27"/>
      <c r="O3" s="27"/>
      <c r="P3" s="27"/>
      <c r="Q3" s="27"/>
      <c r="R3" s="27"/>
      <c r="S3" s="27"/>
      <c r="T3" s="71"/>
      <c r="U3" s="71"/>
      <c r="V3" s="71"/>
      <c r="W3" s="71"/>
      <c r="X3" s="71"/>
      <c r="Y3" s="71"/>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row>
    <row r="6" spans="1:89" s="6" customFormat="1" ht="12.95" customHeight="1" x14ac:dyDescent="0.2">
      <c r="A6" s="65"/>
      <c r="B6" s="6" t="str">
        <f>VLOOKUP(31,Textbausteine_Menu[],Hilfsgrössen!$D$2,FALSE)</f>
        <v>Offenlegungen</v>
      </c>
      <c r="E6" s="28"/>
      <c r="F6" s="28"/>
      <c r="G6" s="33"/>
      <c r="H6" s="28"/>
      <c r="I6" s="28"/>
      <c r="J6" s="28"/>
      <c r="K6" s="28"/>
      <c r="L6" s="28"/>
      <c r="M6" s="28"/>
      <c r="N6" s="9"/>
      <c r="O6" s="9"/>
      <c r="P6" s="9"/>
      <c r="Q6" s="9"/>
      <c r="R6" s="9"/>
      <c r="S6" s="9"/>
      <c r="T6" s="11"/>
      <c r="U6" s="11"/>
      <c r="V6" s="11"/>
      <c r="W6" s="11"/>
      <c r="X6" s="11"/>
      <c r="Y6" s="11"/>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row>
    <row r="7" spans="1:89" ht="12.95" customHeight="1" x14ac:dyDescent="0.2">
      <c r="B7" s="2"/>
      <c r="C7" s="93" t="str">
        <f>VLOOKUP(1,Textbausteine_403[],Hilfsgrössen!$D$2,FALSE)</f>
        <v>Gesundheitsmanagement</v>
      </c>
      <c r="D7" s="4"/>
    </row>
    <row r="8" spans="1:89" ht="12.95" customHeight="1" x14ac:dyDescent="0.2">
      <c r="B8" s="2"/>
    </row>
    <row r="9" spans="1:89" ht="12.95" customHeight="1" x14ac:dyDescent="0.2">
      <c r="B9" s="2"/>
    </row>
    <row r="10" spans="1:89" s="6" customFormat="1" ht="12.95" customHeight="1" x14ac:dyDescent="0.2">
      <c r="A10" s="39" t="s">
        <v>27</v>
      </c>
      <c r="B10" s="401" t="str">
        <f>$C$7</f>
        <v>Gesundheitsmanagement</v>
      </c>
      <c r="C10" s="401"/>
      <c r="D10" s="6" t="str">
        <f>VLOOKUP(32,Textbausteine_Menu[],Hilfsgrössen!$D$2,FALSE)</f>
        <v>Einheit</v>
      </c>
      <c r="E10" s="28" t="str">
        <f>VLOOKUP(33,Textbausteine_Menu[],Hilfsgrössen!$D$2,FALSE)</f>
        <v>Fussnoten</v>
      </c>
      <c r="F10" s="28" t="str">
        <f>VLOOKUP(34,Textbausteine_Menu[],Hilfsgrössen!$D$2,FALSE)</f>
        <v>GRI</v>
      </c>
      <c r="G10" s="34"/>
      <c r="H10" s="72">
        <v>2004</v>
      </c>
      <c r="I10" s="72">
        <v>2005</v>
      </c>
      <c r="J10" s="72">
        <v>2006</v>
      </c>
      <c r="K10" s="72">
        <v>2007</v>
      </c>
      <c r="L10" s="72">
        <v>2008</v>
      </c>
      <c r="M10" s="72">
        <v>2009</v>
      </c>
      <c r="N10" s="7">
        <v>2010</v>
      </c>
      <c r="O10" s="7">
        <v>2011</v>
      </c>
      <c r="P10" s="7">
        <v>2012</v>
      </c>
      <c r="Q10" s="7">
        <v>2013</v>
      </c>
      <c r="R10" s="7">
        <v>2014</v>
      </c>
      <c r="S10" s="7">
        <v>2015</v>
      </c>
      <c r="T10" s="7">
        <v>2016</v>
      </c>
      <c r="U10" s="7">
        <v>2017</v>
      </c>
      <c r="V10" s="7">
        <v>2018</v>
      </c>
      <c r="W10" s="7">
        <v>2019</v>
      </c>
      <c r="X10" s="7">
        <v>2020</v>
      </c>
      <c r="Y10" s="142">
        <v>2021</v>
      </c>
      <c r="Z10" s="7"/>
      <c r="AA10" s="7"/>
      <c r="AB10" s="7"/>
      <c r="AC10" s="7"/>
      <c r="AD10" s="7"/>
      <c r="AE10" s="7"/>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row>
    <row r="11" spans="1:89" s="6" customFormat="1" ht="12.95" customHeight="1" x14ac:dyDescent="0.2">
      <c r="A11" s="65"/>
      <c r="B11" s="401"/>
      <c r="C11" s="401"/>
      <c r="E11" s="28"/>
      <c r="F11" s="28"/>
      <c r="G11" s="34"/>
      <c r="H11" s="73"/>
      <c r="I11" s="73"/>
      <c r="J11" s="73"/>
      <c r="K11" s="73"/>
      <c r="L11" s="73"/>
      <c r="M11" s="73"/>
      <c r="N11" s="73"/>
      <c r="O11" s="73"/>
      <c r="P11" s="73"/>
      <c r="Q11" s="73"/>
      <c r="R11" s="73"/>
      <c r="S11" s="73"/>
      <c r="T11" s="75"/>
      <c r="U11" s="75"/>
      <c r="V11" s="75"/>
      <c r="W11" s="75"/>
      <c r="X11" s="75"/>
      <c r="Y11" s="143"/>
      <c r="Z11" s="79"/>
      <c r="AA11" s="75"/>
      <c r="AB11" s="75"/>
      <c r="AC11" s="75"/>
      <c r="AD11" s="75"/>
      <c r="AE11" s="75"/>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row>
    <row r="12" spans="1:89" ht="12.95" customHeight="1" x14ac:dyDescent="0.2">
      <c r="B12" s="2"/>
      <c r="E12" s="28"/>
      <c r="F12" s="28"/>
      <c r="G12" s="33"/>
      <c r="Y12" s="144"/>
      <c r="Z12" s="10"/>
      <c r="AA12" s="11"/>
      <c r="AB12" s="11"/>
      <c r="AC12" s="11"/>
      <c r="AD12" s="11"/>
      <c r="AE12" s="11"/>
    </row>
    <row r="13" spans="1:89" ht="12.95" customHeight="1" x14ac:dyDescent="0.2">
      <c r="B13" s="2" t="str">
        <f>VLOOKUP(37,Textbausteine_Menu[],Hilfsgrössen!$D$2,FALSE)</f>
        <v>Konzern Schweiz</v>
      </c>
      <c r="C13" s="2"/>
      <c r="E13" s="10"/>
      <c r="G13" s="33"/>
      <c r="Y13" s="144"/>
    </row>
    <row r="14" spans="1:89" ht="12.95" customHeight="1" x14ac:dyDescent="0.2">
      <c r="C14" s="2" t="str">
        <f>VLOOKUP(31,Textbausteine_403[],Hilfsgrössen!$D$2,FALSE)</f>
        <v>Unfälle</v>
      </c>
      <c r="H14" s="304"/>
      <c r="I14" s="304"/>
      <c r="J14" s="304"/>
      <c r="K14" s="304"/>
      <c r="L14" s="304"/>
      <c r="M14" s="304"/>
      <c r="N14" s="11"/>
      <c r="O14" s="11"/>
      <c r="R14" s="85"/>
      <c r="S14" s="85"/>
      <c r="Y14" s="144"/>
      <c r="Z14" s="12"/>
      <c r="AA14" s="15"/>
      <c r="AB14" s="15"/>
      <c r="AC14" s="15"/>
      <c r="AD14" s="15"/>
      <c r="AE14" s="15"/>
    </row>
    <row r="15" spans="1:89" ht="12.95" customHeight="1" x14ac:dyDescent="0.2">
      <c r="C15" s="17" t="str">
        <f>VLOOKUP(32,Textbausteine_403[],Hilfsgrössen!$D$2,FALSE)</f>
        <v>Berufsunfälle</v>
      </c>
      <c r="D15" s="1" t="str">
        <f>VLOOKUP(11,Textbausteine_403[],Hilfsgrössen!$D$2,FALSE)</f>
        <v>Anzahl pro 100 Personaleinheiten</v>
      </c>
      <c r="E15" s="9" t="s">
        <v>94</v>
      </c>
      <c r="F15" s="9" t="s">
        <v>170</v>
      </c>
      <c r="H15" s="250">
        <v>6.4</v>
      </c>
      <c r="I15" s="250">
        <v>6.12</v>
      </c>
      <c r="J15" s="250">
        <v>5.93</v>
      </c>
      <c r="K15" s="250">
        <v>5.48</v>
      </c>
      <c r="L15" s="251">
        <v>6.28</v>
      </c>
      <c r="M15" s="251">
        <v>6.49</v>
      </c>
      <c r="N15" s="210">
        <v>7.49</v>
      </c>
      <c r="O15" s="210">
        <v>6.92</v>
      </c>
      <c r="P15" s="207">
        <v>7.23</v>
      </c>
      <c r="Q15" s="207">
        <v>6.61</v>
      </c>
      <c r="R15" s="252">
        <v>5.92</v>
      </c>
      <c r="S15" s="252">
        <v>6.06</v>
      </c>
      <c r="T15" s="210">
        <v>5.91</v>
      </c>
      <c r="U15" s="210">
        <v>6.4690065933095084</v>
      </c>
      <c r="V15" s="210">
        <v>6.03</v>
      </c>
      <c r="W15" s="210">
        <v>6.4</v>
      </c>
      <c r="X15" s="210">
        <v>6.1336121898858202</v>
      </c>
      <c r="Y15" s="145">
        <v>7.3714120764449396</v>
      </c>
      <c r="Z15" s="12"/>
      <c r="AA15" s="15"/>
      <c r="AB15" s="15"/>
      <c r="AC15" s="15"/>
      <c r="AD15" s="15"/>
      <c r="AE15" s="15"/>
    </row>
    <row r="16" spans="1:89" ht="12.95" customHeight="1" x14ac:dyDescent="0.2">
      <c r="C16" s="26" t="str">
        <f>VLOOKUP(33,Textbausteine_403[],Hilfsgrössen!$D$2,FALSE)</f>
        <v>Berufsunfälle Logistik-Services</v>
      </c>
      <c r="D16" s="1" t="str">
        <f>VLOOKUP(11,Textbausteine_403[],Hilfsgrössen!$D$2,FALSE)</f>
        <v>Anzahl pro 100 Personaleinheiten</v>
      </c>
      <c r="E16" s="9">
        <v>9</v>
      </c>
      <c r="F16" s="9" t="s">
        <v>170</v>
      </c>
      <c r="H16" s="109" t="s">
        <v>30</v>
      </c>
      <c r="I16" s="109" t="s">
        <v>30</v>
      </c>
      <c r="J16" s="109" t="s">
        <v>30</v>
      </c>
      <c r="K16" s="109" t="s">
        <v>30</v>
      </c>
      <c r="L16" s="109" t="s">
        <v>30</v>
      </c>
      <c r="M16" s="109" t="s">
        <v>30</v>
      </c>
      <c r="N16" s="109" t="s">
        <v>30</v>
      </c>
      <c r="O16" s="109" t="s">
        <v>30</v>
      </c>
      <c r="P16" s="109" t="s">
        <v>30</v>
      </c>
      <c r="Q16" s="109" t="s">
        <v>30</v>
      </c>
      <c r="R16" s="109" t="s">
        <v>30</v>
      </c>
      <c r="S16" s="109" t="s">
        <v>30</v>
      </c>
      <c r="T16" s="109" t="s">
        <v>30</v>
      </c>
      <c r="U16" s="109" t="s">
        <v>30</v>
      </c>
      <c r="V16" s="109" t="s">
        <v>30</v>
      </c>
      <c r="W16" s="109" t="s">
        <v>30</v>
      </c>
      <c r="X16" s="109" t="s">
        <v>30</v>
      </c>
      <c r="Y16" s="145">
        <v>11.0157827334427</v>
      </c>
      <c r="Z16" s="336"/>
      <c r="AA16" s="12"/>
      <c r="AB16" s="12"/>
      <c r="AC16" s="12"/>
      <c r="AD16" s="12"/>
    </row>
    <row r="17" spans="3:31" ht="12.95" customHeight="1" x14ac:dyDescent="0.2">
      <c r="C17" s="26" t="str">
        <f>VLOOKUP(34,Textbausteine_403[],Hilfsgrössen!$D$2,FALSE)</f>
        <v>Berufsunfälle Kommunikations-Services</v>
      </c>
      <c r="D17" s="1" t="str">
        <f>VLOOKUP(11,Textbausteine_403[],Hilfsgrössen!$D$2,FALSE)</f>
        <v>Anzahl pro 100 Personaleinheiten</v>
      </c>
      <c r="E17" s="9">
        <v>9</v>
      </c>
      <c r="F17" s="9" t="s">
        <v>170</v>
      </c>
      <c r="H17" s="109" t="s">
        <v>30</v>
      </c>
      <c r="I17" s="109" t="s">
        <v>30</v>
      </c>
      <c r="J17" s="109" t="s">
        <v>30</v>
      </c>
      <c r="K17" s="109" t="s">
        <v>30</v>
      </c>
      <c r="L17" s="109" t="s">
        <v>30</v>
      </c>
      <c r="M17" s="109" t="s">
        <v>30</v>
      </c>
      <c r="N17" s="109" t="s">
        <v>30</v>
      </c>
      <c r="O17" s="109" t="s">
        <v>30</v>
      </c>
      <c r="P17" s="109" t="s">
        <v>30</v>
      </c>
      <c r="Q17" s="109" t="s">
        <v>30</v>
      </c>
      <c r="R17" s="109" t="s">
        <v>30</v>
      </c>
      <c r="S17" s="109" t="s">
        <v>30</v>
      </c>
      <c r="T17" s="109" t="s">
        <v>30</v>
      </c>
      <c r="U17" s="109" t="s">
        <v>30</v>
      </c>
      <c r="V17" s="109" t="s">
        <v>30</v>
      </c>
      <c r="W17" s="109" t="s">
        <v>30</v>
      </c>
      <c r="X17" s="109" t="s">
        <v>30</v>
      </c>
      <c r="Y17" s="145">
        <v>1.0225306098798601</v>
      </c>
      <c r="Z17" s="336"/>
      <c r="AA17" s="15"/>
      <c r="AB17" s="15"/>
      <c r="AC17" s="15"/>
      <c r="AD17" s="15"/>
      <c r="AE17" s="15"/>
    </row>
    <row r="18" spans="3:31" ht="12.95" customHeight="1" x14ac:dyDescent="0.2">
      <c r="C18" s="26" t="str">
        <f>VLOOKUP(35,Textbausteine_403[],Hilfsgrössen!$D$2,FALSE)</f>
        <v>Berufsunfälle PostNetz</v>
      </c>
      <c r="D18" s="1" t="str">
        <f>VLOOKUP(11,Textbausteine_403[],Hilfsgrössen!$D$2,FALSE)</f>
        <v>Anzahl pro 100 Personaleinheiten</v>
      </c>
      <c r="E18" s="9" t="s">
        <v>95</v>
      </c>
      <c r="F18" s="9" t="s">
        <v>170</v>
      </c>
      <c r="H18" s="250">
        <v>5.2</v>
      </c>
      <c r="I18" s="250">
        <v>5.04</v>
      </c>
      <c r="J18" s="250">
        <v>5.09</v>
      </c>
      <c r="K18" s="250">
        <v>4.5999999999999996</v>
      </c>
      <c r="L18" s="251">
        <v>2.57</v>
      </c>
      <c r="M18" s="251">
        <v>2.38</v>
      </c>
      <c r="N18" s="210">
        <v>2.15</v>
      </c>
      <c r="O18" s="210">
        <v>2.77</v>
      </c>
      <c r="P18" s="254">
        <v>2.19</v>
      </c>
      <c r="Q18" s="207">
        <v>2.0299999999999998</v>
      </c>
      <c r="R18" s="252">
        <v>2.17</v>
      </c>
      <c r="S18" s="252">
        <v>2.35</v>
      </c>
      <c r="T18" s="210">
        <v>2.4300000000000002</v>
      </c>
      <c r="U18" s="210">
        <v>2.5757038850614218</v>
      </c>
      <c r="V18" s="210">
        <v>2.48</v>
      </c>
      <c r="W18" s="210">
        <v>2.23</v>
      </c>
      <c r="X18" s="210">
        <v>2.2244388485460802</v>
      </c>
      <c r="Y18" s="145">
        <v>3.39143017893119</v>
      </c>
      <c r="Z18" s="12"/>
      <c r="AA18" s="15"/>
      <c r="AB18" s="15"/>
      <c r="AC18" s="15"/>
      <c r="AD18" s="15"/>
    </row>
    <row r="19" spans="3:31" ht="12.95" customHeight="1" x14ac:dyDescent="0.2">
      <c r="C19" s="26" t="str">
        <f>VLOOKUP(36,Textbausteine_403[],Hilfsgrössen!$D$2,FALSE)</f>
        <v>Berufsunfälle PostFinance</v>
      </c>
      <c r="D19" s="1" t="str">
        <f>VLOOKUP(11,Textbausteine_403[],Hilfsgrössen!$D$2,FALSE)</f>
        <v>Anzahl pro 100 Personaleinheiten</v>
      </c>
      <c r="E19" s="9" t="s">
        <v>95</v>
      </c>
      <c r="F19" s="9" t="s">
        <v>170</v>
      </c>
      <c r="H19" s="250">
        <v>1.29</v>
      </c>
      <c r="I19" s="250">
        <v>1.38</v>
      </c>
      <c r="J19" s="250">
        <v>0.83</v>
      </c>
      <c r="K19" s="250">
        <v>0.7</v>
      </c>
      <c r="L19" s="251">
        <v>0.87</v>
      </c>
      <c r="M19" s="251">
        <v>0.85</v>
      </c>
      <c r="N19" s="210">
        <v>0.77</v>
      </c>
      <c r="O19" s="210">
        <v>0.88</v>
      </c>
      <c r="P19" s="207">
        <v>0.92</v>
      </c>
      <c r="Q19" s="207">
        <v>0.64</v>
      </c>
      <c r="R19" s="252">
        <v>0.43</v>
      </c>
      <c r="S19" s="252">
        <v>1.0900000000000001</v>
      </c>
      <c r="T19" s="207">
        <v>0.83</v>
      </c>
      <c r="U19" s="207">
        <v>0.80588269422798275</v>
      </c>
      <c r="V19" s="207">
        <v>0.6</v>
      </c>
      <c r="W19" s="207">
        <v>0.49</v>
      </c>
      <c r="X19" s="207">
        <v>0.55215350603672497</v>
      </c>
      <c r="Y19" s="145">
        <v>0.77233999219988103</v>
      </c>
      <c r="Z19" s="12"/>
      <c r="AA19" s="15"/>
      <c r="AB19" s="15"/>
      <c r="AC19" s="15"/>
      <c r="AD19" s="15"/>
      <c r="AE19" s="15"/>
    </row>
    <row r="20" spans="3:31" ht="12.95" customHeight="1" x14ac:dyDescent="0.2">
      <c r="C20" s="26" t="str">
        <f>VLOOKUP(37,Textbausteine_403[],Hilfsgrössen!$D$2,FALSE)</f>
        <v>Berufsunfälle Mobilitäts-Services</v>
      </c>
      <c r="D20" s="1" t="str">
        <f>VLOOKUP(11,Textbausteine_403[],Hilfsgrössen!$D$2,FALSE)</f>
        <v>Anzahl pro 100 Personaleinheiten</v>
      </c>
      <c r="E20" s="9">
        <v>9</v>
      </c>
      <c r="F20" s="9" t="s">
        <v>170</v>
      </c>
      <c r="H20" s="109" t="s">
        <v>30</v>
      </c>
      <c r="I20" s="109" t="s">
        <v>30</v>
      </c>
      <c r="J20" s="109" t="s">
        <v>30</v>
      </c>
      <c r="K20" s="109" t="s">
        <v>30</v>
      </c>
      <c r="L20" s="109" t="s">
        <v>30</v>
      </c>
      <c r="M20" s="109" t="s">
        <v>30</v>
      </c>
      <c r="N20" s="109" t="s">
        <v>30</v>
      </c>
      <c r="O20" s="109" t="s">
        <v>30</v>
      </c>
      <c r="P20" s="109" t="s">
        <v>30</v>
      </c>
      <c r="Q20" s="109" t="s">
        <v>30</v>
      </c>
      <c r="R20" s="109" t="s">
        <v>30</v>
      </c>
      <c r="S20" s="109" t="s">
        <v>30</v>
      </c>
      <c r="T20" s="109" t="s">
        <v>30</v>
      </c>
      <c r="U20" s="109" t="s">
        <v>30</v>
      </c>
      <c r="V20" s="109" t="s">
        <v>30</v>
      </c>
      <c r="W20" s="109" t="s">
        <v>30</v>
      </c>
      <c r="X20" s="109" t="s">
        <v>30</v>
      </c>
      <c r="Y20" s="145">
        <v>3.0649325355973498</v>
      </c>
      <c r="Z20" s="336"/>
      <c r="AE20" s="15"/>
    </row>
    <row r="21" spans="3:31" ht="12.95" customHeight="1" x14ac:dyDescent="0.2">
      <c r="C21" s="26" t="str">
        <f>VLOOKUP(38,Textbausteine_403[],Hilfsgrössen!$D$2,FALSE)</f>
        <v>Berufsunfälle Swiss Post International</v>
      </c>
      <c r="D21" s="1" t="str">
        <f>VLOOKUP(11,Textbausteine_403[],Hilfsgrössen!$D$2,FALSE)</f>
        <v>Anzahl pro 100 Personaleinheiten</v>
      </c>
      <c r="E21" s="9" t="s">
        <v>142</v>
      </c>
      <c r="F21" s="9" t="s">
        <v>170</v>
      </c>
      <c r="H21" s="250">
        <v>4.33</v>
      </c>
      <c r="I21" s="250">
        <v>4.16</v>
      </c>
      <c r="J21" s="250">
        <v>3.63</v>
      </c>
      <c r="K21" s="250">
        <v>4.67</v>
      </c>
      <c r="L21" s="255">
        <v>5.19</v>
      </c>
      <c r="M21" s="255">
        <v>6.8</v>
      </c>
      <c r="N21" s="207">
        <v>6.12</v>
      </c>
      <c r="O21" s="207">
        <v>4.45</v>
      </c>
      <c r="P21" s="207" t="s">
        <v>30</v>
      </c>
      <c r="Q21" s="207" t="s">
        <v>30</v>
      </c>
      <c r="R21" s="207" t="s">
        <v>30</v>
      </c>
      <c r="S21" s="207" t="s">
        <v>30</v>
      </c>
      <c r="T21" s="207" t="s">
        <v>30</v>
      </c>
      <c r="U21" s="207" t="s">
        <v>30</v>
      </c>
      <c r="V21" s="207" t="s">
        <v>30</v>
      </c>
      <c r="W21" s="207" t="s">
        <v>30</v>
      </c>
      <c r="X21" s="207" t="s">
        <v>30</v>
      </c>
      <c r="Y21" s="145" t="s">
        <v>30</v>
      </c>
    </row>
    <row r="22" spans="3:31" ht="12.95" customHeight="1" x14ac:dyDescent="0.2">
      <c r="C22" s="26" t="str">
        <f>VLOOKUP(39,Textbausteine_403[],Hilfsgrössen!$D$2,FALSE)</f>
        <v>Berufsunfälle Swiss Post Solutions</v>
      </c>
      <c r="D22" s="1" t="str">
        <f>VLOOKUP(11,Textbausteine_403[],Hilfsgrössen!$D$2,FALSE)</f>
        <v>Anzahl pro 100 Personaleinheiten</v>
      </c>
      <c r="E22" s="9" t="s">
        <v>171</v>
      </c>
      <c r="F22" s="9" t="s">
        <v>170</v>
      </c>
      <c r="H22" s="255" t="s">
        <v>30</v>
      </c>
      <c r="I22" s="255" t="s">
        <v>30</v>
      </c>
      <c r="J22" s="255" t="s">
        <v>30</v>
      </c>
      <c r="K22" s="255" t="s">
        <v>30</v>
      </c>
      <c r="L22" s="255">
        <v>2.0699999999999998</v>
      </c>
      <c r="M22" s="255">
        <v>3.2</v>
      </c>
      <c r="N22" s="207">
        <v>3.37</v>
      </c>
      <c r="O22" s="207">
        <v>2.31</v>
      </c>
      <c r="P22" s="207">
        <v>2.06</v>
      </c>
      <c r="Q22" s="207">
        <v>3.03</v>
      </c>
      <c r="R22" s="207">
        <v>2.15</v>
      </c>
      <c r="S22" s="207">
        <v>2.4500000000000002</v>
      </c>
      <c r="T22" s="207">
        <v>2.4700000000000002</v>
      </c>
      <c r="U22" s="207">
        <v>2.8916925967326179</v>
      </c>
      <c r="V22" s="207">
        <v>2.1800000000000002</v>
      </c>
      <c r="W22" s="207">
        <v>1.96</v>
      </c>
      <c r="X22" s="207">
        <v>3.2544547519053202</v>
      </c>
      <c r="Y22" s="145">
        <v>1.62064266584914</v>
      </c>
    </row>
    <row r="23" spans="3:31" ht="12.95" customHeight="1" x14ac:dyDescent="0.2">
      <c r="C23" s="26" t="str">
        <f>VLOOKUP(40,Textbausteine_403[],Hilfsgrössen!$D$2,FALSE)</f>
        <v>Berufsunfälle mit Todesfolgen</v>
      </c>
      <c r="D23" s="16" t="str">
        <f>VLOOKUP(12,Textbausteine_403[],Hilfsgrössen!$D$2,FALSE)</f>
        <v>Anzahl</v>
      </c>
      <c r="E23" s="9">
        <v>2</v>
      </c>
      <c r="F23" s="9" t="s">
        <v>170</v>
      </c>
      <c r="H23" s="109" t="s">
        <v>30</v>
      </c>
      <c r="I23" s="253" t="s">
        <v>30</v>
      </c>
      <c r="J23" s="253" t="s">
        <v>30</v>
      </c>
      <c r="K23" s="140">
        <v>0</v>
      </c>
      <c r="L23" s="141">
        <v>0</v>
      </c>
      <c r="M23" s="141">
        <v>0</v>
      </c>
      <c r="N23" s="15">
        <v>1</v>
      </c>
      <c r="O23" s="15">
        <v>1</v>
      </c>
      <c r="P23" s="15">
        <v>0</v>
      </c>
      <c r="Q23" s="15">
        <v>0</v>
      </c>
      <c r="R23" s="15">
        <v>0</v>
      </c>
      <c r="S23" s="15">
        <v>0</v>
      </c>
      <c r="T23" s="15">
        <v>0</v>
      </c>
      <c r="U23" s="15">
        <v>1</v>
      </c>
      <c r="V23" s="15">
        <v>0</v>
      </c>
      <c r="W23" s="15">
        <v>0</v>
      </c>
      <c r="X23" s="15">
        <v>2</v>
      </c>
      <c r="Y23" s="145">
        <v>0</v>
      </c>
    </row>
    <row r="24" spans="3:31" ht="12.95" customHeight="1" x14ac:dyDescent="0.2">
      <c r="C24" s="17" t="str">
        <f>VLOOKUP(41,Textbausteine_403[],Hilfsgrössen!$D$2,FALSE)</f>
        <v xml:space="preserve">Nichtberufsunfälle   </v>
      </c>
      <c r="D24" s="1" t="str">
        <f>VLOOKUP(11,Textbausteine_403[],Hilfsgrössen!$D$2,FALSE)</f>
        <v>Anzahl pro 100 Personaleinheiten</v>
      </c>
      <c r="E24" s="9" t="s">
        <v>94</v>
      </c>
      <c r="F24" s="9" t="s">
        <v>170</v>
      </c>
      <c r="H24" s="250">
        <v>16.25</v>
      </c>
      <c r="I24" s="250">
        <v>15.09</v>
      </c>
      <c r="J24" s="250">
        <v>15.97</v>
      </c>
      <c r="K24" s="250">
        <v>14.75</v>
      </c>
      <c r="L24" s="251">
        <v>15.61</v>
      </c>
      <c r="M24" s="251">
        <v>15.26</v>
      </c>
      <c r="N24" s="207">
        <v>16.239999999999998</v>
      </c>
      <c r="O24" s="207">
        <v>16.739999999999998</v>
      </c>
      <c r="P24" s="207">
        <v>16.010000000000002</v>
      </c>
      <c r="Q24" s="207">
        <v>15.74</v>
      </c>
      <c r="R24" s="207">
        <v>15.53</v>
      </c>
      <c r="S24" s="207">
        <v>15.99</v>
      </c>
      <c r="T24" s="207">
        <v>15.55</v>
      </c>
      <c r="U24" s="207">
        <v>16.126584462111929</v>
      </c>
      <c r="V24" s="207">
        <v>15.95</v>
      </c>
      <c r="W24" s="207">
        <v>15.41</v>
      </c>
      <c r="X24" s="207">
        <v>14.322108625573501</v>
      </c>
      <c r="Y24" s="387">
        <v>14.338615286412599</v>
      </c>
    </row>
    <row r="25" spans="3:31" ht="12.95" customHeight="1" x14ac:dyDescent="0.2">
      <c r="H25" s="49"/>
      <c r="I25" s="49"/>
      <c r="J25" s="49"/>
      <c r="K25" s="49"/>
      <c r="L25" s="49"/>
      <c r="M25" s="49"/>
      <c r="T25" s="9"/>
      <c r="U25" s="9"/>
      <c r="V25" s="9"/>
      <c r="W25" s="9"/>
      <c r="X25" s="9"/>
      <c r="Y25" s="145"/>
    </row>
    <row r="26" spans="3:31" ht="12.95" customHeight="1" x14ac:dyDescent="0.2">
      <c r="C26" s="2" t="str">
        <f>VLOOKUP(42,Textbausteine_403[],Hilfsgrössen!$D$2,FALSE)</f>
        <v>Verursachte Unfallkosten</v>
      </c>
      <c r="H26" s="49"/>
      <c r="I26" s="49"/>
      <c r="J26" s="49"/>
      <c r="K26" s="49"/>
      <c r="L26" s="49"/>
      <c r="M26" s="49"/>
      <c r="T26" s="9"/>
      <c r="U26" s="9"/>
      <c r="V26" s="9"/>
      <c r="W26" s="9"/>
      <c r="X26" s="9"/>
      <c r="Y26" s="145"/>
    </row>
    <row r="27" spans="3:31" ht="12.95" customHeight="1" x14ac:dyDescent="0.2">
      <c r="C27" s="13" t="str">
        <f>VLOOKUP(43,Textbausteine_403[],Hilfsgrössen!$D$2,FALSE)</f>
        <v>Berufsunfälle</v>
      </c>
      <c r="D27" s="1" t="str">
        <f>VLOOKUP(13,Textbausteine_403[],Hilfsgrössen!$D$2,FALSE)</f>
        <v>Mio. CHF</v>
      </c>
      <c r="E27" s="9" t="s">
        <v>172</v>
      </c>
      <c r="F27" s="9" t="s">
        <v>170</v>
      </c>
      <c r="H27" s="139">
        <v>47.375999999999998</v>
      </c>
      <c r="I27" s="139">
        <v>43.762161599999999</v>
      </c>
      <c r="J27" s="139">
        <v>41.414052599999991</v>
      </c>
      <c r="K27" s="110">
        <v>37.4</v>
      </c>
      <c r="L27" s="133">
        <v>42.8</v>
      </c>
      <c r="M27" s="107">
        <v>44.2</v>
      </c>
      <c r="N27" s="9">
        <v>51.1</v>
      </c>
      <c r="O27" s="9">
        <v>47</v>
      </c>
      <c r="P27" s="9">
        <v>49.4</v>
      </c>
      <c r="Q27" s="9">
        <v>45.47</v>
      </c>
      <c r="R27" s="9">
        <v>39.4</v>
      </c>
      <c r="S27" s="9">
        <v>38.340000000000003</v>
      </c>
      <c r="T27" s="9">
        <v>16.7</v>
      </c>
      <c r="U27" s="9">
        <v>17.8</v>
      </c>
      <c r="V27" s="9">
        <v>16.14</v>
      </c>
      <c r="W27" s="9">
        <v>16.600000000000001</v>
      </c>
      <c r="X27" s="9">
        <v>15.907044792718063</v>
      </c>
      <c r="Y27" s="145">
        <v>19.253181710621032</v>
      </c>
    </row>
    <row r="28" spans="3:31" ht="12.95" customHeight="1" x14ac:dyDescent="0.2">
      <c r="C28" s="13" t="str">
        <f>VLOOKUP(44,Textbausteine_403[],Hilfsgrössen!$D$2,FALSE)</f>
        <v>Nichtberufsunfälle</v>
      </c>
      <c r="D28" s="1" t="str">
        <f>VLOOKUP(13,Textbausteine_403[],Hilfsgrössen!$D$2,FALSE)</f>
        <v>Mio. CHF</v>
      </c>
      <c r="E28" s="9" t="s">
        <v>172</v>
      </c>
      <c r="F28" s="9" t="s">
        <v>170</v>
      </c>
      <c r="H28" s="139">
        <v>47.375999999999998</v>
      </c>
      <c r="I28" s="139">
        <v>43.762161599999999</v>
      </c>
      <c r="J28" s="139">
        <v>41.414052599999991</v>
      </c>
      <c r="K28" s="139">
        <v>37.4</v>
      </c>
      <c r="L28" s="133">
        <v>37.299999999999997</v>
      </c>
      <c r="M28" s="107">
        <v>36.4</v>
      </c>
      <c r="N28" s="9">
        <v>38.700000000000003</v>
      </c>
      <c r="O28" s="9">
        <v>39.6</v>
      </c>
      <c r="P28" s="9">
        <v>38.299999999999997</v>
      </c>
      <c r="Q28" s="9">
        <v>37.29</v>
      </c>
      <c r="R28" s="9">
        <v>36.200000000000003</v>
      </c>
      <c r="S28" s="9">
        <v>35.424900000000001</v>
      </c>
      <c r="T28" s="9">
        <v>40</v>
      </c>
      <c r="U28" s="9">
        <v>40.4</v>
      </c>
      <c r="V28" s="9">
        <v>38.869999999999997</v>
      </c>
      <c r="W28" s="9">
        <v>36.5</v>
      </c>
      <c r="X28" s="9">
        <v>33.809901068110229</v>
      </c>
      <c r="Y28" s="145">
        <v>34.089668534507432</v>
      </c>
    </row>
    <row r="29" spans="3:31" ht="12.95" customHeight="1" x14ac:dyDescent="0.2">
      <c r="C29" s="13" t="str">
        <f>VLOOKUP(45,Textbausteine_403[],Hilfsgrössen!$D$2,FALSE)</f>
        <v>Berufs- und Nichtberufsunfälle</v>
      </c>
      <c r="D29" s="1" t="str">
        <f>VLOOKUP(13,Textbausteine_403[],Hilfsgrössen!$D$2,FALSE)</f>
        <v>Mio. CHF</v>
      </c>
      <c r="E29" s="9" t="s">
        <v>172</v>
      </c>
      <c r="F29" s="9" t="s">
        <v>170</v>
      </c>
      <c r="H29" s="139">
        <v>94.751999999999995</v>
      </c>
      <c r="I29" s="139">
        <v>87.524323199999998</v>
      </c>
      <c r="J29" s="139">
        <v>82.828105199999982</v>
      </c>
      <c r="K29" s="139">
        <v>74.8</v>
      </c>
      <c r="L29" s="133">
        <v>80.099999999999994</v>
      </c>
      <c r="M29" s="133">
        <v>80.599999999999994</v>
      </c>
      <c r="N29" s="9">
        <v>89.800000000000011</v>
      </c>
      <c r="O29" s="9">
        <v>86.6</v>
      </c>
      <c r="P29" s="9">
        <v>87.699999999999989</v>
      </c>
      <c r="Q29" s="9">
        <v>82.759999999999991</v>
      </c>
      <c r="R29" s="9">
        <v>75.599999999999994</v>
      </c>
      <c r="S29" s="9">
        <v>73.764900000000011</v>
      </c>
      <c r="T29" s="9">
        <v>56.7</v>
      </c>
      <c r="U29" s="9">
        <v>58.2</v>
      </c>
      <c r="V29" s="9">
        <v>55.01</v>
      </c>
      <c r="W29" s="9">
        <v>53.1</v>
      </c>
      <c r="X29" s="9">
        <v>49.716945860828289</v>
      </c>
      <c r="Y29" s="145">
        <v>53.34285024512846</v>
      </c>
    </row>
    <row r="30" spans="3:31" ht="12.95" customHeight="1" x14ac:dyDescent="0.2">
      <c r="F30" s="11"/>
      <c r="H30" s="49"/>
      <c r="I30" s="49"/>
      <c r="J30" s="49"/>
      <c r="K30" s="49"/>
      <c r="L30" s="49"/>
      <c r="M30" s="49"/>
      <c r="T30" s="9"/>
      <c r="U30" s="9"/>
      <c r="V30" s="9"/>
      <c r="W30" s="9"/>
      <c r="X30" s="9"/>
      <c r="Y30" s="145"/>
    </row>
    <row r="31" spans="3:31" ht="12.95" customHeight="1" x14ac:dyDescent="0.2">
      <c r="C31" s="2" t="str">
        <f>VLOOKUP(46,Textbausteine_403[],Hilfsgrössen!$D$2,FALSE)</f>
        <v>Krankheits- und unfallbedingte Aussetztage</v>
      </c>
      <c r="G31" s="303"/>
      <c r="H31" s="51"/>
      <c r="I31" s="51"/>
      <c r="J31" s="51"/>
      <c r="K31" s="51"/>
      <c r="L31" s="51"/>
      <c r="M31" s="51"/>
      <c r="T31" s="9"/>
      <c r="U31" s="9"/>
      <c r="V31" s="9"/>
      <c r="W31" s="9"/>
      <c r="X31" s="9"/>
      <c r="Y31" s="145"/>
    </row>
    <row r="32" spans="3:31" ht="12.95" customHeight="1" x14ac:dyDescent="0.2">
      <c r="C32" s="13" t="str">
        <f>VLOOKUP(47,Textbausteine_403[],Hilfsgrössen!$D$2,FALSE)</f>
        <v>Medizinisch bedingte Aussetztage</v>
      </c>
      <c r="D32" s="1" t="str">
        <f>VLOOKUP(14,Textbausteine_403[],Hilfsgrössen!$D$2,FALSE)</f>
        <v>Aussetztage pro Person</v>
      </c>
      <c r="E32" s="9" t="s">
        <v>173</v>
      </c>
      <c r="F32" s="9" t="s">
        <v>170</v>
      </c>
      <c r="H32" s="137">
        <v>12.46</v>
      </c>
      <c r="I32" s="137">
        <v>11.9</v>
      </c>
      <c r="J32" s="137">
        <v>11.41</v>
      </c>
      <c r="K32" s="137">
        <v>10.95</v>
      </c>
      <c r="L32" s="138">
        <v>10.69</v>
      </c>
      <c r="M32" s="138">
        <v>10.36</v>
      </c>
      <c r="N32" s="256">
        <v>10.54</v>
      </c>
      <c r="O32" s="256">
        <v>10.83</v>
      </c>
      <c r="P32" s="256">
        <v>11.01</v>
      </c>
      <c r="Q32" s="256">
        <v>11.59</v>
      </c>
      <c r="R32" s="256">
        <v>11.82</v>
      </c>
      <c r="S32" s="256">
        <v>12.36</v>
      </c>
      <c r="T32" s="256">
        <v>12.53</v>
      </c>
      <c r="U32" s="256">
        <v>12.85</v>
      </c>
      <c r="V32" s="256">
        <v>13.18</v>
      </c>
      <c r="W32" s="256">
        <v>13.26</v>
      </c>
      <c r="X32" s="256">
        <v>13.3440856684387</v>
      </c>
      <c r="Y32" s="388">
        <v>13.9567228000711</v>
      </c>
    </row>
    <row r="33" spans="1:89" ht="12.95" customHeight="1" x14ac:dyDescent="0.2">
      <c r="C33" s="26" t="str">
        <f>VLOOKUP(48,Textbausteine_403[],Hilfsgrössen!$D$2,FALSE)</f>
        <v>Kurzabsenz</v>
      </c>
      <c r="D33" s="1" t="str">
        <f>VLOOKUP(14,Textbausteine_403[],Hilfsgrössen!$D$2,FALSE)</f>
        <v>Aussetztage pro Person</v>
      </c>
      <c r="E33" s="9" t="s">
        <v>173</v>
      </c>
      <c r="F33" s="9" t="s">
        <v>170</v>
      </c>
      <c r="H33" s="137">
        <v>1.27</v>
      </c>
      <c r="I33" s="137">
        <v>1.38</v>
      </c>
      <c r="J33" s="137">
        <v>1.34</v>
      </c>
      <c r="K33" s="137">
        <v>1.46</v>
      </c>
      <c r="L33" s="138">
        <v>1.54</v>
      </c>
      <c r="M33" s="138">
        <v>1.69</v>
      </c>
      <c r="N33" s="256">
        <v>1.54</v>
      </c>
      <c r="O33" s="256">
        <v>1.58</v>
      </c>
      <c r="P33" s="256">
        <v>1.58</v>
      </c>
      <c r="Q33" s="256">
        <v>1.7027223666216518</v>
      </c>
      <c r="R33" s="256">
        <v>1.56</v>
      </c>
      <c r="S33" s="256">
        <v>1.7</v>
      </c>
      <c r="T33" s="256">
        <v>1.7</v>
      </c>
      <c r="U33" s="256">
        <v>1.66</v>
      </c>
      <c r="V33" s="256">
        <v>1.74</v>
      </c>
      <c r="W33" s="256">
        <v>1.8</v>
      </c>
      <c r="X33" s="256">
        <v>1.4077147417077001</v>
      </c>
      <c r="Y33" s="145">
        <v>1.5238757273572701</v>
      </c>
    </row>
    <row r="34" spans="1:89" ht="12.95" customHeight="1" x14ac:dyDescent="0.2">
      <c r="C34" s="26" t="str">
        <f>VLOOKUP(49,Textbausteine_403[],Hilfsgrössen!$D$2,FALSE)</f>
        <v>Krankheit</v>
      </c>
      <c r="D34" s="1" t="str">
        <f>VLOOKUP(14,Textbausteine_403[],Hilfsgrössen!$D$2,FALSE)</f>
        <v>Aussetztage pro Person</v>
      </c>
      <c r="E34" s="9" t="s">
        <v>173</v>
      </c>
      <c r="F34" s="11" t="s">
        <v>170</v>
      </c>
      <c r="H34" s="137">
        <v>8.23</v>
      </c>
      <c r="I34" s="137">
        <v>7.71</v>
      </c>
      <c r="J34" s="137">
        <v>7.34</v>
      </c>
      <c r="K34" s="137">
        <v>7.03</v>
      </c>
      <c r="L34" s="138">
        <v>6.87</v>
      </c>
      <c r="M34" s="138">
        <v>6.31</v>
      </c>
      <c r="N34" s="256">
        <v>6.56</v>
      </c>
      <c r="O34" s="256">
        <v>6.87</v>
      </c>
      <c r="P34" s="256">
        <v>7.02</v>
      </c>
      <c r="Q34" s="256">
        <v>7.3864796161702015</v>
      </c>
      <c r="R34" s="256">
        <v>7.88</v>
      </c>
      <c r="S34" s="256">
        <v>8.1</v>
      </c>
      <c r="T34" s="256">
        <v>8.3699999999999992</v>
      </c>
      <c r="U34" s="256">
        <v>8.75</v>
      </c>
      <c r="V34" s="256">
        <v>8.9</v>
      </c>
      <c r="W34" s="256">
        <v>8.94</v>
      </c>
      <c r="X34" s="256">
        <v>9.3546874219152407</v>
      </c>
      <c r="Y34" s="145">
        <v>9.5806625075681495</v>
      </c>
    </row>
    <row r="35" spans="1:89" ht="12.95" customHeight="1" x14ac:dyDescent="0.2">
      <c r="C35" s="26" t="str">
        <f>VLOOKUP(50,Textbausteine_403[],Hilfsgrössen!$D$2,FALSE)</f>
        <v>Berufsunfall</v>
      </c>
      <c r="D35" s="1" t="str">
        <f>VLOOKUP(14,Textbausteine_403[],Hilfsgrössen!$D$2,FALSE)</f>
        <v>Aussetztage pro Person</v>
      </c>
      <c r="E35" s="9" t="s">
        <v>173</v>
      </c>
      <c r="F35" s="11" t="s">
        <v>170</v>
      </c>
      <c r="G35" s="303"/>
      <c r="H35" s="137">
        <v>0.89</v>
      </c>
      <c r="I35" s="137">
        <v>0.85</v>
      </c>
      <c r="J35" s="137">
        <v>0.86</v>
      </c>
      <c r="K35" s="137">
        <v>0.69</v>
      </c>
      <c r="L35" s="138">
        <v>0.71</v>
      </c>
      <c r="M35" s="138">
        <v>0.78</v>
      </c>
      <c r="N35" s="256">
        <v>0.89</v>
      </c>
      <c r="O35" s="256">
        <v>0.8</v>
      </c>
      <c r="P35" s="256">
        <v>0.82</v>
      </c>
      <c r="Q35" s="256">
        <v>0.80571355007129164</v>
      </c>
      <c r="R35" s="256">
        <v>0.66</v>
      </c>
      <c r="S35" s="256">
        <v>0.8</v>
      </c>
      <c r="T35" s="256">
        <v>0.82</v>
      </c>
      <c r="U35" s="256">
        <v>0.84</v>
      </c>
      <c r="V35" s="256">
        <v>0.86</v>
      </c>
      <c r="W35" s="256">
        <v>0.85</v>
      </c>
      <c r="X35" s="256">
        <v>0.94783599418187003</v>
      </c>
      <c r="Y35" s="145">
        <v>1.13114469265019</v>
      </c>
    </row>
    <row r="36" spans="1:89" ht="12.95" customHeight="1" x14ac:dyDescent="0.2">
      <c r="C36" s="26" t="str">
        <f>VLOOKUP(51,Textbausteine_403[],Hilfsgrössen!$D$2,FALSE)</f>
        <v>Nichtberufsunfall</v>
      </c>
      <c r="D36" s="1" t="str">
        <f>VLOOKUP(14,Textbausteine_403[],Hilfsgrössen!$D$2,FALSE)</f>
        <v>Aussetztage pro Person</v>
      </c>
      <c r="E36" s="9" t="s">
        <v>173</v>
      </c>
      <c r="F36" s="9" t="s">
        <v>170</v>
      </c>
      <c r="G36" s="303"/>
      <c r="H36" s="137">
        <v>2.0699999999999998</v>
      </c>
      <c r="I36" s="137">
        <v>1.96</v>
      </c>
      <c r="J36" s="137">
        <v>1.87</v>
      </c>
      <c r="K36" s="110">
        <v>1.77</v>
      </c>
      <c r="L36" s="107">
        <v>1.57</v>
      </c>
      <c r="M36" s="107">
        <v>1.58</v>
      </c>
      <c r="N36" s="9">
        <v>1.55</v>
      </c>
      <c r="O36" s="9">
        <v>1.6</v>
      </c>
      <c r="P36" s="9">
        <v>1.6</v>
      </c>
      <c r="Q36" s="9">
        <v>1.6920094658812532</v>
      </c>
      <c r="R36" s="9">
        <v>1.71</v>
      </c>
      <c r="S36" s="9">
        <v>1.75</v>
      </c>
      <c r="T36" s="9">
        <v>1.65</v>
      </c>
      <c r="U36" s="9">
        <v>1.6</v>
      </c>
      <c r="V36" s="9">
        <v>1.68</v>
      </c>
      <c r="W36" s="9">
        <v>1.67</v>
      </c>
      <c r="X36" s="9">
        <v>1.6338475106338699</v>
      </c>
      <c r="Y36" s="145">
        <v>1.72103987249553</v>
      </c>
    </row>
    <row r="37" spans="1:89" ht="12.95" customHeight="1" x14ac:dyDescent="0.2">
      <c r="C37" s="13" t="str">
        <f>VLOOKUP(52,Textbausteine_403[],Hilfsgrössen!$D$2,FALSE)</f>
        <v>Aussetztage</v>
      </c>
      <c r="D37" s="1" t="str">
        <f>VLOOKUP(15,Textbausteine_403[],Hilfsgrössen!$D$2,FALSE)</f>
        <v>Tage pro Jahr</v>
      </c>
      <c r="E37" s="9" t="s">
        <v>173</v>
      </c>
      <c r="F37" s="9" t="s">
        <v>170</v>
      </c>
      <c r="H37" s="140">
        <v>480097</v>
      </c>
      <c r="I37" s="140">
        <v>439975</v>
      </c>
      <c r="J37" s="140">
        <v>411575</v>
      </c>
      <c r="K37" s="140">
        <v>380052</v>
      </c>
      <c r="L37" s="141">
        <v>373709</v>
      </c>
      <c r="M37" s="141">
        <v>361782</v>
      </c>
      <c r="N37" s="9">
        <v>365273</v>
      </c>
      <c r="O37" s="9">
        <v>376546</v>
      </c>
      <c r="P37" s="9">
        <v>379940</v>
      </c>
      <c r="Q37" s="9">
        <v>391090.99119047617</v>
      </c>
      <c r="R37" s="9">
        <v>394906</v>
      </c>
      <c r="S37" s="9">
        <v>409737</v>
      </c>
      <c r="T37" s="9">
        <v>417145</v>
      </c>
      <c r="U37" s="9">
        <v>416269</v>
      </c>
      <c r="V37" s="9">
        <v>415111</v>
      </c>
      <c r="W37" s="9">
        <v>412579</v>
      </c>
      <c r="X37" s="9">
        <v>414296.22857142898</v>
      </c>
      <c r="Y37" s="145">
        <v>436458.00595238101</v>
      </c>
    </row>
    <row r="38" spans="1:89" ht="12.95" customHeight="1" x14ac:dyDescent="0.2">
      <c r="C38" s="26" t="str">
        <f>VLOOKUP(53,Textbausteine_403[],Hilfsgrössen!$D$2,FALSE)</f>
        <v>Ausfalllohnkosten</v>
      </c>
      <c r="D38" s="1" t="str">
        <f>VLOOKUP(13,Textbausteine_403[],Hilfsgrössen!$D$2,FALSE)</f>
        <v>Mio. CHF</v>
      </c>
      <c r="E38" s="9" t="s">
        <v>173</v>
      </c>
      <c r="F38" s="11" t="s">
        <v>170</v>
      </c>
      <c r="H38" s="110">
        <v>129.69999999999999</v>
      </c>
      <c r="I38" s="110">
        <v>126.3</v>
      </c>
      <c r="J38" s="110">
        <v>121.4</v>
      </c>
      <c r="K38" s="139">
        <v>115</v>
      </c>
      <c r="L38" s="107">
        <v>118.5</v>
      </c>
      <c r="M38" s="107">
        <v>117.6</v>
      </c>
      <c r="N38" s="9">
        <v>121.3</v>
      </c>
      <c r="O38" s="9">
        <v>124.2</v>
      </c>
      <c r="P38" s="9">
        <v>127.3</v>
      </c>
      <c r="Q38" s="9">
        <v>132.27313689290401</v>
      </c>
      <c r="R38" s="9">
        <v>134</v>
      </c>
      <c r="S38" s="9">
        <v>139.30000000000001</v>
      </c>
      <c r="T38" s="9">
        <v>138.30000000000001</v>
      </c>
      <c r="U38" s="9">
        <v>139.4</v>
      </c>
      <c r="V38" s="9">
        <v>139.4</v>
      </c>
      <c r="W38" s="9">
        <v>138</v>
      </c>
      <c r="X38" s="9">
        <v>141</v>
      </c>
      <c r="Y38" s="145">
        <v>150</v>
      </c>
    </row>
    <row r="39" spans="1:89" ht="12.95" customHeight="1" x14ac:dyDescent="0.2">
      <c r="E39" s="11"/>
      <c r="F39" s="11"/>
      <c r="G39" s="303"/>
      <c r="H39" s="49"/>
      <c r="I39" s="49"/>
      <c r="J39" s="49"/>
      <c r="K39" s="49"/>
      <c r="L39" s="49"/>
      <c r="M39" s="49"/>
      <c r="T39" s="9"/>
      <c r="U39" s="9"/>
      <c r="V39" s="9"/>
      <c r="W39" s="9"/>
      <c r="X39" s="9"/>
      <c r="Y39" s="145"/>
    </row>
    <row r="40" spans="1:89" ht="12.95" customHeight="1" x14ac:dyDescent="0.2">
      <c r="C40" s="121" t="str">
        <f>VLOOKUP(54,Textbausteine_403[],Hilfsgrössen!$D$2,FALSE)</f>
        <v>Vertretung Personalkommission zur Überwachung Gesundheitsschutz / Arbeitssicherheit</v>
      </c>
      <c r="E40" s="11"/>
      <c r="G40" s="303"/>
      <c r="H40" s="49"/>
      <c r="I40" s="49"/>
      <c r="J40" s="49"/>
      <c r="K40" s="49"/>
      <c r="L40" s="49"/>
      <c r="M40" s="49"/>
      <c r="T40" s="9"/>
      <c r="U40" s="9"/>
      <c r="V40" s="9"/>
      <c r="W40" s="9"/>
      <c r="X40" s="9"/>
      <c r="Y40" s="145"/>
    </row>
    <row r="41" spans="1:89" ht="12.95" customHeight="1" x14ac:dyDescent="0.2">
      <c r="C41" s="17" t="str">
        <f>VLOOKUP(55,Textbausteine_403[],Hilfsgrössen!$D$2,FALSE)</f>
        <v>Vertretungen in Personalkommission</v>
      </c>
      <c r="D41" s="16" t="str">
        <f>VLOOKUP(11,Textbausteine_403[],Hilfsgrössen!$D$2,FALSE)</f>
        <v>Anzahl pro 100 Personaleinheiten</v>
      </c>
      <c r="E41" s="11" t="s">
        <v>174</v>
      </c>
      <c r="F41" s="9" t="s">
        <v>175</v>
      </c>
      <c r="H41" s="49" t="s">
        <v>30</v>
      </c>
      <c r="I41" s="49" t="s">
        <v>30</v>
      </c>
      <c r="J41" s="49" t="s">
        <v>30</v>
      </c>
      <c r="K41" s="49" t="s">
        <v>30</v>
      </c>
      <c r="L41" s="49" t="s">
        <v>30</v>
      </c>
      <c r="M41" s="49" t="s">
        <v>30</v>
      </c>
      <c r="N41" s="49" t="s">
        <v>30</v>
      </c>
      <c r="O41" s="49" t="s">
        <v>30</v>
      </c>
      <c r="P41" s="9">
        <v>0.23</v>
      </c>
      <c r="Q41" s="9">
        <v>0.24</v>
      </c>
      <c r="R41" s="9">
        <v>0.24</v>
      </c>
      <c r="S41" s="9">
        <v>0.24</v>
      </c>
      <c r="T41" s="9" t="s">
        <v>30</v>
      </c>
      <c r="U41" s="9" t="s">
        <v>30</v>
      </c>
      <c r="V41" s="9" t="s">
        <v>30</v>
      </c>
      <c r="W41" s="9" t="s">
        <v>30</v>
      </c>
      <c r="X41" s="9" t="s">
        <v>30</v>
      </c>
      <c r="Y41" s="145" t="s">
        <v>30</v>
      </c>
    </row>
    <row r="42" spans="1:89" ht="12.95" customHeight="1" x14ac:dyDescent="0.2">
      <c r="E42" s="11"/>
      <c r="H42" s="49"/>
      <c r="I42" s="49"/>
      <c r="J42" s="49"/>
      <c r="K42" s="49"/>
      <c r="L42" s="49"/>
      <c r="M42" s="49"/>
      <c r="T42" s="9"/>
      <c r="U42" s="9"/>
      <c r="V42" s="9"/>
      <c r="W42" s="9"/>
      <c r="X42" s="9"/>
      <c r="Y42" s="9"/>
    </row>
    <row r="43" spans="1:89" ht="12.95" customHeight="1" x14ac:dyDescent="0.25">
      <c r="B43" s="302" t="str">
        <f>VLOOKUP(131,Textbausteine_403[],Hilfsgrössen!$D$2,FALSE)</f>
        <v>1) Eine Personaleinheit entspricht einer Vollzeitstelle.</v>
      </c>
      <c r="E43" s="11"/>
      <c r="H43" s="49"/>
      <c r="I43" s="49"/>
      <c r="J43" s="49"/>
      <c r="K43" s="49"/>
      <c r="L43" s="49"/>
      <c r="M43" s="49"/>
      <c r="T43" s="9"/>
      <c r="U43" s="9"/>
      <c r="V43" s="9"/>
      <c r="W43" s="9"/>
      <c r="X43" s="9"/>
      <c r="Y43" s="9"/>
    </row>
    <row r="44" spans="1:89" ht="12.95" customHeight="1" x14ac:dyDescent="0.25">
      <c r="B44" s="302" t="str">
        <f>VLOOKUP(132,Textbausteine_403[],Hilfsgrössen!$D$2,FALSE)</f>
        <v>2) Konzern Schweiz: Daten aus dem Personalsystem, aktuell ohne Daten zu 1076 Personaleinheiten bzw. 5551 Personen der Konzerngesellschaften Botec Boncourt S.A., BLUESPED LOGISTICS Sàrl, Epsilon SA, Direct Mail Company AG, PubliBike AG, DESTINAS AG, KLARA Business AG, Relatra AG, BPS Speditions-Service AG, Arlesheim, BPS Speditions-Service AG, Pfungen, Walli-Trans AG, ASMIQ AG, notime AG, notime (Schweiz) AG, Dialog Verwaltungs-Data AG, SwissSign Group AG, SwissSign AG, Tresorit AG, Bring! Labs AG, Livesystems Group AG, Livesystems AG, Livesystems dooh AG, Iemoli Trasporti SA, InTraLog Hermes AG, InTraLog Overseas AG, Otto Schmidt AG und Steriplus AG.</v>
      </c>
      <c r="H44" s="49"/>
      <c r="I44" s="49"/>
      <c r="J44" s="49"/>
      <c r="K44" s="49"/>
      <c r="L44" s="49"/>
      <c r="M44" s="49"/>
      <c r="T44" s="9"/>
      <c r="U44" s="9"/>
      <c r="V44" s="9"/>
      <c r="W44" s="9"/>
      <c r="X44" s="9"/>
      <c r="Y44" s="9"/>
    </row>
    <row r="45" spans="1:89" ht="12.95" customHeight="1" x14ac:dyDescent="0.25">
      <c r="B45" s="302" t="str">
        <f>VLOOKUP(133,Textbausteine_403[],Hilfsgrössen!$D$2,FALSE)</f>
        <v>3) ohne Lernpersonal</v>
      </c>
      <c r="F45" s="11"/>
      <c r="H45" s="49"/>
      <c r="I45" s="49"/>
      <c r="J45" s="49"/>
      <c r="K45" s="49"/>
      <c r="L45" s="49"/>
      <c r="M45" s="49"/>
      <c r="T45" s="9"/>
      <c r="U45" s="9"/>
      <c r="V45" s="9"/>
      <c r="W45" s="9"/>
      <c r="X45" s="9"/>
      <c r="Y45" s="9"/>
    </row>
    <row r="46" spans="1:89" s="320" customFormat="1" ht="12.95" customHeight="1" x14ac:dyDescent="0.25">
      <c r="A46" s="339"/>
      <c r="B46" s="302" t="str">
        <f>VLOOKUP(134,Textbausteine_403[],Hilfsgrössen!$D$2,FALSE)</f>
        <v xml:space="preserve">4) Ab dem Jahr 2012 besteht Swiss Post International nicht mehr als eigenständiges Segment. Die Werte wurden ab dem 1. Januar 2012 auf die Geschäftsbereiche PostMail und PostLogistics überführt, welche ab dem 1.1.2021 in das Segment Logistik-Services zusammengefasst wurden. </v>
      </c>
      <c r="E46" s="322"/>
      <c r="F46" s="322"/>
      <c r="G46" s="340"/>
      <c r="H46" s="341"/>
      <c r="I46" s="341"/>
      <c r="J46" s="341"/>
      <c r="K46" s="341"/>
      <c r="L46" s="341"/>
      <c r="M46" s="341"/>
      <c r="N46" s="322"/>
      <c r="O46" s="322"/>
      <c r="P46" s="322"/>
      <c r="Q46" s="322"/>
      <c r="R46" s="322"/>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2"/>
      <c r="AW46" s="322"/>
      <c r="AX46" s="322"/>
      <c r="AY46" s="322"/>
      <c r="AZ46" s="322"/>
      <c r="BA46" s="322"/>
      <c r="BB46" s="322"/>
      <c r="BC46" s="322"/>
      <c r="BD46" s="322"/>
      <c r="BE46" s="322"/>
      <c r="BF46" s="322"/>
      <c r="BG46" s="322"/>
      <c r="BH46" s="322"/>
      <c r="BI46" s="322"/>
      <c r="BJ46" s="322"/>
      <c r="BK46" s="322"/>
      <c r="BL46" s="322"/>
      <c r="BM46" s="322"/>
      <c r="BN46" s="322"/>
      <c r="BO46" s="322"/>
      <c r="BP46" s="322"/>
      <c r="BQ46" s="322"/>
      <c r="BR46" s="322"/>
      <c r="BS46" s="322"/>
      <c r="BT46" s="322"/>
      <c r="BU46" s="322"/>
      <c r="BV46" s="322"/>
      <c r="BW46" s="322"/>
      <c r="BX46" s="322"/>
      <c r="BY46" s="322"/>
      <c r="BZ46" s="322"/>
      <c r="CA46" s="322"/>
      <c r="CB46" s="322"/>
      <c r="CC46" s="322"/>
      <c r="CD46" s="322"/>
      <c r="CE46" s="322"/>
      <c r="CF46" s="322"/>
      <c r="CG46" s="322"/>
      <c r="CH46" s="322"/>
      <c r="CI46" s="322"/>
      <c r="CJ46" s="322"/>
      <c r="CK46" s="322"/>
    </row>
    <row r="47" spans="1:89" ht="12.95" customHeight="1" x14ac:dyDescent="0.25">
      <c r="B47" s="302" t="str">
        <f>VLOOKUP(135,Textbausteine_403[],Hilfsgrössen!$D$2,FALSE)</f>
        <v>5) Der Konzernbereich Swiss Post Solutions existiert erst seit dem 1. Oktober 2007, weshalb für die Vorjahre keine Werte ausgewiesen werden können.</v>
      </c>
      <c r="H47" s="49"/>
      <c r="I47" s="49"/>
      <c r="J47" s="49"/>
      <c r="K47" s="49"/>
      <c r="L47" s="49"/>
      <c r="M47" s="49"/>
      <c r="T47" s="9"/>
      <c r="U47" s="9"/>
      <c r="V47" s="9"/>
      <c r="W47" s="9"/>
      <c r="X47" s="9"/>
      <c r="Y47" s="9"/>
    </row>
    <row r="48" spans="1:89" ht="12.95" customHeight="1" x14ac:dyDescent="0.25">
      <c r="B48" s="302" t="str">
        <f>VLOOKUP(136,Textbausteine_403[],Hilfsgrössen!$D$2,FALSE)</f>
        <v>6) Die Kosten sind mit Durchschnittskosten pro Fall berechnet. Anzahl Berufsunfälle und Anzahl Bagatell-Unfälle multipliziert mit den durchschnittlichen Unfallkosten gemäss Berechnungen SUVA.</v>
      </c>
      <c r="F48" s="11"/>
      <c r="H48" s="49"/>
      <c r="I48" s="49"/>
      <c r="J48" s="49"/>
      <c r="K48" s="49"/>
      <c r="L48" s="49"/>
      <c r="M48" s="49"/>
      <c r="T48" s="9"/>
      <c r="U48" s="9"/>
      <c r="V48" s="9"/>
      <c r="W48" s="9"/>
      <c r="X48" s="9"/>
      <c r="Y48" s="9"/>
    </row>
    <row r="49" spans="2:25" ht="12.95" customHeight="1" x14ac:dyDescent="0.25">
      <c r="B49" s="302" t="str">
        <f>VLOOKUP(137,Textbausteine_403[],Hilfsgrössen!$D$2,FALSE)</f>
        <v>7)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v>
      </c>
      <c r="G49" s="303"/>
      <c r="H49" s="49"/>
      <c r="I49" s="49"/>
      <c r="J49" s="49"/>
      <c r="K49" s="49"/>
      <c r="L49" s="49"/>
      <c r="M49" s="49"/>
      <c r="T49" s="9"/>
      <c r="U49" s="9"/>
      <c r="V49" s="9"/>
      <c r="W49" s="9"/>
      <c r="X49" s="9"/>
      <c r="Y49" s="9"/>
    </row>
    <row r="50" spans="2:25" ht="12.95" customHeight="1" x14ac:dyDescent="0.25">
      <c r="B50" s="302" t="str">
        <f>VLOOKUP(138,Textbausteine_403[],Hilfsgrössen!$D$2,FALSE)</f>
        <v>8) Ab 1.1.2016 ist die Personalkommission aufgehoben.</v>
      </c>
      <c r="H50" s="49"/>
      <c r="I50" s="49"/>
      <c r="J50" s="49"/>
      <c r="K50" s="49"/>
      <c r="L50" s="49"/>
      <c r="M50" s="49"/>
      <c r="T50" s="9"/>
      <c r="U50" s="9"/>
      <c r="V50" s="9"/>
      <c r="W50" s="9"/>
      <c r="X50" s="9"/>
      <c r="Y50" s="9"/>
    </row>
    <row r="51" spans="2:25" ht="12.95" customHeight="1" x14ac:dyDescent="0.25">
      <c r="B51" s="302" t="str">
        <f>VLOOKUP(139,Textbausteine_403[],Hilfsgrössen!$D$2,FALSE)</f>
        <v>9) Die Segmente Logistik-Services, Kommunikations-Services und Mobilitäts-Services sind seit dem 1.1.2021 operativ. Es bestehen keine Vorjahresvergleichswerte.</v>
      </c>
      <c r="T51" s="9"/>
      <c r="U51" s="9"/>
      <c r="V51" s="9"/>
      <c r="W51" s="9"/>
      <c r="X51" s="9"/>
      <c r="Y51" s="9"/>
    </row>
    <row r="52" spans="2:25" ht="12.95" customHeight="1" x14ac:dyDescent="0.2">
      <c r="H52" s="72"/>
      <c r="I52" s="72"/>
      <c r="J52" s="72"/>
      <c r="K52" s="72"/>
      <c r="L52" s="72"/>
      <c r="M52" s="72"/>
      <c r="T52" s="9"/>
      <c r="U52" s="9"/>
      <c r="V52" s="9"/>
      <c r="W52" s="9"/>
      <c r="X52" s="9"/>
      <c r="Y52" s="9"/>
    </row>
    <row r="53" spans="2:25" ht="12.95" customHeight="1" x14ac:dyDescent="0.2">
      <c r="H53" s="49"/>
      <c r="I53" s="49"/>
      <c r="J53" s="49"/>
      <c r="K53" s="49"/>
      <c r="L53" s="49"/>
      <c r="M53" s="49"/>
      <c r="T53" s="9"/>
      <c r="U53" s="9"/>
      <c r="V53" s="9"/>
      <c r="W53" s="9"/>
      <c r="X53" s="9"/>
      <c r="Y53" s="9"/>
    </row>
    <row r="54" spans="2:25" ht="12.95" customHeight="1" x14ac:dyDescent="0.2">
      <c r="H54" s="49"/>
      <c r="I54" s="49"/>
      <c r="J54" s="49"/>
      <c r="K54" s="49"/>
      <c r="L54" s="49"/>
      <c r="M54" s="49"/>
      <c r="T54" s="9"/>
      <c r="U54" s="9"/>
      <c r="V54" s="9"/>
      <c r="W54" s="9"/>
      <c r="X54" s="9"/>
      <c r="Y54" s="9"/>
    </row>
    <row r="55" spans="2:25" ht="12.95" customHeight="1" x14ac:dyDescent="0.2">
      <c r="H55" s="49"/>
      <c r="I55" s="49"/>
      <c r="J55" s="49"/>
      <c r="K55" s="49"/>
      <c r="L55" s="49"/>
      <c r="M55" s="49"/>
      <c r="T55" s="9"/>
      <c r="U55" s="9"/>
      <c r="V55" s="9"/>
      <c r="W55" s="9"/>
      <c r="X55" s="9"/>
      <c r="Y55" s="9"/>
    </row>
    <row r="56" spans="2:25" ht="12.95" customHeight="1" x14ac:dyDescent="0.2">
      <c r="H56" s="49"/>
      <c r="I56" s="49"/>
      <c r="J56" s="49"/>
      <c r="K56" s="49"/>
      <c r="L56" s="49"/>
      <c r="M56" s="49"/>
      <c r="T56" s="9"/>
      <c r="U56" s="9"/>
      <c r="V56" s="9"/>
      <c r="W56" s="9"/>
      <c r="X56" s="9"/>
      <c r="Y56" s="9"/>
    </row>
    <row r="57" spans="2:25" ht="12.95" customHeight="1" x14ac:dyDescent="0.2">
      <c r="H57" s="49"/>
      <c r="I57" s="49"/>
      <c r="J57" s="49"/>
      <c r="K57" s="49"/>
      <c r="L57" s="49"/>
      <c r="M57" s="49"/>
      <c r="T57" s="9"/>
      <c r="U57" s="9"/>
      <c r="V57" s="9"/>
      <c r="W57" s="9"/>
      <c r="X57" s="9"/>
      <c r="Y57" s="9"/>
    </row>
    <row r="58" spans="2:25" ht="12.95" customHeight="1" x14ac:dyDescent="0.2">
      <c r="E58" s="11"/>
      <c r="H58" s="49"/>
      <c r="I58" s="49"/>
      <c r="J58" s="49"/>
      <c r="K58" s="49"/>
      <c r="L58" s="49"/>
      <c r="M58" s="49"/>
      <c r="T58" s="9"/>
      <c r="U58" s="9"/>
      <c r="V58" s="9"/>
      <c r="W58" s="9"/>
      <c r="X58" s="9"/>
      <c r="Y58" s="9"/>
    </row>
    <row r="59" spans="2:25" ht="12.95" customHeight="1" x14ac:dyDescent="0.2">
      <c r="E59" s="11"/>
      <c r="H59" s="49"/>
      <c r="I59" s="49"/>
      <c r="J59" s="49"/>
      <c r="K59" s="49"/>
      <c r="L59" s="49"/>
      <c r="M59" s="49"/>
      <c r="T59" s="9"/>
      <c r="U59" s="9"/>
      <c r="V59" s="9"/>
      <c r="W59" s="9"/>
      <c r="X59" s="9"/>
      <c r="Y59" s="9"/>
    </row>
    <row r="60" spans="2:25" ht="12.95" customHeight="1" x14ac:dyDescent="0.2">
      <c r="E60" s="11"/>
      <c r="H60" s="49"/>
      <c r="I60" s="49"/>
      <c r="J60" s="49"/>
      <c r="K60" s="49"/>
      <c r="L60" s="49"/>
      <c r="M60" s="49"/>
      <c r="T60" s="9"/>
      <c r="U60" s="9"/>
      <c r="V60" s="9"/>
      <c r="W60" s="9"/>
      <c r="X60" s="9"/>
      <c r="Y60" s="9"/>
    </row>
    <row r="61" spans="2:25" ht="12.95" customHeight="1" x14ac:dyDescent="0.2">
      <c r="H61" s="49"/>
      <c r="I61" s="49"/>
      <c r="J61" s="49"/>
      <c r="K61" s="49"/>
      <c r="L61" s="49"/>
      <c r="M61" s="49"/>
      <c r="T61" s="9"/>
      <c r="U61" s="9"/>
      <c r="V61" s="9"/>
      <c r="W61" s="9"/>
      <c r="X61" s="9"/>
      <c r="Y61" s="9"/>
    </row>
    <row r="62" spans="2:25" ht="12.95" customHeight="1" x14ac:dyDescent="0.2">
      <c r="H62" s="49"/>
      <c r="I62" s="49"/>
      <c r="J62" s="49"/>
      <c r="K62" s="49"/>
      <c r="L62" s="49"/>
      <c r="M62" s="49"/>
      <c r="T62" s="9"/>
      <c r="U62" s="9"/>
      <c r="V62" s="9"/>
      <c r="W62" s="9"/>
      <c r="X62" s="9"/>
      <c r="Y62" s="9"/>
    </row>
    <row r="63" spans="2:25" ht="12.95" customHeight="1" x14ac:dyDescent="0.2">
      <c r="E63" s="29"/>
      <c r="F63" s="29"/>
      <c r="H63" s="49"/>
      <c r="I63" s="49"/>
      <c r="J63" s="49"/>
      <c r="K63" s="49"/>
      <c r="L63" s="49"/>
      <c r="M63" s="49"/>
      <c r="T63" s="9"/>
      <c r="U63" s="9"/>
      <c r="V63" s="9"/>
      <c r="W63" s="9"/>
      <c r="X63" s="9"/>
      <c r="Y63" s="9"/>
    </row>
    <row r="64" spans="2:25" ht="12.95" customHeight="1" x14ac:dyDescent="0.2">
      <c r="E64" s="29"/>
      <c r="F64" s="29"/>
      <c r="G64" s="35"/>
      <c r="H64" s="49"/>
      <c r="I64" s="49"/>
      <c r="J64" s="49"/>
      <c r="K64" s="49"/>
      <c r="L64" s="49"/>
      <c r="M64" s="49"/>
      <c r="T64" s="9"/>
      <c r="U64" s="9"/>
      <c r="V64" s="9"/>
      <c r="W64" s="9"/>
      <c r="X64" s="9"/>
      <c r="Y64" s="9"/>
    </row>
    <row r="65" spans="5:25" ht="12.95" customHeight="1" x14ac:dyDescent="0.2">
      <c r="E65" s="29"/>
      <c r="F65" s="29"/>
      <c r="G65" s="35"/>
      <c r="H65" s="49"/>
      <c r="I65" s="49"/>
      <c r="J65" s="49"/>
      <c r="K65" s="49"/>
      <c r="L65" s="49"/>
      <c r="M65" s="49"/>
      <c r="T65" s="9"/>
      <c r="U65" s="9"/>
      <c r="V65" s="9"/>
      <c r="W65" s="9"/>
      <c r="X65" s="9"/>
      <c r="Y65" s="9"/>
    </row>
    <row r="66" spans="5:25" ht="12.95" customHeight="1" x14ac:dyDescent="0.2">
      <c r="E66" s="29"/>
      <c r="F66" s="29"/>
      <c r="G66" s="35"/>
      <c r="H66" s="49"/>
      <c r="I66" s="49"/>
      <c r="J66" s="49"/>
      <c r="K66" s="49"/>
      <c r="L66" s="49"/>
      <c r="M66" s="49"/>
    </row>
    <row r="67" spans="5:25" ht="12.95" customHeight="1" x14ac:dyDescent="0.2">
      <c r="E67" s="29"/>
      <c r="F67" s="29"/>
      <c r="G67" s="35"/>
      <c r="H67" s="49"/>
      <c r="I67" s="49"/>
      <c r="J67" s="49"/>
      <c r="K67" s="49"/>
      <c r="L67" s="49"/>
      <c r="M67" s="49"/>
    </row>
    <row r="68" spans="5:25" ht="12.95" customHeight="1" x14ac:dyDescent="0.25">
      <c r="E68" s="30"/>
      <c r="F68" s="30"/>
      <c r="G68" s="35"/>
      <c r="H68" s="49"/>
      <c r="I68" s="49"/>
      <c r="J68" s="49"/>
      <c r="K68" s="49"/>
      <c r="L68" s="49"/>
      <c r="M68" s="49"/>
    </row>
    <row r="69" spans="5:25" ht="12.95" customHeight="1" x14ac:dyDescent="0.25">
      <c r="G69" s="36"/>
      <c r="H69" s="49"/>
      <c r="I69" s="49"/>
      <c r="J69" s="49"/>
      <c r="K69" s="49"/>
      <c r="L69" s="49"/>
      <c r="M69" s="49"/>
    </row>
    <row r="72" spans="5:25" ht="12.95" customHeight="1" x14ac:dyDescent="0.2">
      <c r="E72" s="28"/>
      <c r="F72" s="28"/>
    </row>
    <row r="73" spans="5:25" ht="12.95" customHeight="1" x14ac:dyDescent="0.2">
      <c r="E73" s="28"/>
      <c r="F73" s="28"/>
      <c r="G73" s="33"/>
    </row>
    <row r="74" spans="5:25" ht="12.95" customHeight="1" x14ac:dyDescent="0.2">
      <c r="E74" s="11"/>
      <c r="G74" s="33"/>
      <c r="T74" s="75"/>
      <c r="U74" s="75"/>
      <c r="V74" s="75"/>
      <c r="W74" s="75"/>
      <c r="X74" s="75"/>
      <c r="Y74" s="75"/>
    </row>
    <row r="75" spans="5:25" ht="12.95" customHeight="1" x14ac:dyDescent="0.2">
      <c r="E75" s="28"/>
      <c r="F75" s="28"/>
      <c r="H75" s="51"/>
      <c r="I75" s="51"/>
      <c r="J75" s="51"/>
      <c r="K75" s="51"/>
      <c r="L75" s="51"/>
      <c r="M75" s="51"/>
      <c r="T75" s="75"/>
      <c r="U75" s="75"/>
      <c r="V75" s="75"/>
      <c r="W75" s="75"/>
      <c r="X75" s="75"/>
      <c r="Y75" s="75"/>
    </row>
    <row r="76" spans="5:25" ht="12.95" customHeight="1" x14ac:dyDescent="0.2">
      <c r="E76" s="11"/>
      <c r="G76" s="33"/>
      <c r="H76" s="51"/>
      <c r="I76" s="51"/>
      <c r="J76" s="51"/>
      <c r="K76" s="51"/>
      <c r="L76" s="51"/>
      <c r="M76" s="51"/>
    </row>
    <row r="77" spans="5:25" ht="12.95" customHeight="1" x14ac:dyDescent="0.2">
      <c r="E77" s="11"/>
      <c r="H77" s="51"/>
      <c r="I77" s="51"/>
      <c r="J77" s="51"/>
      <c r="K77" s="51"/>
      <c r="L77" s="51"/>
      <c r="M77" s="51"/>
      <c r="T77" s="9"/>
      <c r="U77" s="9"/>
      <c r="V77" s="9"/>
      <c r="W77" s="9"/>
      <c r="X77" s="9"/>
      <c r="Y77" s="9"/>
    </row>
    <row r="78" spans="5:25" ht="12.95" customHeight="1" x14ac:dyDescent="0.2">
      <c r="E78" s="11"/>
      <c r="H78" s="72"/>
      <c r="I78" s="72"/>
      <c r="J78" s="72"/>
      <c r="K78" s="72"/>
      <c r="L78" s="72"/>
      <c r="M78" s="72"/>
      <c r="T78" s="9"/>
      <c r="U78" s="9"/>
      <c r="V78" s="9"/>
      <c r="W78" s="9"/>
      <c r="X78" s="9"/>
      <c r="Y78" s="9"/>
    </row>
    <row r="79" spans="5:25" ht="12.95" customHeight="1" x14ac:dyDescent="0.2">
      <c r="E79" s="11"/>
      <c r="H79" s="73"/>
      <c r="I79" s="73"/>
      <c r="J79" s="73"/>
      <c r="K79" s="73"/>
      <c r="L79" s="73"/>
      <c r="M79" s="73"/>
      <c r="T79" s="9"/>
      <c r="U79" s="9"/>
      <c r="V79" s="9"/>
      <c r="W79" s="9"/>
      <c r="X79" s="9"/>
      <c r="Y79" s="9"/>
    </row>
    <row r="80" spans="5:25" ht="12.95" customHeight="1" x14ac:dyDescent="0.2">
      <c r="E80" s="31"/>
      <c r="F80" s="31"/>
      <c r="T80" s="9"/>
      <c r="U80" s="9"/>
      <c r="V80" s="9"/>
      <c r="W80" s="9"/>
      <c r="X80" s="9"/>
      <c r="Y80" s="9"/>
    </row>
    <row r="81" spans="5:25" ht="12.95" customHeight="1" x14ac:dyDescent="0.2">
      <c r="E81" s="31"/>
      <c r="F81" s="31"/>
      <c r="T81" s="9"/>
      <c r="U81" s="9"/>
      <c r="V81" s="9"/>
      <c r="W81" s="9"/>
      <c r="X81" s="9"/>
      <c r="Y81" s="9"/>
    </row>
    <row r="82" spans="5:25" ht="12.95" customHeight="1" x14ac:dyDescent="0.2">
      <c r="E82" s="31"/>
      <c r="F82" s="31"/>
      <c r="H82" s="304"/>
      <c r="I82" s="304"/>
      <c r="J82" s="304"/>
      <c r="K82" s="304"/>
      <c r="L82" s="304"/>
      <c r="M82" s="304"/>
      <c r="T82" s="9"/>
      <c r="U82" s="9"/>
      <c r="V82" s="9"/>
      <c r="W82" s="9"/>
      <c r="X82" s="9"/>
      <c r="Y82" s="9"/>
    </row>
    <row r="83" spans="5:25" ht="12.95" customHeight="1" x14ac:dyDescent="0.2">
      <c r="H83" s="304"/>
      <c r="I83" s="304"/>
      <c r="J83" s="304"/>
      <c r="K83" s="304"/>
      <c r="L83" s="304"/>
      <c r="M83" s="304"/>
      <c r="T83" s="9"/>
      <c r="U83" s="9"/>
      <c r="V83" s="9"/>
      <c r="W83" s="9"/>
      <c r="X83" s="9"/>
      <c r="Y83" s="9"/>
    </row>
    <row r="84" spans="5:25" ht="12.95" customHeight="1" x14ac:dyDescent="0.2">
      <c r="H84" s="304"/>
      <c r="I84" s="304"/>
      <c r="J84" s="304"/>
      <c r="K84" s="304"/>
      <c r="L84" s="304"/>
      <c r="M84" s="304"/>
      <c r="T84" s="9"/>
      <c r="U84" s="9"/>
      <c r="V84" s="9"/>
      <c r="W84" s="9"/>
      <c r="X84" s="9"/>
      <c r="Y84" s="9"/>
    </row>
    <row r="85" spans="5:25" ht="12.95" customHeight="1" x14ac:dyDescent="0.2">
      <c r="H85" s="304"/>
      <c r="I85" s="304"/>
      <c r="J85" s="304"/>
      <c r="K85" s="304"/>
      <c r="L85" s="304"/>
      <c r="M85" s="304"/>
      <c r="T85" s="75"/>
      <c r="U85" s="75"/>
      <c r="V85" s="75"/>
      <c r="W85" s="75"/>
      <c r="X85" s="75"/>
      <c r="Y85" s="75"/>
    </row>
    <row r="86" spans="5:25" ht="12.95" customHeight="1" x14ac:dyDescent="0.2">
      <c r="H86" s="51"/>
      <c r="I86" s="51"/>
      <c r="J86" s="51"/>
      <c r="K86" s="51"/>
      <c r="L86" s="51"/>
      <c r="M86" s="51"/>
      <c r="T86" s="75"/>
      <c r="U86" s="75"/>
      <c r="V86" s="75"/>
      <c r="W86" s="75"/>
      <c r="X86" s="75"/>
      <c r="Y86" s="75"/>
    </row>
    <row r="87" spans="5:25" ht="12.95" customHeight="1" x14ac:dyDescent="0.2">
      <c r="H87" s="51"/>
      <c r="I87" s="51"/>
      <c r="J87" s="51"/>
      <c r="K87" s="51"/>
      <c r="L87" s="51"/>
      <c r="M87" s="51"/>
    </row>
    <row r="88" spans="5:25" ht="12.95" customHeight="1" x14ac:dyDescent="0.2">
      <c r="H88" s="51"/>
      <c r="I88" s="51"/>
      <c r="J88" s="51"/>
      <c r="K88" s="51"/>
      <c r="L88" s="51"/>
      <c r="M88" s="51"/>
    </row>
    <row r="89" spans="5:25" ht="12.95" customHeight="1" x14ac:dyDescent="0.2">
      <c r="H89" s="72"/>
      <c r="I89" s="72"/>
      <c r="J89" s="72"/>
      <c r="K89" s="72"/>
      <c r="L89" s="72"/>
      <c r="M89" s="72"/>
    </row>
    <row r="90" spans="5:25" ht="12.95" customHeight="1" x14ac:dyDescent="0.2">
      <c r="H90" s="72"/>
      <c r="I90" s="72"/>
      <c r="J90" s="72"/>
      <c r="K90" s="72"/>
      <c r="L90" s="72"/>
      <c r="M90" s="72"/>
      <c r="T90" s="9"/>
      <c r="U90" s="9"/>
      <c r="V90" s="9"/>
      <c r="W90" s="9"/>
      <c r="X90" s="9"/>
      <c r="Y90" s="9"/>
    </row>
    <row r="91" spans="5:25" ht="12.95" customHeight="1" x14ac:dyDescent="0.2">
      <c r="T91" s="9"/>
      <c r="U91" s="9"/>
      <c r="V91" s="9"/>
      <c r="W91" s="9"/>
      <c r="X91" s="9"/>
      <c r="Y91" s="9"/>
    </row>
    <row r="92" spans="5:25" ht="12.95" customHeight="1" x14ac:dyDescent="0.2">
      <c r="T92" s="9"/>
      <c r="U92" s="9"/>
      <c r="V92" s="9"/>
      <c r="W92" s="9"/>
      <c r="X92" s="9"/>
      <c r="Y92" s="9"/>
    </row>
    <row r="93" spans="5:25" ht="12.95" customHeight="1" x14ac:dyDescent="0.2">
      <c r="T93" s="9"/>
      <c r="U93" s="9"/>
      <c r="V93" s="9"/>
      <c r="W93" s="9"/>
      <c r="X93" s="9"/>
      <c r="Y93" s="9"/>
    </row>
    <row r="94" spans="5:25" ht="12.95" customHeight="1" x14ac:dyDescent="0.2">
      <c r="H94" s="304"/>
      <c r="I94" s="304"/>
      <c r="J94" s="304"/>
      <c r="K94" s="304"/>
      <c r="L94" s="304"/>
      <c r="M94" s="304"/>
      <c r="T94" s="9"/>
      <c r="U94" s="9"/>
      <c r="V94" s="9"/>
      <c r="W94" s="9"/>
      <c r="X94" s="9"/>
      <c r="Y94" s="9"/>
    </row>
    <row r="95" spans="5:25" ht="12.95" customHeight="1" x14ac:dyDescent="0.2">
      <c r="H95" s="304"/>
      <c r="I95" s="304"/>
      <c r="J95" s="304"/>
      <c r="K95" s="304"/>
      <c r="L95" s="304"/>
      <c r="M95" s="304"/>
      <c r="T95" s="9"/>
      <c r="U95" s="9"/>
      <c r="V95" s="9"/>
      <c r="W95" s="9"/>
      <c r="X95" s="9"/>
      <c r="Y95" s="9"/>
    </row>
    <row r="96" spans="5:25" ht="12.95" customHeight="1" x14ac:dyDescent="0.2">
      <c r="H96" s="304"/>
      <c r="I96" s="304"/>
      <c r="J96" s="304"/>
      <c r="K96" s="304"/>
      <c r="L96" s="304"/>
      <c r="M96" s="304"/>
      <c r="T96" s="9"/>
      <c r="U96" s="9"/>
      <c r="V96" s="9"/>
      <c r="W96" s="9"/>
      <c r="X96" s="9"/>
      <c r="Y96" s="9"/>
    </row>
    <row r="97" spans="7:25" ht="12.95" customHeight="1" x14ac:dyDescent="0.2">
      <c r="H97" s="304"/>
      <c r="I97" s="304"/>
      <c r="J97" s="304"/>
      <c r="K97" s="304"/>
      <c r="L97" s="304"/>
      <c r="M97" s="304"/>
      <c r="T97" s="9"/>
      <c r="U97" s="9"/>
      <c r="V97" s="9"/>
      <c r="W97" s="9"/>
      <c r="X97" s="9"/>
      <c r="Y97" s="9"/>
    </row>
    <row r="98" spans="7:25" ht="12.95" customHeight="1" x14ac:dyDescent="0.2">
      <c r="H98" s="304"/>
      <c r="I98" s="304"/>
      <c r="J98" s="304"/>
      <c r="K98" s="304"/>
      <c r="L98" s="304"/>
      <c r="M98" s="304"/>
      <c r="T98" s="9"/>
      <c r="U98" s="9"/>
      <c r="V98" s="9"/>
      <c r="W98" s="9"/>
      <c r="X98" s="9"/>
      <c r="Y98" s="9"/>
    </row>
    <row r="99" spans="7:25" ht="12.95" customHeight="1" x14ac:dyDescent="0.2">
      <c r="H99" s="304"/>
      <c r="I99" s="304"/>
      <c r="J99" s="304"/>
      <c r="K99" s="304"/>
      <c r="L99" s="304"/>
      <c r="M99" s="304"/>
      <c r="T99" s="9"/>
      <c r="U99" s="9"/>
      <c r="V99" s="9"/>
      <c r="W99" s="9"/>
      <c r="X99" s="9"/>
      <c r="Y99" s="9"/>
    </row>
    <row r="100" spans="7:25" ht="12.95" customHeight="1" x14ac:dyDescent="0.2">
      <c r="H100" s="304"/>
      <c r="I100" s="304"/>
      <c r="J100" s="304"/>
      <c r="K100" s="304"/>
      <c r="L100" s="304"/>
      <c r="M100" s="304"/>
      <c r="T100" s="9"/>
      <c r="U100" s="9"/>
      <c r="V100" s="9"/>
      <c r="W100" s="9"/>
      <c r="X100" s="9"/>
      <c r="Y100" s="9"/>
    </row>
    <row r="101" spans="7:25" ht="12.95" customHeight="1" x14ac:dyDescent="0.2">
      <c r="H101" s="304"/>
      <c r="I101" s="304"/>
      <c r="J101" s="304"/>
      <c r="K101" s="304"/>
      <c r="L101" s="304"/>
      <c r="M101" s="304"/>
      <c r="T101" s="9"/>
      <c r="U101" s="9"/>
      <c r="V101" s="9"/>
      <c r="W101" s="9"/>
      <c r="X101" s="9"/>
      <c r="Y101" s="9"/>
    </row>
    <row r="102" spans="7:25" ht="12.95" customHeight="1" x14ac:dyDescent="0.2">
      <c r="H102" s="304"/>
      <c r="I102" s="304"/>
      <c r="J102" s="304"/>
      <c r="K102" s="304"/>
      <c r="L102" s="304"/>
      <c r="M102" s="304"/>
      <c r="T102" s="9"/>
      <c r="U102" s="9"/>
      <c r="V102" s="9"/>
      <c r="W102" s="9"/>
      <c r="X102" s="9"/>
      <c r="Y102" s="9"/>
    </row>
    <row r="103" spans="7:25" ht="12.95" customHeight="1" x14ac:dyDescent="0.2">
      <c r="H103" s="304"/>
      <c r="I103" s="304"/>
      <c r="J103" s="304"/>
      <c r="K103" s="304"/>
      <c r="L103" s="304"/>
      <c r="M103" s="304"/>
      <c r="T103" s="9"/>
      <c r="U103" s="9"/>
      <c r="V103" s="9"/>
      <c r="W103" s="9"/>
      <c r="X103" s="9"/>
      <c r="Y103" s="9"/>
    </row>
    <row r="104" spans="7:25" ht="12.95" customHeight="1" x14ac:dyDescent="0.2">
      <c r="H104" s="304"/>
      <c r="I104" s="304"/>
      <c r="J104" s="304"/>
      <c r="K104" s="304"/>
      <c r="L104" s="304"/>
      <c r="M104" s="304"/>
      <c r="T104" s="9"/>
      <c r="U104" s="9"/>
      <c r="V104" s="9"/>
      <c r="W104" s="9"/>
      <c r="X104" s="9"/>
      <c r="Y104" s="9"/>
    </row>
    <row r="105" spans="7:25" ht="12.95" customHeight="1" x14ac:dyDescent="0.2">
      <c r="H105" s="304"/>
      <c r="I105" s="304"/>
      <c r="J105" s="304"/>
      <c r="K105" s="304"/>
      <c r="L105" s="304"/>
      <c r="M105" s="304"/>
      <c r="T105" s="9"/>
      <c r="U105" s="9"/>
      <c r="V105" s="9"/>
      <c r="W105" s="9"/>
      <c r="X105" s="9"/>
      <c r="Y105" s="9"/>
    </row>
    <row r="106" spans="7:25" ht="12.95" customHeight="1" x14ac:dyDescent="0.2">
      <c r="H106" s="304"/>
      <c r="I106" s="304"/>
      <c r="J106" s="304"/>
      <c r="K106" s="304"/>
      <c r="L106" s="304"/>
      <c r="M106" s="304"/>
      <c r="T106" s="9"/>
      <c r="U106" s="9"/>
      <c r="V106" s="9"/>
      <c r="W106" s="9"/>
      <c r="X106" s="9"/>
      <c r="Y106" s="9"/>
    </row>
    <row r="107" spans="7:25" ht="12.95" customHeight="1" x14ac:dyDescent="0.2">
      <c r="H107" s="304"/>
      <c r="I107" s="304"/>
      <c r="J107" s="304"/>
      <c r="K107" s="304"/>
      <c r="L107" s="304"/>
      <c r="M107" s="304"/>
      <c r="T107" s="9"/>
      <c r="U107" s="9"/>
      <c r="V107" s="9"/>
      <c r="W107" s="9"/>
      <c r="X107" s="9"/>
      <c r="Y107" s="9"/>
    </row>
    <row r="108" spans="7:25" ht="12.95" customHeight="1" x14ac:dyDescent="0.2">
      <c r="H108" s="304"/>
      <c r="I108" s="304"/>
      <c r="J108" s="304"/>
      <c r="K108" s="304"/>
      <c r="L108" s="304"/>
      <c r="M108" s="304"/>
    </row>
    <row r="109" spans="7:25" ht="12.95" customHeight="1" x14ac:dyDescent="0.2">
      <c r="H109" s="304"/>
      <c r="I109" s="304"/>
      <c r="J109" s="304"/>
      <c r="K109" s="304"/>
      <c r="L109" s="304"/>
      <c r="M109" s="304"/>
    </row>
    <row r="110" spans="7:25" ht="12.95" customHeight="1" x14ac:dyDescent="0.2">
      <c r="H110" s="304"/>
      <c r="I110" s="304"/>
      <c r="J110" s="304"/>
      <c r="K110" s="304"/>
      <c r="L110" s="304"/>
      <c r="M110" s="304"/>
    </row>
    <row r="111" spans="7:25" ht="12.95" customHeight="1" x14ac:dyDescent="0.2">
      <c r="G111" s="33"/>
      <c r="H111" s="304"/>
      <c r="I111" s="304"/>
      <c r="J111" s="304"/>
      <c r="K111" s="304"/>
      <c r="L111" s="304"/>
      <c r="M111" s="304"/>
    </row>
    <row r="112" spans="7:25" ht="12.95" customHeight="1" x14ac:dyDescent="0.2">
      <c r="G112" s="33"/>
    </row>
    <row r="114" spans="7:25" ht="12.95" customHeight="1" x14ac:dyDescent="0.2">
      <c r="G114" s="33"/>
      <c r="T114" s="75"/>
      <c r="U114" s="75"/>
      <c r="V114" s="75"/>
      <c r="W114" s="75"/>
      <c r="X114" s="75"/>
      <c r="Y114" s="75"/>
    </row>
    <row r="115" spans="7:25" ht="12.95" customHeight="1" x14ac:dyDescent="0.2">
      <c r="T115" s="75"/>
      <c r="U115" s="75"/>
      <c r="V115" s="75"/>
      <c r="W115" s="75"/>
      <c r="X115" s="75"/>
      <c r="Y115" s="75"/>
    </row>
    <row r="118" spans="7:25" ht="12.95" customHeight="1" x14ac:dyDescent="0.2">
      <c r="H118" s="72"/>
      <c r="I118" s="72"/>
      <c r="J118" s="72"/>
      <c r="K118" s="72"/>
      <c r="L118" s="72"/>
      <c r="M118" s="72"/>
    </row>
    <row r="119" spans="7:25" ht="12.95" customHeight="1" x14ac:dyDescent="0.2">
      <c r="G119" s="37"/>
      <c r="H119" s="72"/>
      <c r="I119" s="72"/>
      <c r="J119" s="72"/>
      <c r="K119" s="72"/>
      <c r="L119" s="72"/>
      <c r="M119" s="72"/>
      <c r="T119" s="88"/>
      <c r="U119" s="88"/>
      <c r="V119" s="88"/>
      <c r="W119" s="88"/>
      <c r="X119" s="88"/>
      <c r="Y119" s="88"/>
    </row>
    <row r="120" spans="7:25" ht="12.95" customHeight="1" x14ac:dyDescent="0.2">
      <c r="G120" s="37"/>
      <c r="T120" s="88"/>
      <c r="U120" s="88"/>
      <c r="V120" s="88"/>
      <c r="W120" s="88"/>
      <c r="X120" s="88"/>
      <c r="Y120" s="88"/>
    </row>
    <row r="121" spans="7:25" ht="12.95" customHeight="1" x14ac:dyDescent="0.2">
      <c r="G121" s="37"/>
      <c r="H121" s="7"/>
      <c r="I121" s="7"/>
      <c r="J121" s="7"/>
      <c r="K121" s="7"/>
      <c r="L121" s="7"/>
      <c r="M121" s="7"/>
      <c r="T121" s="88"/>
      <c r="U121" s="88"/>
      <c r="V121" s="88"/>
      <c r="W121" s="88"/>
      <c r="X121" s="88"/>
      <c r="Y121" s="88"/>
    </row>
    <row r="122" spans="7:25" ht="12.95" customHeight="1" x14ac:dyDescent="0.2">
      <c r="T122" s="88"/>
      <c r="U122" s="88"/>
      <c r="V122" s="88"/>
      <c r="W122" s="88"/>
      <c r="X122" s="88"/>
      <c r="Y122" s="88"/>
    </row>
    <row r="123" spans="7:25" ht="12.95" customHeight="1" x14ac:dyDescent="0.2">
      <c r="T123" s="88"/>
      <c r="U123" s="88"/>
      <c r="V123" s="88"/>
      <c r="W123" s="88"/>
      <c r="X123" s="88"/>
      <c r="Y123" s="88"/>
    </row>
    <row r="124" spans="7:25" ht="12.95" customHeight="1" x14ac:dyDescent="0.2">
      <c r="T124" s="88"/>
      <c r="U124" s="88"/>
      <c r="V124" s="88"/>
      <c r="W124" s="88"/>
      <c r="X124" s="88"/>
      <c r="Y124" s="88"/>
    </row>
    <row r="125" spans="7:25" ht="12.95" customHeight="1" x14ac:dyDescent="0.2">
      <c r="T125" s="88"/>
      <c r="U125" s="88"/>
      <c r="V125" s="88"/>
      <c r="W125" s="88"/>
      <c r="X125" s="88"/>
      <c r="Y125" s="88"/>
    </row>
    <row r="126" spans="7:25" ht="12.95" customHeight="1" x14ac:dyDescent="0.2">
      <c r="T126" s="88"/>
      <c r="U126" s="88"/>
      <c r="V126" s="88"/>
      <c r="W126" s="88"/>
      <c r="X126" s="88"/>
      <c r="Y126" s="88"/>
    </row>
    <row r="140" spans="8:13" ht="12.95" customHeight="1" x14ac:dyDescent="0.2">
      <c r="H140" s="72"/>
      <c r="I140" s="72"/>
      <c r="J140" s="72"/>
      <c r="K140" s="72"/>
      <c r="L140" s="72"/>
      <c r="M140" s="72"/>
    </row>
    <row r="141" spans="8:13" ht="12.95" customHeight="1" x14ac:dyDescent="0.2">
      <c r="H141" s="73"/>
      <c r="I141" s="73"/>
      <c r="J141" s="73"/>
      <c r="K141" s="73"/>
      <c r="L141" s="73"/>
      <c r="M141" s="73"/>
    </row>
    <row r="144" spans="8:13" ht="12.95" customHeight="1" x14ac:dyDescent="0.2">
      <c r="H144" s="304"/>
      <c r="I144" s="304"/>
      <c r="J144" s="304"/>
      <c r="K144" s="304"/>
      <c r="L144" s="304"/>
      <c r="M144" s="304"/>
    </row>
    <row r="145" spans="8:13" ht="12.95" customHeight="1" x14ac:dyDescent="0.2">
      <c r="H145" s="304"/>
      <c r="I145" s="304"/>
      <c r="J145" s="304"/>
      <c r="K145" s="304"/>
      <c r="L145" s="304"/>
      <c r="M145" s="304"/>
    </row>
    <row r="146" spans="8:13" ht="12.95" customHeight="1" x14ac:dyDescent="0.2">
      <c r="H146" s="304"/>
      <c r="I146" s="304"/>
      <c r="J146" s="304"/>
      <c r="K146" s="304"/>
      <c r="L146" s="304"/>
      <c r="M146" s="304"/>
    </row>
  </sheetData>
  <sheetProtection algorithmName="SHA-512" hashValue="FqAlH6uC28YGzREQ/e9689w0kPLF/6qKNQCsL5VgDbbII0J1X0bhEyaql8rT0/g1suPcwn7Am3pogVbYgDM7kA==" saltValue="C8t1L9mfcO2Fch3aimR+0Q==" spinCount="100000" sheet="1" objects="1" scenarios="1"/>
  <mergeCells count="4">
    <mergeCell ref="B2:C2"/>
    <mergeCell ref="B3:C3"/>
    <mergeCell ref="B10:C11"/>
    <mergeCell ref="D2:E2"/>
  </mergeCells>
  <conditionalFormatting sqref="H10:CE14 H25:X31 H23 H39:CE40 H36:X38 H42:CE10000 H41:X41 Z41:CE41 Z15:CE38">
    <cfRule type="expression" dxfId="185" priority="51">
      <formula>AND($D10&lt;&gt;"",H$10&lt;&gt;"",H10="")</formula>
    </cfRule>
    <cfRule type="expression" dxfId="184" priority="52">
      <formula>AND($A10="",ABS(H10)=0)</formula>
    </cfRule>
    <cfRule type="expression" dxfId="183" priority="53">
      <formula>AND($A10="",ABS(H10)&lt;10)</formula>
    </cfRule>
    <cfRule type="expression" dxfId="182" priority="54">
      <formula>AND($A10="",ABS(H10)&lt;100)</formula>
    </cfRule>
    <cfRule type="expression" dxfId="181" priority="56">
      <formula>AND($A10="",ABS(H10)&gt;=100)</formula>
    </cfRule>
  </conditionalFormatting>
  <conditionalFormatting sqref="H20:X20">
    <cfRule type="expression" dxfId="180" priority="21">
      <formula>AND($D20&lt;&gt;"",H$10&lt;&gt;"",H20="")</formula>
    </cfRule>
    <cfRule type="expression" dxfId="179" priority="22">
      <formula>AND($A20="",ABS(H20)=0)</formula>
    </cfRule>
    <cfRule type="expression" dxfId="178" priority="23">
      <formula>AND($A20="",ABS(H20)&lt;10)</formula>
    </cfRule>
    <cfRule type="expression" dxfId="177" priority="24">
      <formula>AND($A20="",ABS(H20)&lt;100)</formula>
    </cfRule>
    <cfRule type="expression" dxfId="176" priority="25">
      <formula>AND($A20="",ABS(H20)&gt;=100)</formula>
    </cfRule>
  </conditionalFormatting>
  <conditionalFormatting sqref="Y25:Y31 Y36:Y38">
    <cfRule type="expression" dxfId="175" priority="16">
      <formula>AND($D25&lt;&gt;"",Y$10&lt;&gt;"",Y25="")</formula>
    </cfRule>
    <cfRule type="expression" dxfId="174" priority="17">
      <formula>AND($A25="",ABS(Y25)=0)</formula>
    </cfRule>
    <cfRule type="expression" dxfId="173" priority="18">
      <formula>AND($A25="",ABS(Y25)&lt;10)</formula>
    </cfRule>
    <cfRule type="expression" dxfId="172" priority="19">
      <formula>AND($A25="",ABS(Y25)&lt;100)</formula>
    </cfRule>
    <cfRule type="expression" dxfId="171" priority="20">
      <formula>AND($A25="",ABS(Y25)&gt;=100)</formula>
    </cfRule>
  </conditionalFormatting>
  <conditionalFormatting sqref="H16:X16">
    <cfRule type="expression" dxfId="170" priority="31">
      <formula>AND($D16&lt;&gt;"",H$10&lt;&gt;"",H16="")</formula>
    </cfRule>
    <cfRule type="expression" dxfId="169" priority="32">
      <formula>AND($A16="",ABS(H16)=0)</formula>
    </cfRule>
    <cfRule type="expression" dxfId="168" priority="33">
      <formula>AND($A16="",ABS(H16)&lt;10)</formula>
    </cfRule>
    <cfRule type="expression" dxfId="167" priority="34">
      <formula>AND($A16="",ABS(H16)&lt;100)</formula>
    </cfRule>
    <cfRule type="expression" dxfId="166" priority="35">
      <formula>AND($A16="",ABS(H16)&gt;=100)</formula>
    </cfRule>
  </conditionalFormatting>
  <conditionalFormatting sqref="H17:X17">
    <cfRule type="expression" dxfId="165" priority="26">
      <formula>AND($D17&lt;&gt;"",H$10&lt;&gt;"",H17="")</formula>
    </cfRule>
    <cfRule type="expression" dxfId="164" priority="27">
      <formula>AND($A17="",ABS(H17)=0)</formula>
    </cfRule>
    <cfRule type="expression" dxfId="163" priority="28">
      <formula>AND($A17="",ABS(H17)&lt;10)</formula>
    </cfRule>
    <cfRule type="expression" dxfId="162" priority="29">
      <formula>AND($A17="",ABS(H17)&lt;100)</formula>
    </cfRule>
    <cfRule type="expression" dxfId="161" priority="30">
      <formula>AND($A17="",ABS(H17)&gt;=100)</formula>
    </cfRule>
  </conditionalFormatting>
  <conditionalFormatting sqref="Y15:Y23">
    <cfRule type="expression" dxfId="160" priority="11">
      <formula>AND($D15&lt;&gt;"",Y$10&lt;&gt;"",Y15="")</formula>
    </cfRule>
    <cfRule type="expression" dxfId="159" priority="12">
      <formula>AND($A15="",ABS(Y15)=0)</formula>
    </cfRule>
    <cfRule type="expression" dxfId="158" priority="13">
      <formula>AND($A15="",ABS(Y15)&lt;10)</formula>
    </cfRule>
    <cfRule type="expression" dxfId="157" priority="14">
      <formula>AND($A15="",ABS(Y15)&lt;100)</formula>
    </cfRule>
    <cfRule type="expression" dxfId="156" priority="15">
      <formula>AND($A15="",ABS(Y15)&gt;=100)</formula>
    </cfRule>
  </conditionalFormatting>
  <conditionalFormatting sqref="Y33:Y35">
    <cfRule type="expression" dxfId="155" priority="6">
      <formula>AND($D33&lt;&gt;"",Y$10&lt;&gt;"",Y33="")</formula>
    </cfRule>
    <cfRule type="expression" dxfId="154" priority="7">
      <formula>AND($A33="",ABS(Y33)=0)</formula>
    </cfRule>
    <cfRule type="expression" dxfId="153" priority="8">
      <formula>AND($A33="",ABS(Y33)&lt;10)</formula>
    </cfRule>
    <cfRule type="expression" dxfId="152" priority="9">
      <formula>AND($A33="",ABS(Y33)&lt;100)</formula>
    </cfRule>
    <cfRule type="expression" dxfId="151" priority="10">
      <formula>AND($A33="",ABS(Y33)&gt;=100)</formula>
    </cfRule>
  </conditionalFormatting>
  <conditionalFormatting sqref="Y41">
    <cfRule type="expression" dxfId="150" priority="1">
      <formula>AND($D41&lt;&gt;"",Y$10&lt;&gt;"",Y41="")</formula>
    </cfRule>
    <cfRule type="expression" dxfId="149" priority="2">
      <formula>AND($A41="",ABS(Y41)=0)</formula>
    </cfRule>
    <cfRule type="expression" dxfId="148" priority="3">
      <formula>AND($A41="",ABS(Y41)&lt;10)</formula>
    </cfRule>
    <cfRule type="expression" dxfId="147" priority="4">
      <formula>AND($A41="",ABS(Y41)&lt;100)</formula>
    </cfRule>
    <cfRule type="expression" dxfId="146" priority="5">
      <formula>AND($A41="",ABS(Y41)&gt;=100)</formula>
    </cfRule>
  </conditionalFormatting>
  <dataValidations count="2">
    <dataValidation type="list" allowBlank="1" showInputMessage="1" showErrorMessage="1" sqref="G2" xr:uid="{00000000-0002-0000-0800-000000000000}">
      <formula1>Sprache</formula1>
    </dataValidation>
    <dataValidation allowBlank="1" showInputMessage="1" showErrorMessage="1" sqref="F2" xr:uid="{7971E82D-02E4-4D12-9431-9F5869FD3135}"/>
  </dataValidations>
  <hyperlinks>
    <hyperlink ref="A10" location="GRI_403" display="Ó" xr:uid="{00000000-0004-0000-0800-000000000000}"/>
    <hyperlink ref="C7" location="GRI_403_2a" display="GRI_403_2a" xr:uid="{00000000-0004-0000-0800-000001000000}"/>
    <hyperlink ref="D2" location="Home" display="Home" xr:uid="{00000000-0004-0000-0800-000002000000}"/>
  </hyperlink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DB0D1BFC79D9EF4781D9E402C9FC5796" ma:contentTypeVersion="17" ma:contentTypeDescription="Ein neues Dokument erstellen." ma:contentTypeScope="" ma:versionID="f2e5b6e674bd4af1a85ece9c5f63718c">
  <xsd:schema xmlns:xsd="http://www.w3.org/2001/XMLSchema" xmlns:xs="http://www.w3.org/2001/XMLSchema" xmlns:p="http://schemas.microsoft.com/office/2006/metadata/properties" xmlns:ns2="71185480-5d99-49c8-ac08-5b2d9481a24f" xmlns:ns3="e5237527-2ab6-4e81-b4e2-87959196660d" targetNamespace="http://schemas.microsoft.com/office/2006/metadata/properties" ma:root="true" ma:fieldsID="b16cb3feaa9b5ce7db08298f7ea379e6" ns2:_="" ns3:_="">
    <xsd:import namespace="71185480-5d99-49c8-ac08-5b2d9481a24f"/>
    <xsd:import namespace="e5237527-2ab6-4e81-b4e2-87959196660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SharedWithUsers" minOccurs="0"/>
                <xsd:element ref="ns2:SharedWithDetail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185480-5d99-49c8-ac08-5b2d9481a24f"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SharedWithUsers" ma:index="2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Freigegeben für - Details" ma:internalName="SharedWithDetails" ma:readOnly="true">
      <xsd:simpleType>
        <xsd:restriction base="dms:Note">
          <xsd:maxLength value="255"/>
        </xsd:restriction>
      </xsd:simpleType>
    </xsd:element>
    <xsd:element name="TaxCatchAll" ma:index="26" nillable="true" ma:displayName="Taxonomy Catch All Column" ma:hidden="true" ma:list="{8f995f93-fbdc-4b0b-baa1-81f1cad15308}" ma:internalName="TaxCatchAll" ma:showField="CatchAllData" ma:web="71185480-5d99-49c8-ac08-5b2d9481a24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5237527-2ab6-4e81-b4e2-87959196660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Bildmarkierungen" ma:readOnly="false" ma:fieldId="{5cf76f15-5ced-4ddc-b409-7134ff3c332f}" ma:taxonomyMulti="true" ma:sspId="444f4fa3-b52a-4625-8e29-87d37a0be7e4"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71185480-5d99-49c8-ac08-5b2d9481a24f">SPO1566-640659238-122423</_dlc_DocId>
    <_dlc_DocIdUrl xmlns="71185480-5d99-49c8-ac08-5b2d9481a24f">
      <Url>https://postchag.sharepoint.com/sites/corpdev/_layouts/15/DocIdRedir.aspx?ID=SPO1566-640659238-122423</Url>
      <Description>SPO1566-640659238-122423</Description>
    </_dlc_DocIdUrl>
    <SharedWithUsers xmlns="71185480-5d99-49c8-ac08-5b2d9481a24f">
      <UserInfo>
        <DisplayName>Haenseler Marco, F11</DisplayName>
        <AccountId>1976</AccountId>
        <AccountType/>
      </UserInfo>
      <UserInfo>
        <DisplayName>Callea Angela, F11</DisplayName>
        <AccountId>1977</AccountId>
        <AccountType/>
      </UserInfo>
      <UserInfo>
        <DisplayName>Hulliger Oliver, F11</DisplayName>
        <AccountId>1978</AccountId>
        <AccountType/>
      </UserInfo>
      <UserInfo>
        <DisplayName>Moeri Isabelle, KS</DisplayName>
        <AccountId>478</AccountId>
        <AccountType/>
      </UserInfo>
      <UserInfo>
        <DisplayName>Gerber Daniel, KS</DisplayName>
        <AccountId>373</AccountId>
        <AccountType/>
      </UserInfo>
      <UserInfo>
        <DisplayName>Hofer Stephanie, K GP KS</DisplayName>
        <AccountId>555</AccountId>
        <AccountType/>
      </UserInfo>
      <UserInfo>
        <DisplayName>Bernath Annina, F6</DisplayName>
        <AccountId>325</AccountId>
        <AccountType/>
      </UserInfo>
      <UserInfo>
        <DisplayName>Knuchel Stefan, F6</DisplayName>
        <AccountId>326</AccountId>
        <AccountType/>
      </UserInfo>
      <UserInfo>
        <DisplayName>Saner Dominik, PA51</DisplayName>
        <AccountId>114</AccountId>
        <AccountType/>
      </UserInfo>
      <UserInfo>
        <DisplayName>Nigg Mischa, P Strat</DisplayName>
        <AccountId>1848</AccountId>
        <AccountType/>
      </UserInfo>
    </SharedWithUsers>
    <TaxCatchAll xmlns="71185480-5d99-49c8-ac08-5b2d9481a24f" xsi:nil="true"/>
    <lcf76f155ced4ddcb4097134ff3c332f xmlns="e5237527-2ab6-4e81-b4e2-87959196660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F9B0E1E-8FC4-47C6-924F-7162C91DA4BD}">
  <ds:schemaRefs>
    <ds:schemaRef ds:uri="http://schemas.microsoft.com/sharepoint/v3/contenttype/forms"/>
  </ds:schemaRefs>
</ds:datastoreItem>
</file>

<file path=customXml/itemProps2.xml><?xml version="1.0" encoding="utf-8"?>
<ds:datastoreItem xmlns:ds="http://schemas.openxmlformats.org/officeDocument/2006/customXml" ds:itemID="{E2D43FC1-FAC9-4E65-B419-EAF3AF8807B6}">
  <ds:schemaRefs>
    <ds:schemaRef ds:uri="http://schemas.microsoft.com/sharepoint/events"/>
  </ds:schemaRefs>
</ds:datastoreItem>
</file>

<file path=customXml/itemProps3.xml><?xml version="1.0" encoding="utf-8"?>
<ds:datastoreItem xmlns:ds="http://schemas.openxmlformats.org/officeDocument/2006/customXml" ds:itemID="{7609B46D-33FB-45CD-8153-DD121ECFFD8D}"/>
</file>

<file path=customXml/itemProps4.xml><?xml version="1.0" encoding="utf-8"?>
<ds:datastoreItem xmlns:ds="http://schemas.openxmlformats.org/officeDocument/2006/customXml" ds:itemID="{886975C6-B4F7-4ECD-968C-70842ED0F787}">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e5237527-2ab6-4e81-b4e2-87959196660d"/>
    <ds:schemaRef ds:uri="http://schemas.microsoft.com/office/infopath/2007/PartnerControls"/>
    <ds:schemaRef ds:uri="http://purl.org/dc/elements/1.1/"/>
    <ds:schemaRef ds:uri="71185480-5d99-49c8-ac08-5b2d9481a24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55</vt:i4>
      </vt:variant>
    </vt:vector>
  </HeadingPairs>
  <TitlesOfParts>
    <vt:vector size="68" baseType="lpstr">
      <vt:lpstr>Inhaltsverzeichnis</vt:lpstr>
      <vt:lpstr>102</vt:lpstr>
      <vt:lpstr>201</vt:lpstr>
      <vt:lpstr>202</vt:lpstr>
      <vt:lpstr>203</vt:lpstr>
      <vt:lpstr>302</vt:lpstr>
      <vt:lpstr>305</vt:lpstr>
      <vt:lpstr>401</vt:lpstr>
      <vt:lpstr>403</vt:lpstr>
      <vt:lpstr>404</vt:lpstr>
      <vt:lpstr>405</vt:lpstr>
      <vt:lpstr>Hilfsgrössen</vt:lpstr>
      <vt:lpstr>Textbausteine</vt:lpstr>
      <vt:lpstr>GRI_102</vt:lpstr>
      <vt:lpstr>GRI_102_43a</vt:lpstr>
      <vt:lpstr>GRI_102_6a</vt:lpstr>
      <vt:lpstr>GRI_102_7a</vt:lpstr>
      <vt:lpstr>GRI_102_7b</vt:lpstr>
      <vt:lpstr>GRI_102_7c</vt:lpstr>
      <vt:lpstr>GRI_102_7d</vt:lpstr>
      <vt:lpstr>GRI_102_7e</vt:lpstr>
      <vt:lpstr>GRI_102_8a</vt:lpstr>
      <vt:lpstr>GRI_102_8b</vt:lpstr>
      <vt:lpstr>GRI_102_8c</vt:lpstr>
      <vt:lpstr>GRI_102_8d</vt:lpstr>
      <vt:lpstr>GRI_102_9a</vt:lpstr>
      <vt:lpstr>GRI_201</vt:lpstr>
      <vt:lpstr>GRI_201_1a</vt:lpstr>
      <vt:lpstr>GRI_201_1b</vt:lpstr>
      <vt:lpstr>GRI_201_3</vt:lpstr>
      <vt:lpstr>GRI_202</vt:lpstr>
      <vt:lpstr>GRI_202_1</vt:lpstr>
      <vt:lpstr>GRI_203</vt:lpstr>
      <vt:lpstr>GRI_203_2</vt:lpstr>
      <vt:lpstr>GRI_203_2b</vt:lpstr>
      <vt:lpstr>GRI_203_2c</vt:lpstr>
      <vt:lpstr>GRI_203_2d</vt:lpstr>
      <vt:lpstr>GRI_203_2e</vt:lpstr>
      <vt:lpstr>GRI_203_2f</vt:lpstr>
      <vt:lpstr>GRI_203_2g</vt:lpstr>
      <vt:lpstr>GRI_302</vt:lpstr>
      <vt:lpstr>GRI_302_1</vt:lpstr>
      <vt:lpstr>GRI_302_2</vt:lpstr>
      <vt:lpstr>GRI_305</vt:lpstr>
      <vt:lpstr>GRI_305_1</vt:lpstr>
      <vt:lpstr>GRI_305_2</vt:lpstr>
      <vt:lpstr>GRI_305_3</vt:lpstr>
      <vt:lpstr>GRI_305_4</vt:lpstr>
      <vt:lpstr>GRI_305_6_7</vt:lpstr>
      <vt:lpstr>GRI_401</vt:lpstr>
      <vt:lpstr>GRI_401_1</vt:lpstr>
      <vt:lpstr>GRI_401_3</vt:lpstr>
      <vt:lpstr>GRI_401_a</vt:lpstr>
      <vt:lpstr>GRI_401a</vt:lpstr>
      <vt:lpstr>GRI_403</vt:lpstr>
      <vt:lpstr>GRI_403_2a</vt:lpstr>
      <vt:lpstr>GRI_404</vt:lpstr>
      <vt:lpstr>GRI_404_2a</vt:lpstr>
      <vt:lpstr>GRI_404_2b</vt:lpstr>
      <vt:lpstr>GRI_404_2c</vt:lpstr>
      <vt:lpstr>GRI_405</vt:lpstr>
      <vt:lpstr>GRI_405_1</vt:lpstr>
      <vt:lpstr>GRI_405_1a</vt:lpstr>
      <vt:lpstr>GRI_405_1b</vt:lpstr>
      <vt:lpstr>GRI_405_1c</vt:lpstr>
      <vt:lpstr>GRI_405_1d</vt:lpstr>
      <vt:lpstr>Home</vt:lpstr>
      <vt:lpstr>Sprache</vt:lpstr>
    </vt:vector>
  </TitlesOfParts>
  <Manager/>
  <Company>POST CH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Saner Dominik, K CR2</dc:creator>
  <cp:keywords/>
  <dc:description/>
  <cp:lastModifiedBy>Perren Patricia, Stab UE2</cp:lastModifiedBy>
  <cp:revision/>
  <dcterms:created xsi:type="dcterms:W3CDTF">2017-09-13T11:36:15Z</dcterms:created>
  <dcterms:modified xsi:type="dcterms:W3CDTF">2022-08-21T12:58:24Z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goMarke">
    <vt:lpwstr>P</vt:lpwstr>
  </property>
  <property fmtid="{D5CDD505-2E9C-101B-9397-08002B2CF9AE}" pid="3" name="LogoSprache">
    <vt:lpwstr>D</vt:lpwstr>
  </property>
  <property fmtid="{D5CDD505-2E9C-101B-9397-08002B2CF9AE}" pid="4" name="ContentTypeId">
    <vt:lpwstr>0x010100DB0D1BFC79D9EF4781D9E402C9FC5796</vt:lpwstr>
  </property>
  <property fmtid="{D5CDD505-2E9C-101B-9397-08002B2CF9AE}" pid="5" name="_dlc_DocIdItemGuid">
    <vt:lpwstr>b3351697-a7d6-40d1-9903-3418465f81ee</vt:lpwstr>
  </property>
  <property fmtid="{D5CDD505-2E9C-101B-9397-08002B2CF9AE}" pid="6" name="MSIP_Label_f9a68f73-b527-45da-b1a3-2f598590be36_Enabled">
    <vt:lpwstr>true</vt:lpwstr>
  </property>
  <property fmtid="{D5CDD505-2E9C-101B-9397-08002B2CF9AE}" pid="7" name="MSIP_Label_f9a68f73-b527-45da-b1a3-2f598590be36_SetDate">
    <vt:lpwstr>2022-02-10T12:22:06Z</vt:lpwstr>
  </property>
  <property fmtid="{D5CDD505-2E9C-101B-9397-08002B2CF9AE}" pid="8" name="MSIP_Label_f9a68f73-b527-45da-b1a3-2f598590be36_Method">
    <vt:lpwstr>Standard</vt:lpwstr>
  </property>
  <property fmtid="{D5CDD505-2E9C-101B-9397-08002B2CF9AE}" pid="9" name="MSIP_Label_f9a68f73-b527-45da-b1a3-2f598590be36_Name">
    <vt:lpwstr>internal</vt:lpwstr>
  </property>
  <property fmtid="{D5CDD505-2E9C-101B-9397-08002B2CF9AE}" pid="10" name="MSIP_Label_f9a68f73-b527-45da-b1a3-2f598590be36_SiteId">
    <vt:lpwstr>3ae7c479-0cf1-47f4-8f84-929f364eff67</vt:lpwstr>
  </property>
  <property fmtid="{D5CDD505-2E9C-101B-9397-08002B2CF9AE}" pid="11" name="MSIP_Label_f9a68f73-b527-45da-b1a3-2f598590be36_ActionId">
    <vt:lpwstr>10d4b50d-065d-4d55-ae15-ee11fa8a47c6</vt:lpwstr>
  </property>
  <property fmtid="{D5CDD505-2E9C-101B-9397-08002B2CF9AE}" pid="12" name="MSIP_Label_f9a68f73-b527-45da-b1a3-2f598590be36_ContentBits">
    <vt:lpwstr>0</vt:lpwstr>
  </property>
  <property fmtid="{D5CDD505-2E9C-101B-9397-08002B2CF9AE}" pid="13" name="MediaServiceImageTags">
    <vt:lpwstr/>
  </property>
</Properties>
</file>